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port Summary" sheetId="1" r:id="rId4"/>
    <sheet state="visible" name="About - About the Frequency Lis" sheetId="2" r:id="rId5"/>
    <sheet state="visible" name="The List - Frequency List" sheetId="3" r:id="rId6"/>
    <sheet state="visible" name="Legend - Legend" sheetId="4" r:id="rId7"/>
    <sheet state="visible" name="Legend - Other projects you mig" sheetId="5" r:id="rId8"/>
  </sheets>
  <definedNames/>
  <calcPr/>
  <extLst>
    <ext uri="GoogleSheetsCustomDataVersion2">
      <go:sheetsCustomData xmlns:go="http://customooxmlschemas.google.com/" r:id="rId9" roundtripDataChecksum="qRaoEAOuSo7/or9bigTmewAC9IhM7XMWI2sXH9885W8="/>
    </ext>
  </extLst>
</workbook>
</file>

<file path=xl/sharedStrings.xml><?xml version="1.0" encoding="utf-8"?>
<sst xmlns="http://schemas.openxmlformats.org/spreadsheetml/2006/main" count="20337" uniqueCount="13666">
  <si>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</si>
  <si>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</si>
  <si>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</si>
  <si>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</si>
  <si>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About</t>
  </si>
  <si>
    <t>About the Frequency List</t>
  </si>
  <si>
    <t>About - About the Frequency Lis</t>
  </si>
  <si>
    <t>The List</t>
  </si>
  <si>
    <t>Frequency List</t>
  </si>
  <si>
    <t>The List - Frequency List</t>
  </si>
  <si>
    <t>Legend</t>
  </si>
  <si>
    <t>Legend - Legend</t>
  </si>
  <si>
    <t>Other projects you might like!</t>
  </si>
  <si>
    <t>Legend - Other projects you mig</t>
  </si>
  <si>
    <r>
      <rPr>
        <rFont val="Helvetica"/>
        <b/>
        <i val="0"/>
        <color rgb="FF000000"/>
        <sz val="17.0"/>
      </rPr>
      <t xml:space="preserve">Frequency List
</t>
    </r>
    <r>
      <rPr>
        <rFont val="Helvetica"/>
        <b/>
        <i/>
        <color rgb="FF000000"/>
        <sz val="12.0"/>
      </rPr>
      <t>The Top 5,000 Words in Spoken American English</t>
    </r>
  </si>
  <si>
    <r>
      <rPr>
        <rFont val="Helvetica"/>
        <color rgb="FF000000"/>
        <sz val="10.0"/>
      </rPr>
      <t xml:space="preserve">
</t>
    </r>
    <r>
      <rPr>
        <rFont val="Helvetica"/>
        <color rgb="FF000000"/>
        <sz val="10.0"/>
      </rPr>
      <t xml:space="preserve">
</t>
    </r>
    <r>
      <rPr>
        <rFont val="Helvetica"/>
        <b/>
        <i/>
        <color rgb="FFED220B"/>
        <sz val="14.0"/>
      </rPr>
      <t xml:space="preserve">Welcome!
</t>
    </r>
    <r>
      <rPr>
        <rFont val="Helvetica"/>
        <color rgb="FF000000"/>
        <sz val="11.0"/>
      </rPr>
      <t xml:space="preserve">
</t>
    </r>
    <r>
      <rPr>
        <rFont val="Helvetica"/>
        <color rgb="FF000000"/>
        <sz val="11.0"/>
      </rPr>
      <t xml:space="preserve">This is a list of the </t>
    </r>
    <r>
      <rPr>
        <rFont val="Helvetica"/>
        <b/>
        <color rgb="FF000000"/>
        <sz val="11.0"/>
      </rPr>
      <t>top 5,000 words</t>
    </r>
    <r>
      <rPr>
        <rFont val="Helvetica"/>
        <color rgb="FF000000"/>
        <sz val="11.0"/>
      </rPr>
      <t xml:space="preserve"> used in spoken American English.
</t>
    </r>
    <r>
      <rPr>
        <rFont val="Helvetica"/>
        <color rgb="FF000000"/>
        <sz val="11.0"/>
      </rPr>
      <t xml:space="preserve">
</t>
    </r>
    <r>
      <rPr>
        <rFont val="Helvetica"/>
        <color rgb="FF000000"/>
        <sz val="11.0"/>
      </rPr>
      <t xml:space="preserve">The most frequent words in a language are also </t>
    </r>
    <r>
      <rPr>
        <rFont val="Helvetica"/>
        <b/>
        <color rgb="FF000000"/>
        <sz val="11.0"/>
      </rPr>
      <t>the most important ones</t>
    </r>
    <r>
      <rPr>
        <rFont val="Helvetica"/>
        <color rgb="FF000000"/>
        <sz val="11.0"/>
      </rPr>
      <t xml:space="preserve">. We </t>
    </r>
    <r>
      <rPr>
        <rFont val="Helvetica"/>
        <i/>
        <color rgb="FF000000"/>
        <sz val="11.0"/>
      </rPr>
      <t>need</t>
    </r>
    <r>
      <rPr>
        <rFont val="Helvetica"/>
        <color rgb="FF000000"/>
        <sz val="11.0"/>
      </rPr>
      <t xml:space="preserve"> to know them in order to speak fluently. Starting with the most common words first also makes sure we learn efficiently: they are words we can actually use and recall!
</t>
    </r>
    <r>
      <rPr>
        <rFont val="Helvetica"/>
        <color rgb="FF000000"/>
        <sz val="11.0"/>
      </rPr>
      <t xml:space="preserve">
</t>
    </r>
    <r>
      <rPr>
        <rFont val="Helvetica"/>
        <color rgb="FF000000"/>
        <sz val="11.0"/>
      </rPr>
      <t xml:space="preserve">
</t>
    </r>
    <r>
      <rPr>
        <rFont val="Helvetica"/>
        <b/>
        <color rgb="FF000000"/>
        <sz val="11.0"/>
      </rPr>
      <t>As a teacher</t>
    </r>
    <r>
      <rPr>
        <rFont val="Helvetica"/>
        <color rgb="FF000000"/>
        <sz val="11.0"/>
      </rPr>
      <t xml:space="preserve">, you can use this list inside the classroom to teach the most important vocabulary first, and cover the gap in your students' knowledge.
</t>
    </r>
    <r>
      <rPr>
        <rFont val="Helvetica"/>
        <color rgb="FF000000"/>
        <sz val="11.0"/>
      </rPr>
      <t xml:space="preserve">
</t>
    </r>
    <r>
      <rPr>
        <rFont val="Helvetica"/>
        <b/>
        <color rgb="FF000000"/>
        <sz val="11.0"/>
      </rPr>
      <t>As a student,</t>
    </r>
    <r>
      <rPr>
        <rFont val="Helvetica"/>
        <color rgb="FF000000"/>
        <sz val="11.0"/>
      </rPr>
      <t xml:space="preserve"> use this list for self-study, to check which words it is you don't know yet, or get an idea of your current level.
</t>
    </r>
  </si>
  <si>
    <r>
      <rPr>
        <rFont val="Helvetica Neue"/>
        <color rgb="FF000000"/>
        <sz val="10.0"/>
      </rPr>
      <t xml:space="preserve">
</t>
    </r>
    <r>
      <rPr>
        <rFont val="Helvetica Neue"/>
        <color rgb="FF000000"/>
        <sz val="10.0"/>
      </rPr>
      <t xml:space="preserve">
</t>
    </r>
    <r>
      <rPr>
        <rFont val="Helvetica Neue"/>
        <b/>
        <i/>
        <color rgb="FFED220B"/>
        <sz val="14.0"/>
      </rPr>
      <t xml:space="preserve">How to Use?
</t>
    </r>
    <r>
      <rPr>
        <rFont val="Helvetica Neue"/>
        <color rgb="FF000000"/>
        <sz val="10.0"/>
      </rPr>
      <t xml:space="preserve">
</t>
    </r>
    <r>
      <rPr>
        <rFont val="Helvetica"/>
        <color rgb="FF000000"/>
        <sz val="11.0"/>
      </rPr>
      <t xml:space="preserve">To get started with this document, simply head to the next tab: </t>
    </r>
    <r>
      <rPr>
        <rFont val="Helvetica"/>
        <b/>
        <i/>
        <color rgb="FF000000"/>
        <sz val="11.0"/>
      </rPr>
      <t>The List</t>
    </r>
    <r>
      <rPr>
        <rFont val="Helvetica"/>
        <color rgb="FF000000"/>
        <sz val="11.0"/>
      </rPr>
      <t xml:space="preserve">. Browse it and start exploring the English language!
</t>
    </r>
    <r>
      <rPr>
        <rFont val="Helvetica"/>
        <color rgb="FF000000"/>
        <sz val="11.0"/>
      </rPr>
      <t xml:space="preserve">
</t>
    </r>
    <r>
      <rPr>
        <rFont val="Helvetica"/>
        <color rgb="FF000000"/>
        <sz val="11.0"/>
      </rPr>
      <t xml:space="preserve">Use </t>
    </r>
    <r>
      <rPr>
        <rFont val="Helvetica"/>
        <b/>
        <color rgb="FF000000"/>
        <sz val="11.0"/>
      </rPr>
      <t>filters</t>
    </r>
    <r>
      <rPr>
        <rFont val="Helvetica"/>
        <color rgb="FF000000"/>
        <sz val="11.0"/>
      </rPr>
      <t xml:space="preserve"> to focus on the type of words you're most interested in (e.g.: browse nouns first, then adjectives…).
</t>
    </r>
    <r>
      <rPr>
        <rFont val="Helvetica"/>
        <color rgb="FF000000"/>
        <sz val="11.0"/>
      </rPr>
      <t xml:space="preserve">
</t>
    </r>
    <r>
      <rPr>
        <rFont val="Helvetica"/>
        <color rgb="FF000000"/>
        <sz val="11.0"/>
      </rPr>
      <t xml:space="preserve">Create an extra column and add your own notes to the spreadsheet as you see fit.
</t>
    </r>
    <r>
      <rPr>
        <rFont val="Helvetica"/>
        <color rgb="FF000000"/>
        <sz val="11.0"/>
      </rPr>
      <t xml:space="preserve">
</t>
    </r>
    <r>
      <rPr>
        <rFont val="Helvetica"/>
        <color rgb="FF000000"/>
        <sz val="11.0"/>
      </rPr>
      <t xml:space="preserve">
</t>
    </r>
    <r>
      <rPr>
        <rFont val="Helvetica"/>
        <color rgb="FF000000"/>
        <sz val="11.0"/>
      </rPr>
      <t xml:space="preserve">
</t>
    </r>
  </si>
  <si>
    <r>
      <rPr>
        <rFont val="Helvetica"/>
        <color rgb="FF000000"/>
        <sz val="10.0"/>
      </rPr>
      <t xml:space="preserve">
</t>
    </r>
    <r>
      <rPr>
        <rFont val="Helvetica"/>
        <color rgb="FF000000"/>
        <sz val="10.0"/>
      </rPr>
      <t xml:space="preserve">
</t>
    </r>
    <r>
      <rPr>
        <rFont val="Helvetica"/>
        <b/>
        <i/>
        <color rgb="FFED220B"/>
        <sz val="14.0"/>
      </rPr>
      <t xml:space="preserve">How to Learn Vocabulary
</t>
    </r>
    <r>
      <rPr>
        <rFont val="Helvetica"/>
        <color rgb="FF000000"/>
        <sz val="11.0"/>
      </rPr>
      <t xml:space="preserve">
</t>
    </r>
    <r>
      <rPr>
        <rFont val="Helvetica"/>
        <color rgb="FF000000"/>
        <sz val="11.0"/>
      </rPr>
      <t xml:space="preserve">A good frequency list is a great asset that will save you a lot of time in learning vocabulary. But it's not enough on its own: you'll want to learn the correct </t>
    </r>
    <r>
      <rPr>
        <rFont val="Helvetica"/>
        <b/>
        <color rgb="FF000000"/>
        <sz val="11.0"/>
      </rPr>
      <t>pronunciation</t>
    </r>
    <r>
      <rPr>
        <rFont val="Helvetica"/>
        <color rgb="FF000000"/>
        <sz val="11.0"/>
      </rPr>
      <t xml:space="preserve"> of those words from the start, and to learn words in </t>
    </r>
    <r>
      <rPr>
        <rFont val="Helvetica"/>
        <b/>
        <color rgb="FF000000"/>
        <sz val="11.0"/>
      </rPr>
      <t>context</t>
    </r>
    <r>
      <rPr>
        <rFont val="Helvetica"/>
        <color rgb="FF000000"/>
        <sz val="11.0"/>
      </rPr>
      <t xml:space="preserve">.
</t>
    </r>
    <r>
      <rPr>
        <rFont val="Helvetica"/>
        <color rgb="FF000000"/>
        <sz val="11.0"/>
      </rPr>
      <t xml:space="preserve">
</t>
    </r>
    <r>
      <rPr>
        <rFont val="Helvetica"/>
        <color rgb="FF000000"/>
        <sz val="11.0"/>
      </rPr>
      <t xml:space="preserve">If you have one installed on your computer/phone/tablet, </t>
    </r>
    <r>
      <rPr>
        <rFont val="Helvetica"/>
        <b/>
        <color rgb="FF000000"/>
        <sz val="11.0"/>
      </rPr>
      <t>use a dictionary to look up the words you don't know</t>
    </r>
    <r>
      <rPr>
        <rFont val="Helvetica"/>
        <color rgb="FF000000"/>
        <sz val="11.0"/>
      </rPr>
      <t xml:space="preserve">. A good dictionary will give you the pronunciation and examples of how to use the word in context. This will let you use the list as a </t>
    </r>
    <r>
      <rPr>
        <rFont val="Helvetica"/>
        <b/>
        <color rgb="FF000000"/>
        <sz val="11.0"/>
      </rPr>
      <t>frequency dictionary of English.</t>
    </r>
    <r>
      <rPr>
        <rFont val="Helvetica"/>
        <color rgb="FF000000"/>
        <sz val="11.0"/>
      </rPr>
      <t xml:space="preserve">
</t>
    </r>
    <r>
      <rPr>
        <rFont val="Helvetica"/>
        <color rgb="FF000000"/>
        <sz val="11.0"/>
      </rPr>
      <t xml:space="preserve">
</t>
    </r>
    <r>
      <rPr>
        <rFont val="Helvetica"/>
        <color rgb="FF000000"/>
        <sz val="11.0"/>
      </rPr>
      <t xml:space="preserve">See our official website as well, </t>
    </r>
    <r>
      <rPr>
        <rFont val="Helvetica"/>
        <color rgb="FF000000"/>
        <sz val="11.0"/>
        <u/>
      </rPr>
      <t>frequencylist.com</t>
    </r>
    <r>
      <rPr>
        <rFont val="Helvetica"/>
        <color rgb="FF000000"/>
        <sz val="11.0"/>
      </rPr>
      <t>, for an interactive version of the list, with phonetics, audio and more.</t>
    </r>
  </si>
  <si>
    <r>
      <rPr>
        <rFont val="Helvetica"/>
        <b/>
        <color rgb="FF000000"/>
        <sz val="11.0"/>
      </rPr>
      <t xml:space="preserve">
</t>
    </r>
    <r>
      <rPr>
        <rFont val="Helvetica"/>
        <b/>
        <color rgb="FF000000"/>
        <sz val="11.0"/>
      </rPr>
      <t xml:space="preserve">
</t>
    </r>
    <r>
      <rPr>
        <rFont val="Helvetica"/>
        <b/>
        <color rgb="FF000000"/>
        <sz val="11.0"/>
      </rPr>
      <t xml:space="preserve">
</t>
    </r>
    <r>
      <rPr>
        <rFont val="Helvetica"/>
        <b/>
        <color rgb="FF000000"/>
        <sz val="11.0"/>
      </rPr>
      <t xml:space="preserve">
</t>
    </r>
    <r>
      <rPr>
        <rFont val="Helvetica"/>
        <b/>
        <color rgb="FF000000"/>
        <sz val="11.0"/>
      </rPr>
      <t xml:space="preserve">
</t>
    </r>
    <r>
      <rPr>
        <rFont val="Helvetica"/>
        <b/>
        <i/>
        <color rgb="FF000000"/>
        <sz val="12.0"/>
      </rPr>
      <t xml:space="preserve">Keep in mind!
</t>
    </r>
    <r>
      <rPr>
        <rFont val="Helvetica"/>
        <i/>
        <color rgb="FF000000"/>
        <sz val="11.0"/>
      </rPr>
      <t xml:space="preserve">
</t>
    </r>
    <r>
      <rPr>
        <rFont val="Helvetica"/>
        <color rgb="FF000000"/>
        <sz val="11.0"/>
      </rPr>
      <t xml:space="preserve">Those </t>
    </r>
    <r>
      <rPr>
        <rFont val="Helvetica"/>
        <b/>
        <color rgb="FF000000"/>
        <sz val="11.0"/>
      </rPr>
      <t xml:space="preserve">5,000 words cover 96% of the English language! </t>
    </r>
    <r>
      <rPr>
        <rFont val="Helvetica"/>
        <color rgb="FF000000"/>
        <sz val="11.0"/>
      </rPr>
      <t xml:space="preserve">Once you know them, you can do everything in English without the need for translations.
</t>
    </r>
    <r>
      <rPr>
        <rFont val="Helvetica"/>
        <color rgb="FF000000"/>
        <sz val="11.0"/>
      </rPr>
      <t xml:space="preserve">
</t>
    </r>
    <r>
      <rPr>
        <rFont val="Helvetica"/>
        <color rgb="FF000000"/>
        <sz val="11.0"/>
      </rPr>
      <t xml:space="preserve">
</t>
    </r>
    <r>
      <rPr>
        <rFont val="Helvetica"/>
        <color rgb="FF000000"/>
        <sz val="11.0"/>
      </rPr>
      <t xml:space="preserve">
</t>
    </r>
    <r>
      <rPr>
        <rFont val="Helvetica"/>
        <color rgb="FF000000"/>
        <sz val="11.0"/>
      </rPr>
      <t xml:space="preserve">
</t>
    </r>
    <r>
      <rPr>
        <rFont val="Helvetica"/>
        <color rgb="FF000000"/>
        <sz val="11.0"/>
      </rPr>
      <t xml:space="preserve">
</t>
    </r>
    <r>
      <rPr>
        <rFont val="Helvetica"/>
        <color rgb="FF000000"/>
        <sz val="11.0"/>
      </rPr>
      <t xml:space="preserve">
</t>
    </r>
    <r>
      <rPr>
        <rFont val="Helvetica"/>
        <color rgb="FF000000"/>
        <sz val="11.0"/>
      </rPr>
      <t xml:space="preserve">
</t>
    </r>
    <r>
      <rPr>
        <rFont val="Helvetica"/>
        <color rgb="FF000000"/>
        <sz val="11.0"/>
      </rPr>
      <t xml:space="preserve">
</t>
    </r>
    <r>
      <rPr>
        <rFont val="Helvetica"/>
        <b/>
        <color rgb="FF000000"/>
        <sz val="11.0"/>
      </rPr>
      <t xml:space="preserve">Licence
</t>
    </r>
    <r>
      <rPr>
        <rFont val="Helvetica"/>
        <color rgb="FF000000"/>
        <sz val="11.0"/>
      </rPr>
      <t xml:space="preserve">
</t>
    </r>
    <r>
      <rPr>
        <rFont val="Helvetica"/>
        <color rgb="FF000000"/>
        <sz val="10.0"/>
      </rPr>
      <t xml:space="preserve">This document is distributed under the CC BY-NC-ND 4.0 licence. In other words, feel free to redistribute it as long as you credit the author, do not charge for it, and keep the work intact.
</t>
    </r>
    <r>
      <rPr>
        <rFont val="Helvetica"/>
        <color rgb="FF000000"/>
        <sz val="10.0"/>
      </rPr>
      <t xml:space="preserve">See the </t>
    </r>
    <r>
      <rPr>
        <rFont val="Helvetica"/>
        <color rgb="FF000000"/>
        <sz val="10.0"/>
        <u/>
      </rPr>
      <t>full licence</t>
    </r>
    <r>
      <rPr>
        <rFont val="Helvetica"/>
        <color rgb="FF000000"/>
        <sz val="10.0"/>
      </rPr>
      <t xml:space="preserve"> for details.</t>
    </r>
  </si>
  <si>
    <r>
      <rPr>
        <rFont val="Helvetica"/>
        <b/>
        <color rgb="FF000000"/>
        <sz val="13.0"/>
      </rPr>
      <t xml:space="preserve">Official Website
</t>
    </r>
    <r>
      <rPr>
        <rFont val="Helvetica"/>
        <color rgb="FF000000"/>
        <sz val="11.0"/>
      </rPr>
      <t xml:space="preserve">
</t>
    </r>
    <r>
      <rPr>
        <rFont val="Helvetica"/>
        <color rgb="FF000000"/>
        <sz val="11.0"/>
      </rPr>
      <t xml:space="preserve">Visit our website
</t>
    </r>
    <r>
      <rPr>
        <rFont val="Helvetica"/>
        <b/>
        <color rgb="FFED220B"/>
        <sz val="20.0"/>
        <u/>
      </rPr>
      <t>frequencylist.com</t>
    </r>
    <r>
      <rPr>
        <rFont val="Helvetica"/>
        <b/>
        <color rgb="FFED220B"/>
        <sz val="20.0"/>
      </rPr>
      <t xml:space="preserve">
</t>
    </r>
    <r>
      <rPr>
        <rFont val="Helvetica"/>
        <color rgb="FF000000"/>
        <sz val="11.0"/>
      </rPr>
      <t xml:space="preserve">to see an interactive version of the list,
</t>
    </r>
    <r>
      <rPr>
        <rFont val="Helvetica"/>
        <color rgb="FF000000"/>
        <sz val="11.0"/>
      </rPr>
      <t xml:space="preserve">with the pronunciation and some cool extras!
</t>
    </r>
    <r>
      <rPr>
        <rFont val="Helvetica"/>
        <i/>
        <color rgb="FF000000"/>
        <sz val="10.0"/>
      </rPr>
      <t xml:space="preserve">By Fabien Snauwaert and Guillaume Voisin
</t>
    </r>
  </si>
  <si>
    <r>
      <rPr>
        <rFont val="Helvetica"/>
        <b/>
        <color rgb="FF000000"/>
        <sz val="12.0"/>
      </rPr>
      <t xml:space="preserve">
</t>
    </r>
    <r>
      <rPr>
        <rFont val="Helvetica"/>
        <b/>
        <color rgb="FF000000"/>
        <sz val="12.0"/>
      </rPr>
      <t xml:space="preserve">Source
</t>
    </r>
    <r>
      <rPr>
        <rFont val="Helvetica"/>
        <b/>
        <color rgb="FF000000"/>
        <sz val="11.0"/>
      </rPr>
      <t xml:space="preserve">
</t>
    </r>
    <r>
      <rPr>
        <rFont val="Helvetica"/>
        <color rgb="FF000000"/>
        <sz val="11.0"/>
      </rPr>
      <t xml:space="preserve">The list is derived from a corpus of 6,192,659 words, composed of 12 American TV shows. The shows were selected to be balanced and representative of spoken American English.
</t>
    </r>
    <r>
      <rPr>
        <rFont val="Helvetica"/>
        <color rgb="FF000000"/>
        <sz val="11.0"/>
      </rPr>
      <t xml:space="preserve">
</t>
    </r>
    <r>
      <rPr>
        <rFont val="Helvetica"/>
        <color rgb="FF000000"/>
        <sz val="11.0"/>
      </rPr>
      <t xml:space="preserve">The top 5,062 lemmas in the corpus amount to a total of 5,796,570 words. Places (toponyms) and character names have been excluded from the list for practical reasons, but are easy to understand and covered a total of 177,952 words. Bottom-line: (5796570 + 177952) / 6192659 = 96% coverage.
</t>
    </r>
    <r>
      <rPr>
        <rFont val="Helvetica"/>
        <color rgb="FF000000"/>
        <sz val="11.0"/>
      </rPr>
      <t xml:space="preserve">
</t>
    </r>
    <r>
      <rPr>
        <rFont val="Helvetica"/>
        <color rgb="FF000000"/>
        <sz val="11.0"/>
      </rPr>
      <t xml:space="preserve">In other words, </t>
    </r>
    <r>
      <rPr>
        <rFont val="Helvetica"/>
        <b/>
        <color rgb="FF000000"/>
        <sz val="11.0"/>
      </rPr>
      <t>understanding the top 5,000 words given in this list will let you, in practice, understand 96% of the corpus and, by extension, 96% of spoken American English</t>
    </r>
    <r>
      <rPr>
        <rFont val="Helvetica"/>
        <color rgb="FF000000"/>
        <sz val="11.0"/>
      </rPr>
      <t xml:space="preserve">.
</t>
    </r>
    <r>
      <rPr>
        <rFont val="Helvetica"/>
        <color rgb="FF000000"/>
        <sz val="11.0"/>
      </rPr>
      <t xml:space="preserve">
</t>
    </r>
    <r>
      <rPr>
        <rFont val="Helvetica"/>
        <color rgb="FF000000"/>
        <sz val="11.0"/>
      </rPr>
      <t xml:space="preserve">(FYI, the 12 shows used for the corpus are: </t>
    </r>
    <r>
      <rPr>
        <rFont val="Helvetica"/>
        <i/>
        <color rgb="FF000000"/>
        <sz val="11.0"/>
      </rPr>
      <t>Friends, How I Met Your Mother, Sex And The City, South Park, Community, The Office, Modern Family, Family Guy, The Simpsons, The Big Bang Theory, Curb Your Enthusiasm, Seinfeld</t>
    </r>
    <r>
      <rPr>
        <rFont val="Helvetica"/>
        <color rgb="FF000000"/>
        <sz val="11.0"/>
      </rPr>
      <t>.)</t>
    </r>
  </si>
  <si>
    <t>Version / Edition Number: 20190219</t>
  </si>
  <si>
    <r>
      <rPr>
        <rFont val="Helvetica Neue"/>
        <color rgb="FF000000"/>
        <sz val="10.0"/>
      </rPr>
      <t xml:space="preserve">This document is © 2014-2019 Fabien Snauwaert
</t>
    </r>
    <r>
      <rPr>
        <rFont val="Helvetica Neue"/>
        <color rgb="FF000000"/>
        <sz val="10.0"/>
      </rPr>
      <t xml:space="preserve">Distributed under </t>
    </r>
    <r>
      <rPr>
        <rFont val="Helvetica Neue"/>
        <color rgb="FF000000"/>
        <sz val="10.0"/>
        <u/>
      </rPr>
      <t>CC BY-NC-ND 4.0 licence</t>
    </r>
  </si>
  <si>
    <r>
      <rPr>
        <rFont val="Helvetica Neue"/>
        <color rgb="FF000000"/>
        <sz val="10.0"/>
      </rPr>
      <t xml:space="preserve">Downloaded from </t>
    </r>
    <r>
      <rPr>
        <rFont val="Helvetica Neue"/>
        <color rgb="FF000000"/>
        <sz val="10.0"/>
        <u/>
      </rPr>
      <t>https://frequencylist.com</t>
    </r>
  </si>
  <si>
    <t>LEMMA|POS</t>
  </si>
  <si>
    <t>LEMMA</t>
  </si>
  <si>
    <t>POS</t>
  </si>
  <si>
    <t>FREQUENCY</t>
  </si>
  <si>
    <t>INFLECTIONS</t>
  </si>
  <si>
    <t>French</t>
  </si>
  <si>
    <t>be|v</t>
  </si>
  <si>
    <t>be</t>
  </si>
  <si>
    <t>v</t>
  </si>
  <si>
    <t>be, am, are, been, being, is, was, were</t>
  </si>
  <si>
    <t>I|fw</t>
  </si>
  <si>
    <t>I</t>
  </si>
  <si>
    <t>fw</t>
  </si>
  <si>
    <t>you|fw</t>
  </si>
  <si>
    <t>you</t>
  </si>
  <si>
    <t>the|fw</t>
  </si>
  <si>
    <t>the</t>
  </si>
  <si>
    <t>a|fw</t>
  </si>
  <si>
    <t>a</t>
  </si>
  <si>
    <t>a, an</t>
  </si>
  <si>
    <t>to|fw</t>
  </si>
  <si>
    <t>to</t>
  </si>
  <si>
    <t>it|fw</t>
  </si>
  <si>
    <t>it</t>
  </si>
  <si>
    <t>not|fw</t>
  </si>
  <si>
    <t>not</t>
  </si>
  <si>
    <t>that|fw</t>
  </si>
  <si>
    <t>that</t>
  </si>
  <si>
    <t>that, those</t>
  </si>
  <si>
    <t>and|fw</t>
  </si>
  <si>
    <t>and</t>
  </si>
  <si>
    <t>of|fw</t>
  </si>
  <si>
    <t>of</t>
  </si>
  <si>
    <t>do|v</t>
  </si>
  <si>
    <t>do</t>
  </si>
  <si>
    <t>do, did, does, doing, done</t>
  </si>
  <si>
    <t>have|v</t>
  </si>
  <si>
    <t>have</t>
  </si>
  <si>
    <t>have, had, has, having</t>
  </si>
  <si>
    <t>what|fw</t>
  </si>
  <si>
    <t>what</t>
  </si>
  <si>
    <t>we|fw</t>
  </si>
  <si>
    <t>we</t>
  </si>
  <si>
    <t>in|fw</t>
  </si>
  <si>
    <t>in</t>
  </si>
  <si>
    <t>get|v</t>
  </si>
  <si>
    <t>get</t>
  </si>
  <si>
    <t>get, gets, getting, got, gotten</t>
  </si>
  <si>
    <t>this|fw</t>
  </si>
  <si>
    <t>this</t>
  </si>
  <si>
    <t>this, these</t>
  </si>
  <si>
    <t>my|fw</t>
  </si>
  <si>
    <t>my</t>
  </si>
  <si>
    <t>my, mine</t>
  </si>
  <si>
    <t>me|fw</t>
  </si>
  <si>
    <t>me</t>
  </si>
  <si>
    <t>go|v</t>
  </si>
  <si>
    <t>go</t>
  </si>
  <si>
    <t>go, goes, going, gone, went</t>
  </si>
  <si>
    <t>oh|u</t>
  </si>
  <si>
    <t>oh</t>
  </si>
  <si>
    <t>u</t>
  </si>
  <si>
    <t>can|v</t>
  </si>
  <si>
    <t>can</t>
  </si>
  <si>
    <t>can, could, cannot</t>
  </si>
  <si>
    <t>no|fw</t>
  </si>
  <si>
    <t>no</t>
  </si>
  <si>
    <t>on|fw</t>
  </si>
  <si>
    <t>on</t>
  </si>
  <si>
    <t>for|fw</t>
  </si>
  <si>
    <t>for</t>
  </si>
  <si>
    <t>know|v</t>
  </si>
  <si>
    <t>know</t>
  </si>
  <si>
    <t>know, knew, knowing, known, knows</t>
  </si>
  <si>
    <t>just|r</t>
  </si>
  <si>
    <t>just</t>
  </si>
  <si>
    <t>r</t>
  </si>
  <si>
    <t>your|fw</t>
  </si>
  <si>
    <t>your</t>
  </si>
  <si>
    <t>'s|fw</t>
  </si>
  <si>
    <t>'s</t>
  </si>
  <si>
    <t>'s, '</t>
  </si>
  <si>
    <t>all|fw</t>
  </si>
  <si>
    <t>all</t>
  </si>
  <si>
    <t>so|r</t>
  </si>
  <si>
    <t>so</t>
  </si>
  <si>
    <t>with|fw</t>
  </si>
  <si>
    <t>with</t>
  </si>
  <si>
    <t>he|fw</t>
  </si>
  <si>
    <t>he</t>
  </si>
  <si>
    <t>but|fw</t>
  </si>
  <si>
    <t>but</t>
  </si>
  <si>
    <t>yeah|r</t>
  </si>
  <si>
    <t>yeah</t>
  </si>
  <si>
    <t>well|r</t>
  </si>
  <si>
    <t>well</t>
  </si>
  <si>
    <t>think|v</t>
  </si>
  <si>
    <t>think</t>
  </si>
  <si>
    <t>think, thinking, thinks, thought</t>
  </si>
  <si>
    <t>here|r</t>
  </si>
  <si>
    <t>here</t>
  </si>
  <si>
    <t>want|v</t>
  </si>
  <si>
    <t>want</t>
  </si>
  <si>
    <t>want, wanted, wanting, wants</t>
  </si>
  <si>
    <t>out|r</t>
  </si>
  <si>
    <t>out</t>
  </si>
  <si>
    <t>about|fw</t>
  </si>
  <si>
    <t>about</t>
  </si>
  <si>
    <t>good|j</t>
  </si>
  <si>
    <t>good</t>
  </si>
  <si>
    <t>j</t>
  </si>
  <si>
    <t>good, better, best</t>
  </si>
  <si>
    <t>come|v</t>
  </si>
  <si>
    <t>come</t>
  </si>
  <si>
    <t>come, came, comes, coming</t>
  </si>
  <si>
    <t>up|r</t>
  </si>
  <si>
    <t>up</t>
  </si>
  <si>
    <t>say|v</t>
  </si>
  <si>
    <t>say</t>
  </si>
  <si>
    <t>say, said, saying, says</t>
  </si>
  <si>
    <t>now|r</t>
  </si>
  <si>
    <t>now</t>
  </si>
  <si>
    <t>at|fw</t>
  </si>
  <si>
    <t>at</t>
  </si>
  <si>
    <t>one|m</t>
  </si>
  <si>
    <t>one</t>
  </si>
  <si>
    <t>m</t>
  </si>
  <si>
    <t>one, ones</t>
  </si>
  <si>
    <t>hey|u</t>
  </si>
  <si>
    <t>hey</t>
  </si>
  <si>
    <t>they|fw</t>
  </si>
  <si>
    <t>they</t>
  </si>
  <si>
    <t>see|v</t>
  </si>
  <si>
    <t>see</t>
  </si>
  <si>
    <t>see, saw, seeing, seen, sees</t>
  </si>
  <si>
    <t>if|fw</t>
  </si>
  <si>
    <t>if</t>
  </si>
  <si>
    <t>how|r</t>
  </si>
  <si>
    <t>how</t>
  </si>
  <si>
    <t>like|v</t>
  </si>
  <si>
    <t>like</t>
  </si>
  <si>
    <t>like, liked, likes, liking</t>
  </si>
  <si>
    <t>she|fw</t>
  </si>
  <si>
    <t>she</t>
  </si>
  <si>
    <t>look|v</t>
  </si>
  <si>
    <t>look</t>
  </si>
  <si>
    <t>look, looked, looking, looks</t>
  </si>
  <si>
    <t>make|v</t>
  </si>
  <si>
    <t>make</t>
  </si>
  <si>
    <t>make, made, makes, making</t>
  </si>
  <si>
    <t>right|j</t>
  </si>
  <si>
    <t>right</t>
  </si>
  <si>
    <t>guy|n</t>
  </si>
  <si>
    <t>guy</t>
  </si>
  <si>
    <t>n</t>
  </si>
  <si>
    <t>guy, guys</t>
  </si>
  <si>
    <t>take|v</t>
  </si>
  <si>
    <t>take</t>
  </si>
  <si>
    <t>take, taken, takes, taking, took</t>
  </si>
  <si>
    <t>let|v</t>
  </si>
  <si>
    <t>let</t>
  </si>
  <si>
    <t>let, lets, letting</t>
  </si>
  <si>
    <t>really|r</t>
  </si>
  <si>
    <t>really</t>
  </si>
  <si>
    <t>okay|r</t>
  </si>
  <si>
    <t>okay</t>
  </si>
  <si>
    <t>her|fw</t>
  </si>
  <si>
    <t>her</t>
  </si>
  <si>
    <t>uh|u</t>
  </si>
  <si>
    <t>uh</t>
  </si>
  <si>
    <t>uh, um</t>
  </si>
  <si>
    <t>tell|v</t>
  </si>
  <si>
    <t>tell</t>
  </si>
  <si>
    <t>tell, telling, tells, told</t>
  </si>
  <si>
    <t>him|fw</t>
  </si>
  <si>
    <t>him</t>
  </si>
  <si>
    <t>why|r</t>
  </si>
  <si>
    <t>why</t>
  </si>
  <si>
    <t>there|r</t>
  </si>
  <si>
    <t>there</t>
  </si>
  <si>
    <t>who|fw</t>
  </si>
  <si>
    <t>who</t>
  </si>
  <si>
    <t>time|n</t>
  </si>
  <si>
    <t>time</t>
  </si>
  <si>
    <t>time, times</t>
  </si>
  <si>
    <t>thing|n</t>
  </si>
  <si>
    <t>thing</t>
  </si>
  <si>
    <t>thing, things</t>
  </si>
  <si>
    <t>from|fw</t>
  </si>
  <si>
    <t>from</t>
  </si>
  <si>
    <t>will|v</t>
  </si>
  <si>
    <t>will</t>
  </si>
  <si>
    <t>will, willing, would</t>
  </si>
  <si>
    <t>like|r</t>
  </si>
  <si>
    <t>when|r</t>
  </si>
  <si>
    <t>when</t>
  </si>
  <si>
    <t>as|fw</t>
  </si>
  <si>
    <t>as</t>
  </si>
  <si>
    <t>because|fw</t>
  </si>
  <si>
    <t>because</t>
  </si>
  <si>
    <t>some|fw</t>
  </si>
  <si>
    <t>some</t>
  </si>
  <si>
    <t>our|fw</t>
  </si>
  <si>
    <t>our</t>
  </si>
  <si>
    <t>yes|r</t>
  </si>
  <si>
    <t>yes</t>
  </si>
  <si>
    <t>there|fw</t>
  </si>
  <si>
    <t>back|r</t>
  </si>
  <si>
    <t>back</t>
  </si>
  <si>
    <t>mean|v</t>
  </si>
  <si>
    <t>mean</t>
  </si>
  <si>
    <t>mean, meaning, means, meant</t>
  </si>
  <si>
    <t>man|n</t>
  </si>
  <si>
    <t>man</t>
  </si>
  <si>
    <t>man, men</t>
  </si>
  <si>
    <t>little|j</t>
  </si>
  <si>
    <t>little</t>
  </si>
  <si>
    <t>give|v</t>
  </si>
  <si>
    <t>give</t>
  </si>
  <si>
    <t>give, gave, given, gives, giving</t>
  </si>
  <si>
    <t>his|fw</t>
  </si>
  <si>
    <t>his</t>
  </si>
  <si>
    <t>us|fw</t>
  </si>
  <si>
    <t>us</t>
  </si>
  <si>
    <t>them|fw</t>
  </si>
  <si>
    <t>them</t>
  </si>
  <si>
    <t>need|v</t>
  </si>
  <si>
    <t>need</t>
  </si>
  <si>
    <t>need, needed, needs, needing</t>
  </si>
  <si>
    <t>then|r</t>
  </si>
  <si>
    <t>then</t>
  </si>
  <si>
    <t>shall|v</t>
  </si>
  <si>
    <t>shall</t>
  </si>
  <si>
    <t>shall, should</t>
  </si>
  <si>
    <t>or|fw</t>
  </si>
  <si>
    <t>or</t>
  </si>
  <si>
    <t>talk|v</t>
  </si>
  <si>
    <t>talk</t>
  </si>
  <si>
    <t>talk, talked, talking, talks</t>
  </si>
  <si>
    <t>okay|j</t>
  </si>
  <si>
    <t>okay, OK</t>
  </si>
  <si>
    <t>something|fw</t>
  </si>
  <si>
    <t>something</t>
  </si>
  <si>
    <t>where|r</t>
  </si>
  <si>
    <t>where</t>
  </si>
  <si>
    <t>great|j</t>
  </si>
  <si>
    <t>great</t>
  </si>
  <si>
    <t>great, greater, greatest</t>
  </si>
  <si>
    <t>way|n</t>
  </si>
  <si>
    <t>way</t>
  </si>
  <si>
    <t>way, ways</t>
  </si>
  <si>
    <t>never|r</t>
  </si>
  <si>
    <t>never</t>
  </si>
  <si>
    <t>call|v</t>
  </si>
  <si>
    <t>call</t>
  </si>
  <si>
    <t>call, called, calling, calls</t>
  </si>
  <si>
    <t>too|r</t>
  </si>
  <si>
    <t>too</t>
  </si>
  <si>
    <t>by|fw</t>
  </si>
  <si>
    <t>by</t>
  </si>
  <si>
    <t>sorry|j</t>
  </si>
  <si>
    <t>sorry</t>
  </si>
  <si>
    <t>over|fw</t>
  </si>
  <si>
    <t>over</t>
  </si>
  <si>
    <t>love|v</t>
  </si>
  <si>
    <t>love</t>
  </si>
  <si>
    <t>love, loved, loves, loving</t>
  </si>
  <si>
    <t>wait|v</t>
  </si>
  <si>
    <t>wait</t>
  </si>
  <si>
    <t>wait, waited, waiting, waits</t>
  </si>
  <si>
    <t>more|fw</t>
  </si>
  <si>
    <t>more</t>
  </si>
  <si>
    <t>down|r</t>
  </si>
  <si>
    <t>down</t>
  </si>
  <si>
    <t>day|n</t>
  </si>
  <si>
    <t>day</t>
  </si>
  <si>
    <t>day, days</t>
  </si>
  <si>
    <t>two|m</t>
  </si>
  <si>
    <t>two</t>
  </si>
  <si>
    <t>two, twos</t>
  </si>
  <si>
    <t>people|n</t>
  </si>
  <si>
    <t>people</t>
  </si>
  <si>
    <t>God|u</t>
  </si>
  <si>
    <t>God</t>
  </si>
  <si>
    <t>very|r</t>
  </si>
  <si>
    <t>very</t>
  </si>
  <si>
    <t>off|fw</t>
  </si>
  <si>
    <t>off</t>
  </si>
  <si>
    <t>work|v</t>
  </si>
  <si>
    <t>work</t>
  </si>
  <si>
    <t>work, worked, working, works</t>
  </si>
  <si>
    <t>thank|v</t>
  </si>
  <si>
    <t>thank</t>
  </si>
  <si>
    <t>thank, thanked, thanking, thanks</t>
  </si>
  <si>
    <t>big|j</t>
  </si>
  <si>
    <t>big</t>
  </si>
  <si>
    <t>big, bigger, biggest</t>
  </si>
  <si>
    <t>try|v</t>
  </si>
  <si>
    <t>try</t>
  </si>
  <si>
    <t>try, tried, tries, trying</t>
  </si>
  <si>
    <t>dad|n</t>
  </si>
  <si>
    <t>dad</t>
  </si>
  <si>
    <t>dad, dads</t>
  </si>
  <si>
    <t>maybe|r</t>
  </si>
  <si>
    <t>maybe</t>
  </si>
  <si>
    <t>feel|v</t>
  </si>
  <si>
    <t>feel</t>
  </si>
  <si>
    <t>feel, feeling, feels, felt</t>
  </si>
  <si>
    <t>friend|n</t>
  </si>
  <si>
    <t>friend</t>
  </si>
  <si>
    <t>friend, friends</t>
  </si>
  <si>
    <t>even|r</t>
  </si>
  <si>
    <t>even</t>
  </si>
  <si>
    <t>sure|j</t>
  </si>
  <si>
    <t>sure</t>
  </si>
  <si>
    <t>sure, surer, surest</t>
  </si>
  <si>
    <t>find|v</t>
  </si>
  <si>
    <t>find</t>
  </si>
  <si>
    <t>find, finding, finds, found</t>
  </si>
  <si>
    <t>kid|n</t>
  </si>
  <si>
    <t>kid</t>
  </si>
  <si>
    <t>kid, kids</t>
  </si>
  <si>
    <t>these|fw</t>
  </si>
  <si>
    <t>these</t>
  </si>
  <si>
    <t>boy|n</t>
  </si>
  <si>
    <t>boy</t>
  </si>
  <si>
    <t>boy, boys</t>
  </si>
  <si>
    <t>put|v</t>
  </si>
  <si>
    <t>put</t>
  </si>
  <si>
    <t>put, puts, putting</t>
  </si>
  <si>
    <t>please|r</t>
  </si>
  <si>
    <t>please</t>
  </si>
  <si>
    <t>happen|v</t>
  </si>
  <si>
    <t>happen</t>
  </si>
  <si>
    <t>happen, happened, happening, happens</t>
  </si>
  <si>
    <t>much|fw</t>
  </si>
  <si>
    <t>much</t>
  </si>
  <si>
    <t>stop|v</t>
  </si>
  <si>
    <t>stop</t>
  </si>
  <si>
    <t>stop, stopped, stopping, stops</t>
  </si>
  <si>
    <t>night|n</t>
  </si>
  <si>
    <t>night</t>
  </si>
  <si>
    <t>night, nights</t>
  </si>
  <si>
    <t>bad|j</t>
  </si>
  <si>
    <t>bad</t>
  </si>
  <si>
    <t>bad, worse, worst</t>
  </si>
  <si>
    <t>into|fw</t>
  </si>
  <si>
    <t>into</t>
  </si>
  <si>
    <t>those|fw</t>
  </si>
  <si>
    <t>those</t>
  </si>
  <si>
    <t>any|fw</t>
  </si>
  <si>
    <t>any</t>
  </si>
  <si>
    <t>right|u</t>
  </si>
  <si>
    <t>first|m</t>
  </si>
  <si>
    <t>first</t>
  </si>
  <si>
    <t>leave|v</t>
  </si>
  <si>
    <t>leave</t>
  </si>
  <si>
    <t>leave, leaves, leaving, left</t>
  </si>
  <si>
    <t>year|n</t>
  </si>
  <si>
    <t>year</t>
  </si>
  <si>
    <t>year, years</t>
  </si>
  <si>
    <t>hear|v</t>
  </si>
  <si>
    <t>hear</t>
  </si>
  <si>
    <t>hear, heard, hearing, hears</t>
  </si>
  <si>
    <t>right|r</t>
  </si>
  <si>
    <t>ever|r</t>
  </si>
  <si>
    <t>ever</t>
  </si>
  <si>
    <t>Mr|n</t>
  </si>
  <si>
    <t>Mr</t>
  </si>
  <si>
    <t>Mr., Messrs.</t>
  </si>
  <si>
    <t>again|r</t>
  </si>
  <si>
    <t>again</t>
  </si>
  <si>
    <t>use|v</t>
  </si>
  <si>
    <t>use</t>
  </si>
  <si>
    <t>use, used, uses, using</t>
  </si>
  <si>
    <t>mom|n</t>
  </si>
  <si>
    <t>mom</t>
  </si>
  <si>
    <t>mom, moms</t>
  </si>
  <si>
    <t>may|v</t>
  </si>
  <si>
    <t>may</t>
  </si>
  <si>
    <t>may, might</t>
  </si>
  <si>
    <t>hi|u</t>
  </si>
  <si>
    <t>hi</t>
  </si>
  <si>
    <t>life|n</t>
  </si>
  <si>
    <t>life</t>
  </si>
  <si>
    <t>life, lives</t>
  </si>
  <si>
    <t>nice|j</t>
  </si>
  <si>
    <t>nice</t>
  </si>
  <si>
    <t>nice, nicer, nicest</t>
  </si>
  <si>
    <t>new|j</t>
  </si>
  <si>
    <t>new</t>
  </si>
  <si>
    <t>new, newer, newest</t>
  </si>
  <si>
    <t>still|r</t>
  </si>
  <si>
    <t>still</t>
  </si>
  <si>
    <t>kind|n</t>
  </si>
  <si>
    <t>kind</t>
  </si>
  <si>
    <t>kind, kinds</t>
  </si>
  <si>
    <t>anything|fw</t>
  </si>
  <si>
    <t>anything</t>
  </si>
  <si>
    <t>only|r</t>
  </si>
  <si>
    <t>only</t>
  </si>
  <si>
    <t>baby|n</t>
  </si>
  <si>
    <t>baby</t>
  </si>
  <si>
    <t>baby, babies</t>
  </si>
  <si>
    <t>than|fw</t>
  </si>
  <si>
    <t>than</t>
  </si>
  <si>
    <t>fine|j</t>
  </si>
  <si>
    <t>fine</t>
  </si>
  <si>
    <t>fine, finer, finest</t>
  </si>
  <si>
    <t>hello|u</t>
  </si>
  <si>
    <t>hello</t>
  </si>
  <si>
    <t>keep|v</t>
  </si>
  <si>
    <t>keep</t>
  </si>
  <si>
    <t>keep, keeping, keeps, kept</t>
  </si>
  <si>
    <t>girl|n</t>
  </si>
  <si>
    <t>girl</t>
  </si>
  <si>
    <t>girl, girls</t>
  </si>
  <si>
    <t>help|v</t>
  </si>
  <si>
    <t>help</t>
  </si>
  <si>
    <t>help, helped, helping, helps</t>
  </si>
  <si>
    <t>believe|v</t>
  </si>
  <si>
    <t>believe</t>
  </si>
  <si>
    <t>believe, believed, believes, believing</t>
  </si>
  <si>
    <t>woman|n</t>
  </si>
  <si>
    <t>woman</t>
  </si>
  <si>
    <t>woman, women</t>
  </si>
  <si>
    <t>lot|n</t>
  </si>
  <si>
    <t>lot</t>
  </si>
  <si>
    <t>lot, lots</t>
  </si>
  <si>
    <t>play|v</t>
  </si>
  <si>
    <t>play</t>
  </si>
  <si>
    <t>play, played, playing, plays</t>
  </si>
  <si>
    <t>ask|v</t>
  </si>
  <si>
    <t>ask</t>
  </si>
  <si>
    <t>ask, asked, asking, asks</t>
  </si>
  <si>
    <t>start|v</t>
  </si>
  <si>
    <t>start</t>
  </si>
  <si>
    <t>start, started, starting, starts</t>
  </si>
  <si>
    <t>home|n</t>
  </si>
  <si>
    <t>home</t>
  </si>
  <si>
    <t>home, homes</t>
  </si>
  <si>
    <t>nothing|fw</t>
  </si>
  <si>
    <t>nothing</t>
  </si>
  <si>
    <t>hmm|u</t>
  </si>
  <si>
    <t>hmm</t>
  </si>
  <si>
    <t>hmm, hm</t>
  </si>
  <si>
    <t>their|fw</t>
  </si>
  <si>
    <t>their</t>
  </si>
  <si>
    <t>their, theirs</t>
  </si>
  <si>
    <t>meet|v</t>
  </si>
  <si>
    <t>meet</t>
  </si>
  <si>
    <t>meet, meeting, meets, met</t>
  </si>
  <si>
    <t>huh|u</t>
  </si>
  <si>
    <t>huh</t>
  </si>
  <si>
    <t>show|v</t>
  </si>
  <si>
    <t>show</t>
  </si>
  <si>
    <t>show, showed, showing, shown, shows</t>
  </si>
  <si>
    <t>around|fw</t>
  </si>
  <si>
    <t>around</t>
  </si>
  <si>
    <t>guess|v</t>
  </si>
  <si>
    <t>guess</t>
  </si>
  <si>
    <t>guess, guessed, guesses, guessing</t>
  </si>
  <si>
    <t>old|j</t>
  </si>
  <si>
    <t>old</t>
  </si>
  <si>
    <t>old, older, oldest</t>
  </si>
  <si>
    <t>hell|n</t>
  </si>
  <si>
    <t>hell</t>
  </si>
  <si>
    <t>before|fw</t>
  </si>
  <si>
    <t>before</t>
  </si>
  <si>
    <t>always|r</t>
  </si>
  <si>
    <t>always</t>
  </si>
  <si>
    <t>three|m</t>
  </si>
  <si>
    <t>three</t>
  </si>
  <si>
    <t>three, threes</t>
  </si>
  <si>
    <t>wow|u</t>
  </si>
  <si>
    <t>wow</t>
  </si>
  <si>
    <t>listen|v</t>
  </si>
  <si>
    <t>listen</t>
  </si>
  <si>
    <t>listen, listened, listening, listens</t>
  </si>
  <si>
    <t>thanks|u</t>
  </si>
  <si>
    <t>thanks</t>
  </si>
  <si>
    <t>minute|n</t>
  </si>
  <si>
    <t>minute</t>
  </si>
  <si>
    <t>minute, minutes</t>
  </si>
  <si>
    <t>actually|r</t>
  </si>
  <si>
    <t>actually</t>
  </si>
  <si>
    <t>eat|v</t>
  </si>
  <si>
    <t>eat</t>
  </si>
  <si>
    <t>eat, ate, eaten, eating, eats</t>
  </si>
  <si>
    <t>place|n</t>
  </si>
  <si>
    <t>place</t>
  </si>
  <si>
    <t>place, places</t>
  </si>
  <si>
    <t>live|v</t>
  </si>
  <si>
    <t>live</t>
  </si>
  <si>
    <t>live, lived, lives, living</t>
  </si>
  <si>
    <t>away|r</t>
  </si>
  <si>
    <t>away</t>
  </si>
  <si>
    <t>after|fw</t>
  </si>
  <si>
    <t>after</t>
  </si>
  <si>
    <t>bring|v</t>
  </si>
  <si>
    <t>bring</t>
  </si>
  <si>
    <t>bring, bringing, brings, brought</t>
  </si>
  <si>
    <t>every|fw</t>
  </si>
  <si>
    <t>every</t>
  </si>
  <si>
    <t>everything|fw</t>
  </si>
  <si>
    <t>everything</t>
  </si>
  <si>
    <t>money|n</t>
  </si>
  <si>
    <t>money</t>
  </si>
  <si>
    <t>person|n</t>
  </si>
  <si>
    <t>person</t>
  </si>
  <si>
    <t>person, people, persons</t>
  </si>
  <si>
    <t>watch|v</t>
  </si>
  <si>
    <t>watch</t>
  </si>
  <si>
    <t>watch, watched, watches, watching</t>
  </si>
  <si>
    <t>other|j</t>
  </si>
  <si>
    <t>other</t>
  </si>
  <si>
    <t>remember|v</t>
  </si>
  <si>
    <t>remember</t>
  </si>
  <si>
    <t>remember, remembered, remembering, remembers</t>
  </si>
  <si>
    <t>house|n</t>
  </si>
  <si>
    <t>house</t>
  </si>
  <si>
    <t>house, houses</t>
  </si>
  <si>
    <t>wrong|j</t>
  </si>
  <si>
    <t>wrong</t>
  </si>
  <si>
    <t>kill|v</t>
  </si>
  <si>
    <t>kill</t>
  </si>
  <si>
    <t>kill, killed, killing, kills</t>
  </si>
  <si>
    <t>school|n</t>
  </si>
  <si>
    <t>school</t>
  </si>
  <si>
    <t>school, schools</t>
  </si>
  <si>
    <t>everyone|fw</t>
  </si>
  <si>
    <t>everyone</t>
  </si>
  <si>
    <t>run|v</t>
  </si>
  <si>
    <t>run</t>
  </si>
  <si>
    <t>run, ran, running, runs</t>
  </si>
  <si>
    <t>late|j</t>
  </si>
  <si>
    <t>late</t>
  </si>
  <si>
    <t>late, later, latest</t>
  </si>
  <si>
    <t>care|v</t>
  </si>
  <si>
    <t>care</t>
  </si>
  <si>
    <t>care, cared, cares, caring</t>
  </si>
  <si>
    <t>car|n</t>
  </si>
  <si>
    <t>car</t>
  </si>
  <si>
    <t>car, cars</t>
  </si>
  <si>
    <t>move|v</t>
  </si>
  <si>
    <t>move</t>
  </si>
  <si>
    <t>move, moved, moves, moving</t>
  </si>
  <si>
    <t>ah|u</t>
  </si>
  <si>
    <t>ah</t>
  </si>
  <si>
    <t>ah, aah</t>
  </si>
  <si>
    <t>idea|n</t>
  </si>
  <si>
    <t>idea</t>
  </si>
  <si>
    <t>idea, ideas</t>
  </si>
  <si>
    <t>another|fw</t>
  </si>
  <si>
    <t>another</t>
  </si>
  <si>
    <t>someone|fw</t>
  </si>
  <si>
    <t>someone</t>
  </si>
  <si>
    <t>today|r</t>
  </si>
  <si>
    <t>today</t>
  </si>
  <si>
    <t>turn|v</t>
  </si>
  <si>
    <t>turn</t>
  </si>
  <si>
    <t>turn, turned, turning, turns</t>
  </si>
  <si>
    <t>real|j</t>
  </si>
  <si>
    <t>real</t>
  </si>
  <si>
    <t>happy|j</t>
  </si>
  <si>
    <t>happy</t>
  </si>
  <si>
    <t>happy, happier, happiest</t>
  </si>
  <si>
    <t>whole|j</t>
  </si>
  <si>
    <t>whole</t>
  </si>
  <si>
    <t>week|n</t>
  </si>
  <si>
    <t>week</t>
  </si>
  <si>
    <t>week, weeks</t>
  </si>
  <si>
    <t>job|n</t>
  </si>
  <si>
    <t>job</t>
  </si>
  <si>
    <t>job, jobs</t>
  </si>
  <si>
    <t>fun|n</t>
  </si>
  <si>
    <t>fun</t>
  </si>
  <si>
    <t>problem|n</t>
  </si>
  <si>
    <t>problem</t>
  </si>
  <si>
    <t>problem, problems</t>
  </si>
  <si>
    <t>break|v</t>
  </si>
  <si>
    <t>break</t>
  </si>
  <si>
    <t>break, breaking, breaks, broke, broken</t>
  </si>
  <si>
    <t>world|n</t>
  </si>
  <si>
    <t>world</t>
  </si>
  <si>
    <t>world, worlds</t>
  </si>
  <si>
    <t>which|fw</t>
  </si>
  <si>
    <t>which</t>
  </si>
  <si>
    <t>must|v</t>
  </si>
  <si>
    <t>must</t>
  </si>
  <si>
    <t>party|n</t>
  </si>
  <si>
    <t>party</t>
  </si>
  <si>
    <t>party, parties</t>
  </si>
  <si>
    <t>buy|v</t>
  </si>
  <si>
    <t>buy</t>
  </si>
  <si>
    <t>buy, bought, buying, buys</t>
  </si>
  <si>
    <t>through|fw</t>
  </si>
  <si>
    <t>through</t>
  </si>
  <si>
    <t>together|r</t>
  </si>
  <si>
    <t>together</t>
  </si>
  <si>
    <t>room|n</t>
  </si>
  <si>
    <t>room</t>
  </si>
  <si>
    <t>room, rooms</t>
  </si>
  <si>
    <t>family|n</t>
  </si>
  <si>
    <t>family</t>
  </si>
  <si>
    <t>family, families</t>
  </si>
  <si>
    <t>stay|v</t>
  </si>
  <si>
    <t>stay</t>
  </si>
  <si>
    <t>stay, stayed, staying, stays</t>
  </si>
  <si>
    <t>lose|v</t>
  </si>
  <si>
    <t>lose</t>
  </si>
  <si>
    <t>lose, loses, losing, lost</t>
  </si>
  <si>
    <t>stuff|n</t>
  </si>
  <si>
    <t>stuff</t>
  </si>
  <si>
    <t>son|n</t>
  </si>
  <si>
    <t>son</t>
  </si>
  <si>
    <t>son, sons</t>
  </si>
  <si>
    <t>stupid|j</t>
  </si>
  <si>
    <t>stupid</t>
  </si>
  <si>
    <t>stupid, stupider, stupidest</t>
  </si>
  <si>
    <t>name|n</t>
  </si>
  <si>
    <t>name</t>
  </si>
  <si>
    <t>name, names</t>
  </si>
  <si>
    <t>everybody|fw</t>
  </si>
  <si>
    <t>everybody</t>
  </si>
  <si>
    <t>last|v</t>
  </si>
  <si>
    <t>last</t>
  </si>
  <si>
    <t>last, lasted, lasting, lasts</t>
  </si>
  <si>
    <t>long|r</t>
  </si>
  <si>
    <t>long</t>
  </si>
  <si>
    <t>long, longer, longest</t>
  </si>
  <si>
    <t>tonight|r</t>
  </si>
  <si>
    <t>tonight</t>
  </si>
  <si>
    <t>child|n</t>
  </si>
  <si>
    <t>child</t>
  </si>
  <si>
    <t>child, children</t>
  </si>
  <si>
    <t>sit|v</t>
  </si>
  <si>
    <t>sit</t>
  </si>
  <si>
    <t>sit, sat, sits, sitting</t>
  </si>
  <si>
    <t>course|n</t>
  </si>
  <si>
    <t>course</t>
  </si>
  <si>
    <t>course, courses</t>
  </si>
  <si>
    <t>pretty|j</t>
  </si>
  <si>
    <t>pretty</t>
  </si>
  <si>
    <t>pretty, prettier, prettiest</t>
  </si>
  <si>
    <t>hold|v</t>
  </si>
  <si>
    <t>hold</t>
  </si>
  <si>
    <t>hold, held, holding, holds</t>
  </si>
  <si>
    <t>game|n</t>
  </si>
  <si>
    <t>game</t>
  </si>
  <si>
    <t>game, games</t>
  </si>
  <si>
    <t>forget|v</t>
  </si>
  <si>
    <t>forget</t>
  </si>
  <si>
    <t>forget, forgets, forgetting, forgot, forgotten</t>
  </si>
  <si>
    <t>else|r</t>
  </si>
  <si>
    <t>else</t>
  </si>
  <si>
    <t>own|j</t>
  </si>
  <si>
    <t>own</t>
  </si>
  <si>
    <t>five|m</t>
  </si>
  <si>
    <t>five</t>
  </si>
  <si>
    <t>five, fives</t>
  </si>
  <si>
    <t>second|m</t>
  </si>
  <si>
    <t>second</t>
  </si>
  <si>
    <t>doctor|n</t>
  </si>
  <si>
    <t>doctor</t>
  </si>
  <si>
    <t>doctor, doctors</t>
  </si>
  <si>
    <t>dollar|n</t>
  </si>
  <si>
    <t>dollar</t>
  </si>
  <si>
    <t>dollar, dollars</t>
  </si>
  <si>
    <t>enough|fw</t>
  </si>
  <si>
    <t>enough</t>
  </si>
  <si>
    <t>dog|n</t>
  </si>
  <si>
    <t>dog</t>
  </si>
  <si>
    <t>dog, dogs</t>
  </si>
  <si>
    <t>funny|j</t>
  </si>
  <si>
    <t>funny</t>
  </si>
  <si>
    <t>funny, funnier, funniest</t>
  </si>
  <si>
    <t>wear|v</t>
  </si>
  <si>
    <t>wear</t>
  </si>
  <si>
    <t>wear, wearing, wears, wore, worn</t>
  </si>
  <si>
    <t>die|v</t>
  </si>
  <si>
    <t>die</t>
  </si>
  <si>
    <t>die, died, dies, dying</t>
  </si>
  <si>
    <t>sir|n</t>
  </si>
  <si>
    <t>sir</t>
  </si>
  <si>
    <t>sir, sirs</t>
  </si>
  <si>
    <t>hard|j</t>
  </si>
  <si>
    <t>hard</t>
  </si>
  <si>
    <t>hard, harder, hardest</t>
  </si>
  <si>
    <t>honey|n</t>
  </si>
  <si>
    <t>honey</t>
  </si>
  <si>
    <t>sound|v</t>
  </si>
  <si>
    <t>sound</t>
  </si>
  <si>
    <t>sound, sounded, sounding, sounds</t>
  </si>
  <si>
    <t>sex|n</t>
  </si>
  <si>
    <t>sex</t>
  </si>
  <si>
    <t>sex, sexes</t>
  </si>
  <si>
    <t>hate|v</t>
  </si>
  <si>
    <t>hate</t>
  </si>
  <si>
    <t>hate, hated, hates, hating</t>
  </si>
  <si>
    <t>suppose|v</t>
  </si>
  <si>
    <t>suppose</t>
  </si>
  <si>
    <t>suppose, supposed, supposes, supposing</t>
  </si>
  <si>
    <t>God|K</t>
  </si>
  <si>
    <t>K</t>
  </si>
  <si>
    <t>head|n</t>
  </si>
  <si>
    <t>head</t>
  </si>
  <si>
    <t>head, heads</t>
  </si>
  <si>
    <t>understand|v</t>
  </si>
  <si>
    <t>understand</t>
  </si>
  <si>
    <t>understand, understanding, understands, understood</t>
  </si>
  <si>
    <t>whoa|u</t>
  </si>
  <si>
    <t>whoa</t>
  </si>
  <si>
    <t>movie|n</t>
  </si>
  <si>
    <t>movie</t>
  </si>
  <si>
    <t>movie, movies</t>
  </si>
  <si>
    <t>worry|v</t>
  </si>
  <si>
    <t>worry</t>
  </si>
  <si>
    <t>worry, worried, worries, worrying</t>
  </si>
  <si>
    <t>cool|j</t>
  </si>
  <si>
    <t>cool</t>
  </si>
  <si>
    <t>cool, cooler, coolest</t>
  </si>
  <si>
    <t>marry|v</t>
  </si>
  <si>
    <t>marry</t>
  </si>
  <si>
    <t>marry, married, marries, marrying</t>
  </si>
  <si>
    <t>miss|v</t>
  </si>
  <si>
    <t>miss</t>
  </si>
  <si>
    <t>miss, missed, misses, missing</t>
  </si>
  <si>
    <t>pay|v</t>
  </si>
  <si>
    <t>pay</t>
  </si>
  <si>
    <t>pay, paid, paying, pays</t>
  </si>
  <si>
    <t>hour|n</t>
  </si>
  <si>
    <t>hour</t>
  </si>
  <si>
    <t>hour, hours</t>
  </si>
  <si>
    <t>crazy|j</t>
  </si>
  <si>
    <t>crazy</t>
  </si>
  <si>
    <t>crazy, crazier, craziest</t>
  </si>
  <si>
    <t>change|v</t>
  </si>
  <si>
    <t>change</t>
  </si>
  <si>
    <t>change, changed, changes, changing</t>
  </si>
  <si>
    <t>hot|j</t>
  </si>
  <si>
    <t>hot</t>
  </si>
  <si>
    <t>hot, hotter, hottest</t>
  </si>
  <si>
    <t>most|fw</t>
  </si>
  <si>
    <t>most</t>
  </si>
  <si>
    <t>excuse|v</t>
  </si>
  <si>
    <t>excuse</t>
  </si>
  <si>
    <t>excuse, excused, excuses, excusing</t>
  </si>
  <si>
    <t>mother|n</t>
  </si>
  <si>
    <t>mother</t>
  </si>
  <si>
    <t>mother, mothers</t>
  </si>
  <si>
    <t>check|v</t>
  </si>
  <si>
    <t>check</t>
  </si>
  <si>
    <t>check, checked, checking, checks</t>
  </si>
  <si>
    <t>pick|v</t>
  </si>
  <si>
    <t>pick</t>
  </si>
  <si>
    <t>pick, picked, picking, picks</t>
  </si>
  <si>
    <t>word|n</t>
  </si>
  <si>
    <t>word</t>
  </si>
  <si>
    <t>word, words</t>
  </si>
  <si>
    <t>same|j</t>
  </si>
  <si>
    <t>same</t>
  </si>
  <si>
    <t>same, sameness</t>
  </si>
  <si>
    <t>yourself|fw</t>
  </si>
  <si>
    <t>yourself</t>
  </si>
  <si>
    <t>yourself, yourselves</t>
  </si>
  <si>
    <t>ready|j</t>
  </si>
  <si>
    <t>ready</t>
  </si>
  <si>
    <t>ready, readier, readiest</t>
  </si>
  <si>
    <t>seem|v</t>
  </si>
  <si>
    <t>seem</t>
  </si>
  <si>
    <t>seem, seemed, seeming, seems</t>
  </si>
  <si>
    <t>win|v</t>
  </si>
  <si>
    <t>win</t>
  </si>
  <si>
    <t>win, winning, wins, won</t>
  </si>
  <si>
    <t>walk|v</t>
  </si>
  <si>
    <t>walk</t>
  </si>
  <si>
    <t>walk, walked, walking, walks</t>
  </si>
  <si>
    <t>father|n</t>
  </si>
  <si>
    <t>father</t>
  </si>
  <si>
    <t>father, fathers</t>
  </si>
  <si>
    <t>story|n</t>
  </si>
  <si>
    <t>story</t>
  </si>
  <si>
    <t>story, stories</t>
  </si>
  <si>
    <t>already|r</t>
  </si>
  <si>
    <t>already</t>
  </si>
  <si>
    <t>hope|v</t>
  </si>
  <si>
    <t>hope</t>
  </si>
  <si>
    <t>hope, hoped, hopes, hoping</t>
  </si>
  <si>
    <t>part|n</t>
  </si>
  <si>
    <t>part</t>
  </si>
  <si>
    <t>part, parts</t>
  </si>
  <si>
    <t>open|v</t>
  </si>
  <si>
    <t>open</t>
  </si>
  <si>
    <t>open, opened, opening, opens</t>
  </si>
  <si>
    <t>lady|n</t>
  </si>
  <si>
    <t>lady</t>
  </si>
  <si>
    <t>lady, ladies</t>
  </si>
  <si>
    <t>read|v</t>
  </si>
  <si>
    <t>read</t>
  </si>
  <si>
    <t>read, reading, reads</t>
  </si>
  <si>
    <t>drink|v</t>
  </si>
  <si>
    <t>drink</t>
  </si>
  <si>
    <t>drink, drank, drinking, drinks, drunk</t>
  </si>
  <si>
    <t>sleep|v</t>
  </si>
  <si>
    <t>sleep</t>
  </si>
  <si>
    <t>sleep, sleeping, sleeps, slept</t>
  </si>
  <si>
    <t>number|n</t>
  </si>
  <si>
    <t>number</t>
  </si>
  <si>
    <t>number, numbers</t>
  </si>
  <si>
    <t>write|v</t>
  </si>
  <si>
    <t>write</t>
  </si>
  <si>
    <t>write, writes, writing, written, wrote</t>
  </si>
  <si>
    <t>morning|n</t>
  </si>
  <si>
    <t>morning</t>
  </si>
  <si>
    <t>morning, mornings</t>
  </si>
  <si>
    <t>tomorrow|n</t>
  </si>
  <si>
    <t>tomorrow</t>
  </si>
  <si>
    <t>tomorrow, tomorrows</t>
  </si>
  <si>
    <t>next|j</t>
  </si>
  <si>
    <t>next</t>
  </si>
  <si>
    <t>phone|n</t>
  </si>
  <si>
    <t>phone</t>
  </si>
  <si>
    <t>phone, phones, telephone, telephones</t>
  </si>
  <si>
    <t>four|m</t>
  </si>
  <si>
    <t>four</t>
  </si>
  <si>
    <t>four, fours</t>
  </si>
  <si>
    <t>last|m</t>
  </si>
  <si>
    <t>once|r</t>
  </si>
  <si>
    <t>once</t>
  </si>
  <si>
    <t>somebody|fw</t>
  </si>
  <si>
    <t>somebody</t>
  </si>
  <si>
    <t>probably|r</t>
  </si>
  <si>
    <t>probably</t>
  </si>
  <si>
    <t>without|fw</t>
  </si>
  <si>
    <t>without</t>
  </si>
  <si>
    <t>many|fw</t>
  </si>
  <si>
    <t>many</t>
  </si>
  <si>
    <t>such|fw</t>
  </si>
  <si>
    <t>such</t>
  </si>
  <si>
    <t>eye|n</t>
  </si>
  <si>
    <t>eye</t>
  </si>
  <si>
    <t>eye, eyes</t>
  </si>
  <si>
    <t>drive|v</t>
  </si>
  <si>
    <t>drive</t>
  </si>
  <si>
    <t>drive, driven, drives, driving, drove</t>
  </si>
  <si>
    <t>wife|n</t>
  </si>
  <si>
    <t>wife</t>
  </si>
  <si>
    <t>wife, wives</t>
  </si>
  <si>
    <t>book|n</t>
  </si>
  <si>
    <t>book</t>
  </si>
  <si>
    <t>book, books</t>
  </si>
  <si>
    <t>hang|v</t>
  </si>
  <si>
    <t>hang</t>
  </si>
  <si>
    <t>hang, hanged, hanging, hangs, hung</t>
  </si>
  <si>
    <t>since|fw</t>
  </si>
  <si>
    <t>since</t>
  </si>
  <si>
    <t>throw|v</t>
  </si>
  <si>
    <t>throw</t>
  </si>
  <si>
    <t>throw, threw, throwing, thrown, throws</t>
  </si>
  <si>
    <t>name|v</t>
  </si>
  <si>
    <t>name, named, naming, names</t>
  </si>
  <si>
    <t>dead|j</t>
  </si>
  <si>
    <t>dead</t>
  </si>
  <si>
    <t>stand|v</t>
  </si>
  <si>
    <t>stand</t>
  </si>
  <si>
    <t>stand, standing, stands, stood</t>
  </si>
  <si>
    <t>myself|fw</t>
  </si>
  <si>
    <t>myself</t>
  </si>
  <si>
    <t>aw|u</t>
  </si>
  <si>
    <t>aw</t>
  </si>
  <si>
    <t>dinner|n</t>
  </si>
  <si>
    <t>dinner</t>
  </si>
  <si>
    <t>dinner, dinners</t>
  </si>
  <si>
    <t>anyone|fw</t>
  </si>
  <si>
    <t>anyone</t>
  </si>
  <si>
    <t>hand|n</t>
  </si>
  <si>
    <t>hand</t>
  </si>
  <si>
    <t>hand, hands</t>
  </si>
  <si>
    <t>each|fw</t>
  </si>
  <si>
    <t>each</t>
  </si>
  <si>
    <t>anyway|r</t>
  </si>
  <si>
    <t>anyway</t>
  </si>
  <si>
    <t>television|n</t>
  </si>
  <si>
    <t>television</t>
  </si>
  <si>
    <t>television, televisions</t>
  </si>
  <si>
    <t>learn|v</t>
  </si>
  <si>
    <t>learn</t>
  </si>
  <si>
    <t>learn, learned, learning, learns</t>
  </si>
  <si>
    <t>shut|v</t>
  </si>
  <si>
    <t>shut</t>
  </si>
  <si>
    <t>shut, shuts, shutting</t>
  </si>
  <si>
    <t>town|n</t>
  </si>
  <si>
    <t>town</t>
  </si>
  <si>
    <t>town, towns</t>
  </si>
  <si>
    <t>beautiful|j</t>
  </si>
  <si>
    <t>beautiful</t>
  </si>
  <si>
    <t>both|fw</t>
  </si>
  <si>
    <t>both</t>
  </si>
  <si>
    <t>date|n</t>
  </si>
  <si>
    <t>date</t>
  </si>
  <si>
    <t>date, dates</t>
  </si>
  <si>
    <t>spend|v</t>
  </si>
  <si>
    <t>spend</t>
  </si>
  <si>
    <t>spend, spending, spends, spent</t>
  </si>
  <si>
    <t>office|n</t>
  </si>
  <si>
    <t>office</t>
  </si>
  <si>
    <t>office, offices</t>
  </si>
  <si>
    <t>hit|v</t>
  </si>
  <si>
    <t>hit</t>
  </si>
  <si>
    <t>hit, hits, hitting</t>
  </si>
  <si>
    <t>yet|fw</t>
  </si>
  <si>
    <t>yet</t>
  </si>
  <si>
    <t>save|v</t>
  </si>
  <si>
    <t>save</t>
  </si>
  <si>
    <t>save, saved, saves, saving</t>
  </si>
  <si>
    <t>true|j</t>
  </si>
  <si>
    <t>true</t>
  </si>
  <si>
    <t>true, truer, truest</t>
  </si>
  <si>
    <t>sweet|j</t>
  </si>
  <si>
    <t>sweet</t>
  </si>
  <si>
    <t>sweet, sweeter, sweetest</t>
  </si>
  <si>
    <t>until|fw</t>
  </si>
  <si>
    <t>until</t>
  </si>
  <si>
    <t>food|n</t>
  </si>
  <si>
    <t>food</t>
  </si>
  <si>
    <t>food, foods</t>
  </si>
  <si>
    <t>while|fw</t>
  </si>
  <si>
    <t>while</t>
  </si>
  <si>
    <t>send|v</t>
  </si>
  <si>
    <t>send</t>
  </si>
  <si>
    <t>send, sending, sends, sent</t>
  </si>
  <si>
    <t>high|j</t>
  </si>
  <si>
    <t>high</t>
  </si>
  <si>
    <t>high, higher, highest</t>
  </si>
  <si>
    <t>anymore|r</t>
  </si>
  <si>
    <t>anymore</t>
  </si>
  <si>
    <t>also|r</t>
  </si>
  <si>
    <t>also</t>
  </si>
  <si>
    <t>news|n</t>
  </si>
  <si>
    <t>news</t>
  </si>
  <si>
    <t>Christmas|K</t>
  </si>
  <si>
    <t>Christmas</t>
  </si>
  <si>
    <t>ten|m</t>
  </si>
  <si>
    <t>ten</t>
  </si>
  <si>
    <t>ass|n</t>
  </si>
  <si>
    <t>ass</t>
  </si>
  <si>
    <t>ass, asses</t>
  </si>
  <si>
    <t>business|n</t>
  </si>
  <si>
    <t>business</t>
  </si>
  <si>
    <t>business, businesses</t>
  </si>
  <si>
    <t>only|j</t>
  </si>
  <si>
    <t>couple|n</t>
  </si>
  <si>
    <t>couple</t>
  </si>
  <si>
    <t>couple, couples</t>
  </si>
  <si>
    <t>totally|r</t>
  </si>
  <si>
    <t>totally</t>
  </si>
  <si>
    <t>door|n</t>
  </si>
  <si>
    <t>door</t>
  </si>
  <si>
    <t>door, doors</t>
  </si>
  <si>
    <t>gay|j</t>
  </si>
  <si>
    <t>gay</t>
  </si>
  <si>
    <t>gay, gayer, gayest</t>
  </si>
  <si>
    <t>exactly|r</t>
  </si>
  <si>
    <t>exactly</t>
  </si>
  <si>
    <t>parent|n</t>
  </si>
  <si>
    <t>parent</t>
  </si>
  <si>
    <t>parent, parents</t>
  </si>
  <si>
    <t>few|fw</t>
  </si>
  <si>
    <t>few</t>
  </si>
  <si>
    <t>few, fewer, fewest</t>
  </si>
  <si>
    <t>month|n</t>
  </si>
  <si>
    <t>month</t>
  </si>
  <si>
    <t>month, months</t>
  </si>
  <si>
    <t>easy|j</t>
  </si>
  <si>
    <t>easy</t>
  </si>
  <si>
    <t>easy, easier, easiest</t>
  </si>
  <si>
    <t>deal|n</t>
  </si>
  <si>
    <t>deal</t>
  </si>
  <si>
    <t>deal, deals</t>
  </si>
  <si>
    <t>ow|u</t>
  </si>
  <si>
    <t>ow</t>
  </si>
  <si>
    <t>ow, ouch, yow</t>
  </si>
  <si>
    <t>hurt|v</t>
  </si>
  <si>
    <t>hurt</t>
  </si>
  <si>
    <t>hurt, hurting, hurts</t>
  </si>
  <si>
    <t>nobody|fw</t>
  </si>
  <si>
    <t>nobody</t>
  </si>
  <si>
    <t>OK|r</t>
  </si>
  <si>
    <t>OK</t>
  </si>
  <si>
    <t>perfect|j</t>
  </si>
  <si>
    <t>perfect</t>
  </si>
  <si>
    <t>lie|v</t>
  </si>
  <si>
    <t>lie</t>
  </si>
  <si>
    <t>lie, lay, lied, lies, lying</t>
  </si>
  <si>
    <t>free|j</t>
  </si>
  <si>
    <t>free</t>
  </si>
  <si>
    <t>free, freer, freest</t>
  </si>
  <si>
    <t>young|j</t>
  </si>
  <si>
    <t>young</t>
  </si>
  <si>
    <t>young, younger, youngest</t>
  </si>
  <si>
    <t>weird|j</t>
  </si>
  <si>
    <t>weird</t>
  </si>
  <si>
    <t>weird, weirder, weirdest</t>
  </si>
  <si>
    <t>whatever|fw</t>
  </si>
  <si>
    <t>whatever</t>
  </si>
  <si>
    <t>brother|n</t>
  </si>
  <si>
    <t>brother</t>
  </si>
  <si>
    <t>brother, brothers</t>
  </si>
  <si>
    <t>work|n</t>
  </si>
  <si>
    <t>work, works</t>
  </si>
  <si>
    <t>kid|v</t>
  </si>
  <si>
    <t>kid, kids, kidding, kidded</t>
  </si>
  <si>
    <t>ago|r</t>
  </si>
  <si>
    <t>ago</t>
  </si>
  <si>
    <t>end|v</t>
  </si>
  <si>
    <t>end</t>
  </si>
  <si>
    <t>end, ended, ending, ends</t>
  </si>
  <si>
    <t>other|n</t>
  </si>
  <si>
    <t>other, others</t>
  </si>
  <si>
    <t>ball|n</t>
  </si>
  <si>
    <t>ball</t>
  </si>
  <si>
    <t>ball, balls</t>
  </si>
  <si>
    <t>finally|r</t>
  </si>
  <si>
    <t>finally</t>
  </si>
  <si>
    <t>line|n</t>
  </si>
  <si>
    <t>line</t>
  </si>
  <si>
    <t>line, lines</t>
  </si>
  <si>
    <t>its|fw</t>
  </si>
  <si>
    <t>its</t>
  </si>
  <si>
    <t>ha|u</t>
  </si>
  <si>
    <t>ha</t>
  </si>
  <si>
    <t>ha, hah</t>
  </si>
  <si>
    <t>important|j</t>
  </si>
  <si>
    <t>important</t>
  </si>
  <si>
    <t>fall|v</t>
  </si>
  <si>
    <t>fall</t>
  </si>
  <si>
    <t>fall, fallen, falling, falls, fell</t>
  </si>
  <si>
    <t>heart|n</t>
  </si>
  <si>
    <t>heart</t>
  </si>
  <si>
    <t>heart, hearts</t>
  </si>
  <si>
    <t>long|j</t>
  </si>
  <si>
    <t>fat|j</t>
  </si>
  <si>
    <t>fat</t>
  </si>
  <si>
    <t>fat, fatter, fattest</t>
  </si>
  <si>
    <t>class|n</t>
  </si>
  <si>
    <t>class</t>
  </si>
  <si>
    <t>class, classes</t>
  </si>
  <si>
    <t>shoot|v</t>
  </si>
  <si>
    <t>shoot</t>
  </si>
  <si>
    <t>shoot, shooting, shoots, shot</t>
  </si>
  <si>
    <t>picture|n</t>
  </si>
  <si>
    <t>picture</t>
  </si>
  <si>
    <t>picture, pictures</t>
  </si>
  <si>
    <t>sell|v</t>
  </si>
  <si>
    <t>sell</t>
  </si>
  <si>
    <t>sell, sells, selling, sold</t>
  </si>
  <si>
    <t>side|n</t>
  </si>
  <si>
    <t>side</t>
  </si>
  <si>
    <t>side, sides</t>
  </si>
  <si>
    <t>wish|v</t>
  </si>
  <si>
    <t>wish</t>
  </si>
  <si>
    <t>wish, wished, wishes, wishing</t>
  </si>
  <si>
    <t>love|n</t>
  </si>
  <si>
    <t>love, loves</t>
  </si>
  <si>
    <t>mind|n</t>
  </si>
  <si>
    <t>mind</t>
  </si>
  <si>
    <t>mind, minds</t>
  </si>
  <si>
    <t>hair|n</t>
  </si>
  <si>
    <t>hair</t>
  </si>
  <si>
    <t>hair, hairs</t>
  </si>
  <si>
    <t>cut|v</t>
  </si>
  <si>
    <t>cut</t>
  </si>
  <si>
    <t>cut, cuts, cutting</t>
  </si>
  <si>
    <t>wedding|n</t>
  </si>
  <si>
    <t>wedding</t>
  </si>
  <si>
    <t>wedding, weddings</t>
  </si>
  <si>
    <t>reason|n</t>
  </si>
  <si>
    <t>reason</t>
  </si>
  <si>
    <t>reason, reasons</t>
  </si>
  <si>
    <t>become|v</t>
  </si>
  <si>
    <t>become</t>
  </si>
  <si>
    <t>become, became, becomes, becoming</t>
  </si>
  <si>
    <t>least|fw</t>
  </si>
  <si>
    <t>least</t>
  </si>
  <si>
    <t>look|n</t>
  </si>
  <si>
    <t>bite|v</t>
  </si>
  <si>
    <t>bite</t>
  </si>
  <si>
    <t>bite, bites, biting, bit, bitten</t>
  </si>
  <si>
    <t>fuck|v</t>
  </si>
  <si>
    <t>fuck</t>
  </si>
  <si>
    <t>fuck, fucked, fucking, fucks</t>
  </si>
  <si>
    <t>under|fw</t>
  </si>
  <si>
    <t>under</t>
  </si>
  <si>
    <t>bed|n</t>
  </si>
  <si>
    <t>bed</t>
  </si>
  <si>
    <t>bed, beds</t>
  </si>
  <si>
    <t>paper|n</t>
  </si>
  <si>
    <t>paper</t>
  </si>
  <si>
    <t>paper, papers</t>
  </si>
  <si>
    <t>different|j</t>
  </si>
  <si>
    <t>different</t>
  </si>
  <si>
    <t>catch|v</t>
  </si>
  <si>
    <t>catch</t>
  </si>
  <si>
    <t>catch, catches, catching, caught</t>
  </si>
  <si>
    <t>mine|fw</t>
  </si>
  <si>
    <t>mine</t>
  </si>
  <si>
    <t>six|m</t>
  </si>
  <si>
    <t>six</t>
  </si>
  <si>
    <t>set|v</t>
  </si>
  <si>
    <t>set</t>
  </si>
  <si>
    <t>set, sets, setting</t>
  </si>
  <si>
    <t>face|n</t>
  </si>
  <si>
    <t>face</t>
  </si>
  <si>
    <t>face, faces</t>
  </si>
  <si>
    <t>speak|v</t>
  </si>
  <si>
    <t>speak</t>
  </si>
  <si>
    <t>speak, speaks, speaking, spoke, spoken</t>
  </si>
  <si>
    <t>suck|v</t>
  </si>
  <si>
    <t>suck</t>
  </si>
  <si>
    <t>suck, sucks, sucking, sucked</t>
  </si>
  <si>
    <t>sometimes|r</t>
  </si>
  <si>
    <t>sometimes</t>
  </si>
  <si>
    <t>city|n</t>
  </si>
  <si>
    <t>city</t>
  </si>
  <si>
    <t>city, cities</t>
  </si>
  <si>
    <t>special|j</t>
  </si>
  <si>
    <t>special</t>
  </si>
  <si>
    <t>stick|v</t>
  </si>
  <si>
    <t>stick</t>
  </si>
  <si>
    <t>stick, sticks, sticking, stuck</t>
  </si>
  <si>
    <t>question|n</t>
  </si>
  <si>
    <t>question</t>
  </si>
  <si>
    <t>question, questions</t>
  </si>
  <si>
    <t>dude|n</t>
  </si>
  <si>
    <t>dude</t>
  </si>
  <si>
    <t>dude, dudes</t>
  </si>
  <si>
    <t>realize|v</t>
  </si>
  <si>
    <t>realize</t>
  </si>
  <si>
    <t>realize, realized, realizes, realizing</t>
  </si>
  <si>
    <t>birthday|n</t>
  </si>
  <si>
    <t>birthday</t>
  </si>
  <si>
    <t>birthday, birthdays</t>
  </si>
  <si>
    <t>point|n</t>
  </si>
  <si>
    <t>point</t>
  </si>
  <si>
    <t>point, points</t>
  </si>
  <si>
    <t>enjoy|v</t>
  </si>
  <si>
    <t>enjoy</t>
  </si>
  <si>
    <t>enjoy, enjoyed, enjoying, enjoys</t>
  </si>
  <si>
    <t>fact|n</t>
  </si>
  <si>
    <t>fact</t>
  </si>
  <si>
    <t>fact, facts</t>
  </si>
  <si>
    <t>dance|v</t>
  </si>
  <si>
    <t>dance</t>
  </si>
  <si>
    <t>dance, danced, dances, dancing</t>
  </si>
  <si>
    <t>soon|r</t>
  </si>
  <si>
    <t>soon</t>
  </si>
  <si>
    <t>bar|n</t>
  </si>
  <si>
    <t>bar</t>
  </si>
  <si>
    <t>bar, bars</t>
  </si>
  <si>
    <t>wonder|v</t>
  </si>
  <si>
    <t>wonder</t>
  </si>
  <si>
    <t>wonder, wondered, wondering, wonders</t>
  </si>
  <si>
    <t>joke|n</t>
  </si>
  <si>
    <t>joke</t>
  </si>
  <si>
    <t>joke, jokes</t>
  </si>
  <si>
    <t>relationship|n</t>
  </si>
  <si>
    <t>relationship</t>
  </si>
  <si>
    <t>relationship, relationships</t>
  </si>
  <si>
    <t>chance|n</t>
  </si>
  <si>
    <t>chance</t>
  </si>
  <si>
    <t>chance, chances</t>
  </si>
  <si>
    <t>black|j</t>
  </si>
  <si>
    <t>black</t>
  </si>
  <si>
    <t>black, blacker, blackest</t>
  </si>
  <si>
    <t>almost|r</t>
  </si>
  <si>
    <t>almost</t>
  </si>
  <si>
    <t>fight|v</t>
  </si>
  <si>
    <t>fight</t>
  </si>
  <si>
    <t>fight, fights, fighting, fought</t>
  </si>
  <si>
    <t>card|n</t>
  </si>
  <si>
    <t>card</t>
  </si>
  <si>
    <t>card, cards</t>
  </si>
  <si>
    <t>song|n</t>
  </si>
  <si>
    <t>song</t>
  </si>
  <si>
    <t>song, songs</t>
  </si>
  <si>
    <t>little|fw</t>
  </si>
  <si>
    <t>bye|u</t>
  </si>
  <si>
    <t>bye</t>
  </si>
  <si>
    <t>bye, bye</t>
  </si>
  <si>
    <t>coffee|n</t>
  </si>
  <si>
    <t>coffee</t>
  </si>
  <si>
    <t>coffee, coffees</t>
  </si>
  <si>
    <t>awesome|j</t>
  </si>
  <si>
    <t>awesome</t>
  </si>
  <si>
    <t>sick|j</t>
  </si>
  <si>
    <t>sick</t>
  </si>
  <si>
    <t>sick, sicker, sickest</t>
  </si>
  <si>
    <t>apartment|n</t>
  </si>
  <si>
    <t>apartment</t>
  </si>
  <si>
    <t>apartment, apartments</t>
  </si>
  <si>
    <t>sorry|u</t>
  </si>
  <si>
    <t>back|n</t>
  </si>
  <si>
    <t>back, backs</t>
  </si>
  <si>
    <t>figure|v</t>
  </si>
  <si>
    <t>figure</t>
  </si>
  <si>
    <t>figure, figured, figures, figuring</t>
  </si>
  <si>
    <t>pull|v</t>
  </si>
  <si>
    <t>pull</t>
  </si>
  <si>
    <t>pull, pulled, pulling, pulls</t>
  </si>
  <si>
    <t>box|n</t>
  </si>
  <si>
    <t>box</t>
  </si>
  <si>
    <t>box, boxes</t>
  </si>
  <si>
    <t>dream|n</t>
  </si>
  <si>
    <t>dream</t>
  </si>
  <si>
    <t>dream, dreams</t>
  </si>
  <si>
    <t>water|n</t>
  </si>
  <si>
    <t>water</t>
  </si>
  <si>
    <t>water, waters</t>
  </si>
  <si>
    <t>decide|v</t>
  </si>
  <si>
    <t>decide</t>
  </si>
  <si>
    <t>decide, decided, decides, deciding</t>
  </si>
  <si>
    <t>store|n</t>
  </si>
  <si>
    <t>store</t>
  </si>
  <si>
    <t>store, stores</t>
  </si>
  <si>
    <t>bet|v</t>
  </si>
  <si>
    <t>bet</t>
  </si>
  <si>
    <t>bet, bets, betting</t>
  </si>
  <si>
    <t>lunch|n</t>
  </si>
  <si>
    <t>lunch</t>
  </si>
  <si>
    <t>lunch, lunches</t>
  </si>
  <si>
    <t>face|v</t>
  </si>
  <si>
    <t>face, faces, facing, faced</t>
  </si>
  <si>
    <t>anybody|fw</t>
  </si>
  <si>
    <t>anybody</t>
  </si>
  <si>
    <t>afraid|j</t>
  </si>
  <si>
    <t>afraid</t>
  </si>
  <si>
    <t>buddy|n</t>
  </si>
  <si>
    <t>buddy</t>
  </si>
  <si>
    <t>buddy, buddies</t>
  </si>
  <si>
    <t>cute|j</t>
  </si>
  <si>
    <t>cute</t>
  </si>
  <si>
    <t>cute, cuter, cutest</t>
  </si>
  <si>
    <t>close|j</t>
  </si>
  <si>
    <t>close</t>
  </si>
  <si>
    <t>close, closer, closest</t>
  </si>
  <si>
    <t>bathroom|n</t>
  </si>
  <si>
    <t>bathroom</t>
  </si>
  <si>
    <t>bathroom, bathrooms</t>
  </si>
  <si>
    <t>show|n</t>
  </si>
  <si>
    <t>show, shows</t>
  </si>
  <si>
    <t>mind|v</t>
  </si>
  <si>
    <t>mind, minded, minding, minds</t>
  </si>
  <si>
    <t>steal|v</t>
  </si>
  <si>
    <t>steal</t>
  </si>
  <si>
    <t>steal, steals, stealing, stole, stolen</t>
  </si>
  <si>
    <t>full|j</t>
  </si>
  <si>
    <t>full</t>
  </si>
  <si>
    <t>full, fuller, fullest</t>
  </si>
  <si>
    <t>company|n</t>
  </si>
  <si>
    <t>company</t>
  </si>
  <si>
    <t>company, companies</t>
  </si>
  <si>
    <t>front|n</t>
  </si>
  <si>
    <t>front</t>
  </si>
  <si>
    <t>front, fronts</t>
  </si>
  <si>
    <t>ahead|r</t>
  </si>
  <si>
    <t>ahead</t>
  </si>
  <si>
    <t>moment|n</t>
  </si>
  <si>
    <t>moment</t>
  </si>
  <si>
    <t>moment, moments</t>
  </si>
  <si>
    <t>case|n</t>
  </si>
  <si>
    <t>case</t>
  </si>
  <si>
    <t>case, cases</t>
  </si>
  <si>
    <t>date|v</t>
  </si>
  <si>
    <t>date, dated, dates, dating</t>
  </si>
  <si>
    <t>though|fw</t>
  </si>
  <si>
    <t>though</t>
  </si>
  <si>
    <t>though, tho</t>
  </si>
  <si>
    <t>body|n</t>
  </si>
  <si>
    <t>body</t>
  </si>
  <si>
    <t>body, bodies</t>
  </si>
  <si>
    <t>Mrs|n</t>
  </si>
  <si>
    <t>Mrs</t>
  </si>
  <si>
    <t>Mrs., Mmes.</t>
  </si>
  <si>
    <t>pants|n</t>
  </si>
  <si>
    <t>pants</t>
  </si>
  <si>
    <t>bitch|n</t>
  </si>
  <si>
    <t>bitch</t>
  </si>
  <si>
    <t>bitch, bitches</t>
  </si>
  <si>
    <t>promise|v</t>
  </si>
  <si>
    <t>promise</t>
  </si>
  <si>
    <t>promise, promises, promising, promised</t>
  </si>
  <si>
    <t>glad|j</t>
  </si>
  <si>
    <t>glad</t>
  </si>
  <si>
    <t>glad, gladder, gladdest</t>
  </si>
  <si>
    <t>kiss|v</t>
  </si>
  <si>
    <t>kiss</t>
  </si>
  <si>
    <t>kiss, kissed, kisses, kissing</t>
  </si>
  <si>
    <t>either|fw</t>
  </si>
  <si>
    <t>either</t>
  </si>
  <si>
    <t>fire|v</t>
  </si>
  <si>
    <t>fire</t>
  </si>
  <si>
    <t>fire, fires, firing, fired</t>
  </si>
  <si>
    <t>grow|v</t>
  </si>
  <si>
    <t>grow</t>
  </si>
  <si>
    <t>grow, grows, growing, grew, grown</t>
  </si>
  <si>
    <t>build|v</t>
  </si>
  <si>
    <t>build</t>
  </si>
  <si>
    <t>build, builds, building, built</t>
  </si>
  <si>
    <t>table|n</t>
  </si>
  <si>
    <t>table</t>
  </si>
  <si>
    <t>table, tables</t>
  </si>
  <si>
    <t>ticket|n</t>
  </si>
  <si>
    <t>ticket</t>
  </si>
  <si>
    <t>ticket, tickets</t>
  </si>
  <si>
    <t>matter|v</t>
  </si>
  <si>
    <t>matter</t>
  </si>
  <si>
    <t>matter, matters, mattering, mattered</t>
  </si>
  <si>
    <t>teach|v</t>
  </si>
  <si>
    <t>teach</t>
  </si>
  <si>
    <t>teach, teaches, teaching, taught</t>
  </si>
  <si>
    <t>cat|n</t>
  </si>
  <si>
    <t>cat</t>
  </si>
  <si>
    <t>cat, cats</t>
  </si>
  <si>
    <t>sister|n</t>
  </si>
  <si>
    <t>sister</t>
  </si>
  <si>
    <t>sister, sisters</t>
  </si>
  <si>
    <t>girlfriend|n</t>
  </si>
  <si>
    <t>girlfriend</t>
  </si>
  <si>
    <t>girlfriend, girlfriends</t>
  </si>
  <si>
    <t>hat|n</t>
  </si>
  <si>
    <t>hat</t>
  </si>
  <si>
    <t>hat, hats</t>
  </si>
  <si>
    <t>touch|v</t>
  </si>
  <si>
    <t>touch</t>
  </si>
  <si>
    <t>touch, touches, touching, touched</t>
  </si>
  <si>
    <t>terrible|j</t>
  </si>
  <si>
    <t>terrible</t>
  </si>
  <si>
    <t>beer|n</t>
  </si>
  <si>
    <t>beer</t>
  </si>
  <si>
    <t>beer, beers</t>
  </si>
  <si>
    <t>damn|u</t>
  </si>
  <si>
    <t>damn</t>
  </si>
  <si>
    <t>mm-hmm|u</t>
  </si>
  <si>
    <t>mm-hmm</t>
  </si>
  <si>
    <t>club|n</t>
  </si>
  <si>
    <t>club</t>
  </si>
  <si>
    <t>club, clubs</t>
  </si>
  <si>
    <t>amaze|v</t>
  </si>
  <si>
    <t>amaze</t>
  </si>
  <si>
    <t>amaze, amazes, amazing, amazed</t>
  </si>
  <si>
    <t>smell|v</t>
  </si>
  <si>
    <t>smell</t>
  </si>
  <si>
    <t>smell, smells, smelling, smelled, smelt</t>
  </si>
  <si>
    <t>gift|n</t>
  </si>
  <si>
    <t>gift</t>
  </si>
  <si>
    <t>gift, gifts</t>
  </si>
  <si>
    <t>serious|j</t>
  </si>
  <si>
    <t>serious</t>
  </si>
  <si>
    <t>plan|v</t>
  </si>
  <si>
    <t>plan</t>
  </si>
  <si>
    <t>plan, plans, planning, planned</t>
  </si>
  <si>
    <t>street|n</t>
  </si>
  <si>
    <t>street</t>
  </si>
  <si>
    <t>street, streets</t>
  </si>
  <si>
    <t>team|n</t>
  </si>
  <si>
    <t>team</t>
  </si>
  <si>
    <t>team, teams</t>
  </si>
  <si>
    <t>order|v</t>
  </si>
  <si>
    <t>order</t>
  </si>
  <si>
    <t>order, orders, ordering, ordered</t>
  </si>
  <si>
    <t>cry|v</t>
  </si>
  <si>
    <t>cry</t>
  </si>
  <si>
    <t>cry, cries, crying, cried</t>
  </si>
  <si>
    <t>zero|m</t>
  </si>
  <si>
    <t>zero</t>
  </si>
  <si>
    <t>drop|v</t>
  </si>
  <si>
    <t>drop</t>
  </si>
  <si>
    <t>drop, drops, dropping, dropped</t>
  </si>
  <si>
    <t>act|v</t>
  </si>
  <si>
    <t>act</t>
  </si>
  <si>
    <t>act, acts, acting, acted</t>
  </si>
  <si>
    <t>alone|j</t>
  </si>
  <si>
    <t>alone</t>
  </si>
  <si>
    <t>seat|n</t>
  </si>
  <si>
    <t>seat</t>
  </si>
  <si>
    <t>seat, seats</t>
  </si>
  <si>
    <t>eh|u</t>
  </si>
  <si>
    <t>eh</t>
  </si>
  <si>
    <t>between|fw</t>
  </si>
  <si>
    <t>between</t>
  </si>
  <si>
    <t>eight|m</t>
  </si>
  <si>
    <t>eight</t>
  </si>
  <si>
    <t>twenty|m</t>
  </si>
  <si>
    <t>twenty</t>
  </si>
  <si>
    <t>foot|n</t>
  </si>
  <si>
    <t>foot</t>
  </si>
  <si>
    <t>foot, feet</t>
  </si>
  <si>
    <t>seven|m</t>
  </si>
  <si>
    <t>seven</t>
  </si>
  <si>
    <t>finish|v</t>
  </si>
  <si>
    <t>finish</t>
  </si>
  <si>
    <t>finish, finishes, finishing, finished</t>
  </si>
  <si>
    <t>gentleman|n</t>
  </si>
  <si>
    <t>gentleman</t>
  </si>
  <si>
    <t>gentleman, gentlemen</t>
  </si>
  <si>
    <t>hand|v</t>
  </si>
  <si>
    <t>hand, hands, handing, handed</t>
  </si>
  <si>
    <t>point|v</t>
  </si>
  <si>
    <t>point, points, pointing, pointed</t>
  </si>
  <si>
    <t>blow|v</t>
  </si>
  <si>
    <t>blow</t>
  </si>
  <si>
    <t>blow, blows, blowing, blew, blown</t>
  </si>
  <si>
    <t>small|j</t>
  </si>
  <si>
    <t>small</t>
  </si>
  <si>
    <t>small, smaller, smallest</t>
  </si>
  <si>
    <t>trouble|n</t>
  </si>
  <si>
    <t>trouble</t>
  </si>
  <si>
    <t>trouble, troubles</t>
  </si>
  <si>
    <t>sweetie|n</t>
  </si>
  <si>
    <t>sweetie</t>
  </si>
  <si>
    <t>sweetie, sweeties</t>
  </si>
  <si>
    <t>sing|v</t>
  </si>
  <si>
    <t>sing</t>
  </si>
  <si>
    <t>sing, sings, singing, sang, sung</t>
  </si>
  <si>
    <t>pass|v</t>
  </si>
  <si>
    <t>pass</t>
  </si>
  <si>
    <t>pass, passes, passing, passed</t>
  </si>
  <si>
    <t>beat|v</t>
  </si>
  <si>
    <t>beat</t>
  </si>
  <si>
    <t>beat, beats, beating, beaten</t>
  </si>
  <si>
    <t>piece|n</t>
  </si>
  <si>
    <t>piece</t>
  </si>
  <si>
    <t>piece, pieces</t>
  </si>
  <si>
    <t>shoe|n</t>
  </si>
  <si>
    <t>shoe</t>
  </si>
  <si>
    <t>shoe, shoes</t>
  </si>
  <si>
    <t>welcome|j</t>
  </si>
  <si>
    <t>welcome</t>
  </si>
  <si>
    <t>god|n</t>
  </si>
  <si>
    <t>god</t>
  </si>
  <si>
    <t>god, gods</t>
  </si>
  <si>
    <t>white|j</t>
  </si>
  <si>
    <t>white</t>
  </si>
  <si>
    <t>white, whiter, whitest</t>
  </si>
  <si>
    <t>kick|v</t>
  </si>
  <si>
    <t>kick</t>
  </si>
  <si>
    <t>kick, kicks, kicking, kicked</t>
  </si>
  <si>
    <t>bag|n</t>
  </si>
  <si>
    <t>bag</t>
  </si>
  <si>
    <t>bag, bags</t>
  </si>
  <si>
    <t>fire|n</t>
  </si>
  <si>
    <t>fire, fires</t>
  </si>
  <si>
    <t>early|j</t>
  </si>
  <si>
    <t>early</t>
  </si>
  <si>
    <t>early, earlier, earliest</t>
  </si>
  <si>
    <t>excite|v</t>
  </si>
  <si>
    <t>excite</t>
  </si>
  <si>
    <t>excite, excites, exciting, excited</t>
  </si>
  <si>
    <t>wonderful|j</t>
  </si>
  <si>
    <t>wonderful</t>
  </si>
  <si>
    <t>seriously|r</t>
  </si>
  <si>
    <t>seriously</t>
  </si>
  <si>
    <t>country|n</t>
  </si>
  <si>
    <t>country</t>
  </si>
  <si>
    <t>country, countries</t>
  </si>
  <si>
    <t>mouth|n</t>
  </si>
  <si>
    <t>mouth</t>
  </si>
  <si>
    <t>mouth, mouths</t>
  </si>
  <si>
    <t>question|v</t>
  </si>
  <si>
    <t>question, questions, questioning, questioned</t>
  </si>
  <si>
    <t>dear|j</t>
  </si>
  <si>
    <t>dear</t>
  </si>
  <si>
    <t>dear, dearer, dearest</t>
  </si>
  <si>
    <t>quite|r</t>
  </si>
  <si>
    <t>quite</t>
  </si>
  <si>
    <t>smart|j</t>
  </si>
  <si>
    <t>smart</t>
  </si>
  <si>
    <t>smart, smarter, smartest</t>
  </si>
  <si>
    <t>husband|n</t>
  </si>
  <si>
    <t>husband</t>
  </si>
  <si>
    <t>husband, husbands</t>
  </si>
  <si>
    <t>shh|u</t>
  </si>
  <si>
    <t>shh</t>
  </si>
  <si>
    <t>shh, sh, shhh</t>
  </si>
  <si>
    <t>invite|v</t>
  </si>
  <si>
    <t>invite</t>
  </si>
  <si>
    <t>invite, invites, inviting, invited</t>
  </si>
  <si>
    <t>rest|n</t>
  </si>
  <si>
    <t>rest</t>
  </si>
  <si>
    <t>rest, rests</t>
  </si>
  <si>
    <t>yours|fw</t>
  </si>
  <si>
    <t>yours</t>
  </si>
  <si>
    <t>behind|fw</t>
  </si>
  <si>
    <t>behind</t>
  </si>
  <si>
    <t>key|n</t>
  </si>
  <si>
    <t>key</t>
  </si>
  <si>
    <t>key, keys</t>
  </si>
  <si>
    <t>end|n</t>
  </si>
  <si>
    <t>end, ends</t>
  </si>
  <si>
    <t>dress|v</t>
  </si>
  <si>
    <t>dress</t>
  </si>
  <si>
    <t>dress, dresses, dressing, dressed</t>
  </si>
  <si>
    <t>red|j</t>
  </si>
  <si>
    <t>red</t>
  </si>
  <si>
    <t>red, redder, reddest</t>
  </si>
  <si>
    <t>laugh|v</t>
  </si>
  <si>
    <t>laugh</t>
  </si>
  <si>
    <t>laugh, laughs, laughing, laughed</t>
  </si>
  <si>
    <t>help|n</t>
  </si>
  <si>
    <t>agree|v</t>
  </si>
  <si>
    <t>agree</t>
  </si>
  <si>
    <t>agree, agrees, agreeing, agreed</t>
  </si>
  <si>
    <t>machine|n</t>
  </si>
  <si>
    <t>machine</t>
  </si>
  <si>
    <t>machine, machines</t>
  </si>
  <si>
    <t>yep|r</t>
  </si>
  <si>
    <t>yep</t>
  </si>
  <si>
    <t>return|v</t>
  </si>
  <si>
    <t>return</t>
  </si>
  <si>
    <t>return, returns, returning, returned</t>
  </si>
  <si>
    <t>space|n</t>
  </si>
  <si>
    <t>space</t>
  </si>
  <si>
    <t>space, spaces</t>
  </si>
  <si>
    <t>mad|j</t>
  </si>
  <si>
    <t>mad</t>
  </si>
  <si>
    <t>mad, madder, maddest</t>
  </si>
  <si>
    <t>truth|n</t>
  </si>
  <si>
    <t>truth</t>
  </si>
  <si>
    <t>truth, truths</t>
  </si>
  <si>
    <t>ice|n</t>
  </si>
  <si>
    <t>ice</t>
  </si>
  <si>
    <t>ice, ices</t>
  </si>
  <si>
    <t>follow|v</t>
  </si>
  <si>
    <t>follow</t>
  </si>
  <si>
    <t>follow, follows, following, followed</t>
  </si>
  <si>
    <t>outside|fw</t>
  </si>
  <si>
    <t>outside</t>
  </si>
  <si>
    <t>idiot|n</t>
  </si>
  <si>
    <t>idiot</t>
  </si>
  <si>
    <t>idiot, idiots</t>
  </si>
  <si>
    <t>rule|n</t>
  </si>
  <si>
    <t>rule</t>
  </si>
  <si>
    <t>rule, rules</t>
  </si>
  <si>
    <t>absolutely|r</t>
  </si>
  <si>
    <t>absolutely</t>
  </si>
  <si>
    <t>next|r</t>
  </si>
  <si>
    <t>against|fw</t>
  </si>
  <si>
    <t>against</t>
  </si>
  <si>
    <t>American|K</t>
  </si>
  <si>
    <t>American</t>
  </si>
  <si>
    <t>American, Americans</t>
  </si>
  <si>
    <t>need|n</t>
  </si>
  <si>
    <t>need, needs</t>
  </si>
  <si>
    <t>scare|v</t>
  </si>
  <si>
    <t>scare</t>
  </si>
  <si>
    <t>scare, scares, scaring, scared</t>
  </si>
  <si>
    <t>notice|v</t>
  </si>
  <si>
    <t>notice</t>
  </si>
  <si>
    <t>notice, notices, noticing, noticed</t>
  </si>
  <si>
    <t>chicken|n</t>
  </si>
  <si>
    <t>chicken</t>
  </si>
  <si>
    <t>chicken, chickens</t>
  </si>
  <si>
    <t>ride|v</t>
  </si>
  <si>
    <t>ride</t>
  </si>
  <si>
    <t>ride, rides, riding, rode, ridden</t>
  </si>
  <si>
    <t>music|n</t>
  </si>
  <si>
    <t>music</t>
  </si>
  <si>
    <t>join|v</t>
  </si>
  <si>
    <t>join</t>
  </si>
  <si>
    <t>join, joins, joining, joined</t>
  </si>
  <si>
    <t>next|fw</t>
  </si>
  <si>
    <t>good-bye|u</t>
  </si>
  <si>
    <t>good-bye</t>
  </si>
  <si>
    <t>good-bye, goodbye</t>
  </si>
  <si>
    <t>ruin|v</t>
  </si>
  <si>
    <t>ruin</t>
  </si>
  <si>
    <t>ruin, ruins, ruining, ruined</t>
  </si>
  <si>
    <t>war|n</t>
  </si>
  <si>
    <t>war</t>
  </si>
  <si>
    <t>war, wars</t>
  </si>
  <si>
    <t>screw|v</t>
  </si>
  <si>
    <t>screw</t>
  </si>
  <si>
    <t>screw, screws, screwing, screwed</t>
  </si>
  <si>
    <t>light|n</t>
  </si>
  <si>
    <t>light</t>
  </si>
  <si>
    <t>light, lights</t>
  </si>
  <si>
    <t>along|fw</t>
  </si>
  <si>
    <t>along</t>
  </si>
  <si>
    <t>poor|j</t>
  </si>
  <si>
    <t>poor</t>
  </si>
  <si>
    <t>poor, poorer, poorest</t>
  </si>
  <si>
    <t>sense|n</t>
  </si>
  <si>
    <t>sense</t>
  </si>
  <si>
    <t>sense, senses</t>
  </si>
  <si>
    <t>able|j</t>
  </si>
  <si>
    <t>able</t>
  </si>
  <si>
    <t>able, abler, ablest</t>
  </si>
  <si>
    <t>matter|n</t>
  </si>
  <si>
    <t>matter, matters</t>
  </si>
  <si>
    <t>secret|n</t>
  </si>
  <si>
    <t>secret</t>
  </si>
  <si>
    <t>secret, secrets</t>
  </si>
  <si>
    <t>fly|v</t>
  </si>
  <si>
    <t>fly</t>
  </si>
  <si>
    <t>fly, flies, flying, flew, flown</t>
  </si>
  <si>
    <t>top|n</t>
  </si>
  <si>
    <t>top</t>
  </si>
  <si>
    <t>top, tops</t>
  </si>
  <si>
    <t>sure|r</t>
  </si>
  <si>
    <t>fair|j</t>
  </si>
  <si>
    <t>fair</t>
  </si>
  <si>
    <t>fair, fairer, fairest</t>
  </si>
  <si>
    <t>relax|v</t>
  </si>
  <si>
    <t>relax</t>
  </si>
  <si>
    <t>relax, relaxes, relaxing, relaxed</t>
  </si>
  <si>
    <t>boyfriend|n</t>
  </si>
  <si>
    <t>boyfriend</t>
  </si>
  <si>
    <t>boyfriend, boyfriends</t>
  </si>
  <si>
    <t>plan|n</t>
  </si>
  <si>
    <t>plan, plans</t>
  </si>
  <si>
    <t>mistake|n</t>
  </si>
  <si>
    <t>mistake</t>
  </si>
  <si>
    <t>mistake, mistakes</t>
  </si>
  <si>
    <t>luck|n</t>
  </si>
  <si>
    <t>luck</t>
  </si>
  <si>
    <t>group|n</t>
  </si>
  <si>
    <t>group</t>
  </si>
  <si>
    <t>group, groups</t>
  </si>
  <si>
    <t>daughter|n</t>
  </si>
  <si>
    <t>daughter</t>
  </si>
  <si>
    <t>daughter, daughterly, daughters</t>
  </si>
  <si>
    <t>college|n</t>
  </si>
  <si>
    <t>college</t>
  </si>
  <si>
    <t>college, colleges</t>
  </si>
  <si>
    <t>president|n</t>
  </si>
  <si>
    <t>president</t>
  </si>
  <si>
    <t>president, presidents</t>
  </si>
  <si>
    <t>far|r</t>
  </si>
  <si>
    <t>far</t>
  </si>
  <si>
    <t>far, farther, further, farthest, furthest</t>
  </si>
  <si>
    <t>sign|v</t>
  </si>
  <si>
    <t>sign</t>
  </si>
  <si>
    <t>sign, signs, signing, signed</t>
  </si>
  <si>
    <t>close|v</t>
  </si>
  <si>
    <t>close, closes, closing, closed</t>
  </si>
  <si>
    <t>message|n</t>
  </si>
  <si>
    <t>message</t>
  </si>
  <si>
    <t>message, messages</t>
  </si>
  <si>
    <t>freak|v</t>
  </si>
  <si>
    <t>freak</t>
  </si>
  <si>
    <t>freak, freaks, freaking, freaked</t>
  </si>
  <si>
    <t>fault|n</t>
  </si>
  <si>
    <t>fault</t>
  </si>
  <si>
    <t>fault, faulted, faulting, faultless, faultlessly, faultlessness, faults</t>
  </si>
  <si>
    <t>quick|j</t>
  </si>
  <si>
    <t>quick</t>
  </si>
  <si>
    <t>quick, quicker, quickest</t>
  </si>
  <si>
    <t>till|fw</t>
  </si>
  <si>
    <t>till</t>
  </si>
  <si>
    <t>except|fw</t>
  </si>
  <si>
    <t>except</t>
  </si>
  <si>
    <t>single|j</t>
  </si>
  <si>
    <t>single</t>
  </si>
  <si>
    <t>shirt|n</t>
  </si>
  <si>
    <t>shirt</t>
  </si>
  <si>
    <t>shirt, shirts</t>
  </si>
  <si>
    <t>choice|n</t>
  </si>
  <si>
    <t>choice</t>
  </si>
  <si>
    <t>choice, choices</t>
  </si>
  <si>
    <t>attention|n</t>
  </si>
  <si>
    <t>attention</t>
  </si>
  <si>
    <t>power|n</t>
  </si>
  <si>
    <t>power</t>
  </si>
  <si>
    <t>power, powers</t>
  </si>
  <si>
    <t>quit|v</t>
  </si>
  <si>
    <t>quit</t>
  </si>
  <si>
    <t>quit, quits, quitting, quitted</t>
  </si>
  <si>
    <t>answer|n</t>
  </si>
  <si>
    <t>answer</t>
  </si>
  <si>
    <t>answer, answers</t>
  </si>
  <si>
    <t>trust|v</t>
  </si>
  <si>
    <t>trust</t>
  </si>
  <si>
    <t>trust, trusts, trusting, trusted</t>
  </si>
  <si>
    <t>fifty|m</t>
  </si>
  <si>
    <t>fifty</t>
  </si>
  <si>
    <t>fifty, fifties</t>
  </si>
  <si>
    <t>leg|n</t>
  </si>
  <si>
    <t>leg</t>
  </si>
  <si>
    <t>leg, legs</t>
  </si>
  <si>
    <t>wake|v</t>
  </si>
  <si>
    <t>wake</t>
  </si>
  <si>
    <t>wake, wakes, waking, waked, woke, woken</t>
  </si>
  <si>
    <t>human|j</t>
  </si>
  <si>
    <t>human</t>
  </si>
  <si>
    <t>star|n</t>
  </si>
  <si>
    <t>star</t>
  </si>
  <si>
    <t>star, stars</t>
  </si>
  <si>
    <t>student|n</t>
  </si>
  <si>
    <t>student</t>
  </si>
  <si>
    <t>student, students</t>
  </si>
  <si>
    <t>air|n</t>
  </si>
  <si>
    <t>air</t>
  </si>
  <si>
    <t>air, airs</t>
  </si>
  <si>
    <t>chair|n</t>
  </si>
  <si>
    <t>chair</t>
  </si>
  <si>
    <t>chair, chairs</t>
  </si>
  <si>
    <t>gun|n</t>
  </si>
  <si>
    <t>gun</t>
  </si>
  <si>
    <t>gun, guns</t>
  </si>
  <si>
    <t>begin|v</t>
  </si>
  <si>
    <t>begin</t>
  </si>
  <si>
    <t>begin, begins, beginning, began, begun</t>
  </si>
  <si>
    <t>death|n</t>
  </si>
  <si>
    <t>death</t>
  </si>
  <si>
    <t>death, deaths</t>
  </si>
  <si>
    <t>tree|n</t>
  </si>
  <si>
    <t>tree</t>
  </si>
  <si>
    <t>tree, trees</t>
  </si>
  <si>
    <t>boss|n</t>
  </si>
  <si>
    <t>boss</t>
  </si>
  <si>
    <t>boss, bosses</t>
  </si>
  <si>
    <t>while|n</t>
  </si>
  <si>
    <t>while, whiles</t>
  </si>
  <si>
    <t>present|n</t>
  </si>
  <si>
    <t>present</t>
  </si>
  <si>
    <t>present, presents</t>
  </si>
  <si>
    <t>instead|r</t>
  </si>
  <si>
    <t>instead</t>
  </si>
  <si>
    <t>lucky|j</t>
  </si>
  <si>
    <t>lucky</t>
  </si>
  <si>
    <t>lucky, luckier, luckiest</t>
  </si>
  <si>
    <t>safe|j</t>
  </si>
  <si>
    <t>safe</t>
  </si>
  <si>
    <t>safe, safer, safest</t>
  </si>
  <si>
    <t>cold|j</t>
  </si>
  <si>
    <t>cold</t>
  </si>
  <si>
    <t>cold, colder, coldest</t>
  </si>
  <si>
    <t>ahh|u</t>
  </si>
  <si>
    <t>ahh</t>
  </si>
  <si>
    <t>explain|v</t>
  </si>
  <si>
    <t>explain</t>
  </si>
  <si>
    <t>explain, explains, explaining, explained</t>
  </si>
  <si>
    <t>video|n</t>
  </si>
  <si>
    <t>video</t>
  </si>
  <si>
    <t>video, videos</t>
  </si>
  <si>
    <t>brain|n</t>
  </si>
  <si>
    <t>brain</t>
  </si>
  <si>
    <t>brain, brains</t>
  </si>
  <si>
    <t>completely|r</t>
  </si>
  <si>
    <t>completely</t>
  </si>
  <si>
    <t>voice|n</t>
  </si>
  <si>
    <t>voice</t>
  </si>
  <si>
    <t>voice, voices</t>
  </si>
  <si>
    <t>cake|n</t>
  </si>
  <si>
    <t>cake</t>
  </si>
  <si>
    <t>cake, cakes</t>
  </si>
  <si>
    <t>drink|n</t>
  </si>
  <si>
    <t>drink, drinks</t>
  </si>
  <si>
    <t>trip|n</t>
  </si>
  <si>
    <t>trip</t>
  </si>
  <si>
    <t>trip, trips</t>
  </si>
  <si>
    <t>monkey|n</t>
  </si>
  <si>
    <t>monkey</t>
  </si>
  <si>
    <t>monkey, monkeys</t>
  </si>
  <si>
    <t>hundred|m</t>
  </si>
  <si>
    <t>hundred</t>
  </si>
  <si>
    <t>hundred, hundreds</t>
  </si>
  <si>
    <t>fix|v</t>
  </si>
  <si>
    <t>fix</t>
  </si>
  <si>
    <t>fix, fixes, fixing, fixed</t>
  </si>
  <si>
    <t>entire|j</t>
  </si>
  <si>
    <t>entire</t>
  </si>
  <si>
    <t>expect|v</t>
  </si>
  <si>
    <t>expect</t>
  </si>
  <si>
    <t>expect, expected, expecting, expects</t>
  </si>
  <si>
    <t>million|m</t>
  </si>
  <si>
    <t>million</t>
  </si>
  <si>
    <t>million, millions</t>
  </si>
  <si>
    <t>allow|v</t>
  </si>
  <si>
    <t>allow</t>
  </si>
  <si>
    <t>allow, allows, allowing, allowed</t>
  </si>
  <si>
    <t>forever|r</t>
  </si>
  <si>
    <t>forever</t>
  </si>
  <si>
    <t>ugh|u</t>
  </si>
  <si>
    <t>ugh</t>
  </si>
  <si>
    <t>hide|v</t>
  </si>
  <si>
    <t>hide</t>
  </si>
  <si>
    <t>hide, hides, hiding, hid, hidden</t>
  </si>
  <si>
    <t>huge|j</t>
  </si>
  <si>
    <t>huge</t>
  </si>
  <si>
    <t>huge, huger, hugest</t>
  </si>
  <si>
    <t>interesting|j</t>
  </si>
  <si>
    <t>interesting</t>
  </si>
  <si>
    <t>fight|n</t>
  </si>
  <si>
    <t>fight, fights</t>
  </si>
  <si>
    <t>roll|v</t>
  </si>
  <si>
    <t>roll</t>
  </si>
  <si>
    <t>roll, rolls, rolling, rolled</t>
  </si>
  <si>
    <t>clothes|n</t>
  </si>
  <si>
    <t>clothes</t>
  </si>
  <si>
    <t>fast|r</t>
  </si>
  <si>
    <t>fast</t>
  </si>
  <si>
    <t>fast, faster, fastest</t>
  </si>
  <si>
    <t>grab|v</t>
  </si>
  <si>
    <t>grab</t>
  </si>
  <si>
    <t>grab, grabs, grabbing, grabbed</t>
  </si>
  <si>
    <t>teacher|n</t>
  </si>
  <si>
    <t>teacher</t>
  </si>
  <si>
    <t>teacher, teachers</t>
  </si>
  <si>
    <t>crap|n</t>
  </si>
  <si>
    <t>crap</t>
  </si>
  <si>
    <t>crap, craps</t>
  </si>
  <si>
    <t>animal|n</t>
  </si>
  <si>
    <t>animal</t>
  </si>
  <si>
    <t>animal, animals</t>
  </si>
  <si>
    <t>burn|v</t>
  </si>
  <si>
    <t>burn</t>
  </si>
  <si>
    <t>burn, burns, burning, burned, burnt</t>
  </si>
  <si>
    <t>tough|j</t>
  </si>
  <si>
    <t>tough</t>
  </si>
  <si>
    <t>tough, tougher, toughest</t>
  </si>
  <si>
    <t>restaurant|n</t>
  </si>
  <si>
    <t>restaurant</t>
  </si>
  <si>
    <t>restaurant, restaurants</t>
  </si>
  <si>
    <t>sort|n</t>
  </si>
  <si>
    <t>sort</t>
  </si>
  <si>
    <t>sort, sorts</t>
  </si>
  <si>
    <t>tooth|n</t>
  </si>
  <si>
    <t>tooth</t>
  </si>
  <si>
    <t>tooth, teeth</t>
  </si>
  <si>
    <t>marriage|n</t>
  </si>
  <si>
    <t>marriage</t>
  </si>
  <si>
    <t>marriage, marriages</t>
  </si>
  <si>
    <t>proud|j</t>
  </si>
  <si>
    <t>proud</t>
  </si>
  <si>
    <t>proud, prouder, proudest</t>
  </si>
  <si>
    <t>uncle|n</t>
  </si>
  <si>
    <t>uncle</t>
  </si>
  <si>
    <t>uncle, uncles</t>
  </si>
  <si>
    <t>push|v</t>
  </si>
  <si>
    <t>push</t>
  </si>
  <si>
    <t>push, pushes, pushing, pushed</t>
  </si>
  <si>
    <t>butt|n</t>
  </si>
  <si>
    <t>butt</t>
  </si>
  <si>
    <t>butt, butts</t>
  </si>
  <si>
    <t>offer|v</t>
  </si>
  <si>
    <t>offer</t>
  </si>
  <si>
    <t>offer, offers, offering, offered</t>
  </si>
  <si>
    <t>lord|n</t>
  </si>
  <si>
    <t>lord</t>
  </si>
  <si>
    <t>lord, lords</t>
  </si>
  <si>
    <t>unless|fw</t>
  </si>
  <si>
    <t>unless</t>
  </si>
  <si>
    <t>feeling|n</t>
  </si>
  <si>
    <t>feeling</t>
  </si>
  <si>
    <t>feeling, feelings</t>
  </si>
  <si>
    <t>suit|n</t>
  </si>
  <si>
    <t>suit</t>
  </si>
  <si>
    <t>suit, suits</t>
  </si>
  <si>
    <t>uh-huh|u</t>
  </si>
  <si>
    <t>uh-huh</t>
  </si>
  <si>
    <t>floor|n</t>
  </si>
  <si>
    <t>floor</t>
  </si>
  <si>
    <t>floor, floors</t>
  </si>
  <si>
    <t>cream|n</t>
  </si>
  <si>
    <t>cream</t>
  </si>
  <si>
    <t>cream, creams</t>
  </si>
  <si>
    <t>favorite|j</t>
  </si>
  <si>
    <t>favorite</t>
  </si>
  <si>
    <t>naked|j</t>
  </si>
  <si>
    <t>naked</t>
  </si>
  <si>
    <t>list|n</t>
  </si>
  <si>
    <t>list</t>
  </si>
  <si>
    <t>list, lists</t>
  </si>
  <si>
    <t>ring|n</t>
  </si>
  <si>
    <t>ring</t>
  </si>
  <si>
    <t>ring, rings</t>
  </si>
  <si>
    <t>clean|v</t>
  </si>
  <si>
    <t>clean</t>
  </si>
  <si>
    <t>clean, cleans, cleaning, cleaned</t>
  </si>
  <si>
    <t>apologize|v</t>
  </si>
  <si>
    <t>apologize</t>
  </si>
  <si>
    <t>apologize, apologizing, apologizes, apologized</t>
  </si>
  <si>
    <t>clear|j</t>
  </si>
  <si>
    <t>clear</t>
  </si>
  <si>
    <t>clear, clearer, clearest</t>
  </si>
  <si>
    <t>Earth|K</t>
  </si>
  <si>
    <t>Earth</t>
  </si>
  <si>
    <t>Earth, earth</t>
  </si>
  <si>
    <t>share|v</t>
  </si>
  <si>
    <t>share</t>
  </si>
  <si>
    <t>share, shares, sharing, shared</t>
  </si>
  <si>
    <t>fill|v</t>
  </si>
  <si>
    <t>fill</t>
  </si>
  <si>
    <t>fill, fills, filling, filled</t>
  </si>
  <si>
    <t>cool|u</t>
  </si>
  <si>
    <t>pizza|n</t>
  </si>
  <si>
    <t>pizza</t>
  </si>
  <si>
    <t>pizza, pizzas</t>
  </si>
  <si>
    <t>ridiculous|j</t>
  </si>
  <si>
    <t>ridiculous</t>
  </si>
  <si>
    <t>alive|j</t>
  </si>
  <si>
    <t>alive</t>
  </si>
  <si>
    <t>pretend|v</t>
  </si>
  <si>
    <t>pretend</t>
  </si>
  <si>
    <t>pretend, pretends, pretending, pretended</t>
  </si>
  <si>
    <t>hospital|n</t>
  </si>
  <si>
    <t>hospital</t>
  </si>
  <si>
    <t>hospital, hospitals</t>
  </si>
  <si>
    <t>sad|j</t>
  </si>
  <si>
    <t>sad</t>
  </si>
  <si>
    <t>sad, sadder, saddest</t>
  </si>
  <si>
    <t>bunch|n</t>
  </si>
  <si>
    <t>bunch</t>
  </si>
  <si>
    <t>bunch, bunches</t>
  </si>
  <si>
    <t>half|fw</t>
  </si>
  <si>
    <t>half</t>
  </si>
  <si>
    <t>police|n</t>
  </si>
  <si>
    <t>police</t>
  </si>
  <si>
    <t>fish|n</t>
  </si>
  <si>
    <t>fish</t>
  </si>
  <si>
    <t>fish, fishes</t>
  </si>
  <si>
    <t>window|n</t>
  </si>
  <si>
    <t>window</t>
  </si>
  <si>
    <t>window, windows</t>
  </si>
  <si>
    <t>busy|j</t>
  </si>
  <si>
    <t>busy</t>
  </si>
  <si>
    <t>busy, busier, busiest</t>
  </si>
  <si>
    <t>sign|n</t>
  </si>
  <si>
    <t>sign, signs</t>
  </si>
  <si>
    <t>call|n</t>
  </si>
  <si>
    <t>call, calls</t>
  </si>
  <si>
    <t>pie|n</t>
  </si>
  <si>
    <t>pie</t>
  </si>
  <si>
    <t>pie, pies</t>
  </si>
  <si>
    <t>answer|v</t>
  </si>
  <si>
    <t>answer, answers, answering, answered</t>
  </si>
  <si>
    <t>raise|v</t>
  </si>
  <si>
    <t>raise</t>
  </si>
  <si>
    <t>raise, raises, raising, raised</t>
  </si>
  <si>
    <t>somewhere|r</t>
  </si>
  <si>
    <t>somewhere</t>
  </si>
  <si>
    <t>sandwich|n</t>
  </si>
  <si>
    <t>sandwich</t>
  </si>
  <si>
    <t>sandwich, sandwiches</t>
  </si>
  <si>
    <t>thirty|m</t>
  </si>
  <si>
    <t>thirty</t>
  </si>
  <si>
    <t>thirty, thirties</t>
  </si>
  <si>
    <t>sale|n</t>
  </si>
  <si>
    <t>sale</t>
  </si>
  <si>
    <t>sale, sales</t>
  </si>
  <si>
    <t>choose|v</t>
  </si>
  <si>
    <t>choose</t>
  </si>
  <si>
    <t>choose, chooses, choosing, chose, chosen</t>
  </si>
  <si>
    <t>definitely|r</t>
  </si>
  <si>
    <t>definitely</t>
  </si>
  <si>
    <t>swear|v</t>
  </si>
  <si>
    <t>swear</t>
  </si>
  <si>
    <t>swear, swears, swearing, swore, sworn</t>
  </si>
  <si>
    <t>pretty|r</t>
  </si>
  <si>
    <t>boat|n</t>
  </si>
  <si>
    <t>boat</t>
  </si>
  <si>
    <t>boat, boats</t>
  </si>
  <si>
    <t>tired|j</t>
  </si>
  <si>
    <t>tired</t>
  </si>
  <si>
    <t>ho|u</t>
  </si>
  <si>
    <t>ho</t>
  </si>
  <si>
    <t>upset|j</t>
  </si>
  <si>
    <t>upset</t>
  </si>
  <si>
    <t>less|fw</t>
  </si>
  <si>
    <t>less</t>
  </si>
  <si>
    <t>nine|m</t>
  </si>
  <si>
    <t>nine</t>
  </si>
  <si>
    <t>nine, nines</t>
  </si>
  <si>
    <t>thousand|m</t>
  </si>
  <si>
    <t>thousand</t>
  </si>
  <si>
    <t>thousand, thousands</t>
  </si>
  <si>
    <t>smoke|v</t>
  </si>
  <si>
    <t>smoke</t>
  </si>
  <si>
    <t>smoke, smokes, smoking, smoked</t>
  </si>
  <si>
    <t>embarrass|v</t>
  </si>
  <si>
    <t>embarrass</t>
  </si>
  <si>
    <t>embarrass, embarrasses, embarrassing, embarrassed</t>
  </si>
  <si>
    <t>band|n</t>
  </si>
  <si>
    <t>band</t>
  </si>
  <si>
    <t>band, bands</t>
  </si>
  <si>
    <t>bear|v</t>
  </si>
  <si>
    <t>bear</t>
  </si>
  <si>
    <t>bear, bears, bearing, bore, borne, born</t>
  </si>
  <si>
    <t>none|fw</t>
  </si>
  <si>
    <t>none</t>
  </si>
  <si>
    <t>Santa|K</t>
  </si>
  <si>
    <t>Santa</t>
  </si>
  <si>
    <t>strong|j</t>
  </si>
  <si>
    <t>strong</t>
  </si>
  <si>
    <t>strong, stronger, strongest</t>
  </si>
  <si>
    <t>law|n</t>
  </si>
  <si>
    <t>law</t>
  </si>
  <si>
    <t>law, laws</t>
  </si>
  <si>
    <t>toilet|n</t>
  </si>
  <si>
    <t>toilet</t>
  </si>
  <si>
    <t>toilet, toilets</t>
  </si>
  <si>
    <t>jump|v</t>
  </si>
  <si>
    <t>jump</t>
  </si>
  <si>
    <t>jump, jumps, jumping, jumped</t>
  </si>
  <si>
    <t>count|v</t>
  </si>
  <si>
    <t>count</t>
  </si>
  <si>
    <t>count, counts, counting, counted</t>
  </si>
  <si>
    <t>egg|n</t>
  </si>
  <si>
    <t>egg</t>
  </si>
  <si>
    <t>egg, eggs</t>
  </si>
  <si>
    <t>Saturday|K</t>
  </si>
  <si>
    <t>Saturday</t>
  </si>
  <si>
    <t>Saturday, Saturdays</t>
  </si>
  <si>
    <t>blue|j</t>
  </si>
  <si>
    <t>blue</t>
  </si>
  <si>
    <t>blue, bluer, bluest</t>
  </si>
  <si>
    <t>horrible|j</t>
  </si>
  <si>
    <t>horrible</t>
  </si>
  <si>
    <t>shit|n</t>
  </si>
  <si>
    <t>shit</t>
  </si>
  <si>
    <t>shit, shits</t>
  </si>
  <si>
    <t>favor|n</t>
  </si>
  <si>
    <t>favor</t>
  </si>
  <si>
    <t>favor, favors</t>
  </si>
  <si>
    <t>handle|v</t>
  </si>
  <si>
    <t>handle</t>
  </si>
  <si>
    <t>handle, handles, handling, handled</t>
  </si>
  <si>
    <t>wall|n</t>
  </si>
  <si>
    <t>wall</t>
  </si>
  <si>
    <t>wall, walls</t>
  </si>
  <si>
    <t>art|n</t>
  </si>
  <si>
    <t>art</t>
  </si>
  <si>
    <t>art, arts</t>
  </si>
  <si>
    <t>cover|v</t>
  </si>
  <si>
    <t>cover</t>
  </si>
  <si>
    <t>cover, covers, covering, covered</t>
  </si>
  <si>
    <t>arm|n</t>
  </si>
  <si>
    <t>arm</t>
  </si>
  <si>
    <t>arm, arms</t>
  </si>
  <si>
    <t>perhaps|r</t>
  </si>
  <si>
    <t>perhaps</t>
  </si>
  <si>
    <t>simple|j</t>
  </si>
  <si>
    <t>simple</t>
  </si>
  <si>
    <t>simple, simpler, simplest</t>
  </si>
  <si>
    <t>bus|n</t>
  </si>
  <si>
    <t>bus</t>
  </si>
  <si>
    <t>bus, buses</t>
  </si>
  <si>
    <t>appreciate|v</t>
  </si>
  <si>
    <t>appreciate</t>
  </si>
  <si>
    <t>appreciate, appreciates, appreciating, appreciated</t>
  </si>
  <si>
    <t>himself|fw</t>
  </si>
  <si>
    <t>himself</t>
  </si>
  <si>
    <t>surprise|v</t>
  </si>
  <si>
    <t>surprise</t>
  </si>
  <si>
    <t>surprise, surprises, surprising, surprised</t>
  </si>
  <si>
    <t>candy|n</t>
  </si>
  <si>
    <t>candy</t>
  </si>
  <si>
    <t>candy, candies</t>
  </si>
  <si>
    <t>finger|n</t>
  </si>
  <si>
    <t>finger</t>
  </si>
  <si>
    <t>finger, fingers</t>
  </si>
  <si>
    <t>worth|j</t>
  </si>
  <si>
    <t>worth</t>
  </si>
  <si>
    <t>state|n</t>
  </si>
  <si>
    <t>state</t>
  </si>
  <si>
    <t>state, states</t>
  </si>
  <si>
    <t>possible|j</t>
  </si>
  <si>
    <t>possible</t>
  </si>
  <si>
    <t>rich|j</t>
  </si>
  <si>
    <t>rich</t>
  </si>
  <si>
    <t>rich, richer, richest</t>
  </si>
  <si>
    <t>short|j</t>
  </si>
  <si>
    <t>short</t>
  </si>
  <si>
    <t>short, shorter, shortest</t>
  </si>
  <si>
    <t>king|n</t>
  </si>
  <si>
    <t>king</t>
  </si>
  <si>
    <t>king, kings</t>
  </si>
  <si>
    <t>knock|v</t>
  </si>
  <si>
    <t>knock</t>
  </si>
  <si>
    <t>knock, knocks, knocking, knocked</t>
  </si>
  <si>
    <t>cookie|n</t>
  </si>
  <si>
    <t>cookie</t>
  </si>
  <si>
    <t>cookie, cookies</t>
  </si>
  <si>
    <t>penis|n</t>
  </si>
  <si>
    <t>penis</t>
  </si>
  <si>
    <t>penis, penises, penes</t>
  </si>
  <si>
    <t>history|n</t>
  </si>
  <si>
    <t>history</t>
  </si>
  <si>
    <t>history, histories</t>
  </si>
  <si>
    <t>imagine|v</t>
  </si>
  <si>
    <t>imagine</t>
  </si>
  <si>
    <t>imagine, imagines, imagining, imagined</t>
  </si>
  <si>
    <t>third|m</t>
  </si>
  <si>
    <t>third</t>
  </si>
  <si>
    <t>third, thirds</t>
  </si>
  <si>
    <t>blood|n</t>
  </si>
  <si>
    <t>blood</t>
  </si>
  <si>
    <t>blood, bloods</t>
  </si>
  <si>
    <t>drug|n</t>
  </si>
  <si>
    <t>drug</t>
  </si>
  <si>
    <t>drug, drugs</t>
  </si>
  <si>
    <t>future|n</t>
  </si>
  <si>
    <t>future</t>
  </si>
  <si>
    <t>future, futures</t>
  </si>
  <si>
    <t>prove|v</t>
  </si>
  <si>
    <t>prove</t>
  </si>
  <si>
    <t>prove, proves, proving, proved, proven</t>
  </si>
  <si>
    <t>surprise|n</t>
  </si>
  <si>
    <t>surprise, surprises</t>
  </si>
  <si>
    <t>alright|r</t>
  </si>
  <si>
    <t>alright</t>
  </si>
  <si>
    <t>captain|n</t>
  </si>
  <si>
    <t>captain</t>
  </si>
  <si>
    <t>captain, captains</t>
  </si>
  <si>
    <t>evening|n</t>
  </si>
  <si>
    <t>evening</t>
  </si>
  <si>
    <t>evening, evenings</t>
  </si>
  <si>
    <t>congratulations|u</t>
  </si>
  <si>
    <t>congratulations</t>
  </si>
  <si>
    <t>system|n</t>
  </si>
  <si>
    <t>system</t>
  </si>
  <si>
    <t>system, systems</t>
  </si>
  <si>
    <t>record|n</t>
  </si>
  <si>
    <t>record</t>
  </si>
  <si>
    <t>record, records</t>
  </si>
  <si>
    <t>age|n</t>
  </si>
  <si>
    <t>age</t>
  </si>
  <si>
    <t>age, ages</t>
  </si>
  <si>
    <t>deserve|v</t>
  </si>
  <si>
    <t>deserve</t>
  </si>
  <si>
    <t>deserve, deserves, deserving, deserved</t>
  </si>
  <si>
    <t>normal|j</t>
  </si>
  <si>
    <t>normal</t>
  </si>
  <si>
    <t>yesterday|n</t>
  </si>
  <si>
    <t>yesterday</t>
  </si>
  <si>
    <t>yesterday, yesterdays</t>
  </si>
  <si>
    <t>jerk|n</t>
  </si>
  <si>
    <t>jerk</t>
  </si>
  <si>
    <t>jerk, jerks</t>
  </si>
  <si>
    <t>yay|u</t>
  </si>
  <si>
    <t>yay</t>
  </si>
  <si>
    <t>bird|n</t>
  </si>
  <si>
    <t>bird</t>
  </si>
  <si>
    <t>bird, birds</t>
  </si>
  <si>
    <t>nose|n</t>
  </si>
  <si>
    <t>nose</t>
  </si>
  <si>
    <t>nose, noses</t>
  </si>
  <si>
    <t>bother|v</t>
  </si>
  <si>
    <t>bother</t>
  </si>
  <si>
    <t>bother, bothers, bothering, bothered</t>
  </si>
  <si>
    <t>fan|n</t>
  </si>
  <si>
    <t>fan</t>
  </si>
  <si>
    <t>fan, fans</t>
  </si>
  <si>
    <t>letter|n</t>
  </si>
  <si>
    <t>letter</t>
  </si>
  <si>
    <t>letter, letters</t>
  </si>
  <si>
    <t>rather|r</t>
  </si>
  <si>
    <t>rather</t>
  </si>
  <si>
    <t>head|v</t>
  </si>
  <si>
    <t>head, heads, heading, headed</t>
  </si>
  <si>
    <t>interested|j</t>
  </si>
  <si>
    <t>interested</t>
  </si>
  <si>
    <t>owe|v</t>
  </si>
  <si>
    <t>owe</t>
  </si>
  <si>
    <t>owe, owes, owing, owed</t>
  </si>
  <si>
    <t>pregnant|j</t>
  </si>
  <si>
    <t>pregnant</t>
  </si>
  <si>
    <t>destroy|v</t>
  </si>
  <si>
    <t>destroy</t>
  </si>
  <si>
    <t>destroy, destroys, destroying, destroyed</t>
  </si>
  <si>
    <t>bear|n</t>
  </si>
  <si>
    <t>bear, bears</t>
  </si>
  <si>
    <t>evil|j</t>
  </si>
  <si>
    <t>evil</t>
  </si>
  <si>
    <t>evil, eviler, eviller, evilest, evillest</t>
  </si>
  <si>
    <t>milk|n</t>
  </si>
  <si>
    <t>milk</t>
  </si>
  <si>
    <t>milk, milks</t>
  </si>
  <si>
    <t>sport|n</t>
  </si>
  <si>
    <t>sport</t>
  </si>
  <si>
    <t>sport, sports</t>
  </si>
  <si>
    <t>admit|v</t>
  </si>
  <si>
    <t>admit</t>
  </si>
  <si>
    <t>admit, admits, admitting, admitted</t>
  </si>
  <si>
    <t>apparently|r</t>
  </si>
  <si>
    <t>apparently</t>
  </si>
  <si>
    <t>conversation|n</t>
  </si>
  <si>
    <t>conversation</t>
  </si>
  <si>
    <t>conversation, conversations</t>
  </si>
  <si>
    <t>obviously|r</t>
  </si>
  <si>
    <t>obviously</t>
  </si>
  <si>
    <t>uh-oh|u</t>
  </si>
  <si>
    <t>uh-oh</t>
  </si>
  <si>
    <t>jacket|n</t>
  </si>
  <si>
    <t>jacket</t>
  </si>
  <si>
    <t>jacket, jackets</t>
  </si>
  <si>
    <t>during|fw</t>
  </si>
  <si>
    <t>during</t>
  </si>
  <si>
    <t>accept|v</t>
  </si>
  <si>
    <t>accept</t>
  </si>
  <si>
    <t>accept, accepts, accepting, accepted</t>
  </si>
  <si>
    <t>dumb|j</t>
  </si>
  <si>
    <t>dumb</t>
  </si>
  <si>
    <t>dumb, dumber, dumbest</t>
  </si>
  <si>
    <t>bit|n</t>
  </si>
  <si>
    <t>bit</t>
  </si>
  <si>
    <t>bit, bits</t>
  </si>
  <si>
    <t>consider|v</t>
  </si>
  <si>
    <t>consider</t>
  </si>
  <si>
    <t>consider, considers, considering, considered</t>
  </si>
  <si>
    <t>mention|v</t>
  </si>
  <si>
    <t>mention</t>
  </si>
  <si>
    <t>mention, mentions, mentioning, mentioned</t>
  </si>
  <si>
    <t>step|v</t>
  </si>
  <si>
    <t>step</t>
  </si>
  <si>
    <t>step, steps, stepping, stepped</t>
  </si>
  <si>
    <t>deal|v</t>
  </si>
  <si>
    <t>deal, deals, dealing, dealt</t>
  </si>
  <si>
    <t>hungry|j</t>
  </si>
  <si>
    <t>hungry</t>
  </si>
  <si>
    <t>hungry, hungrier, hungriest</t>
  </si>
  <si>
    <t>situation|n</t>
  </si>
  <si>
    <t>situation</t>
  </si>
  <si>
    <t>situation, situations</t>
  </si>
  <si>
    <t>lead|v</t>
  </si>
  <si>
    <t>lead</t>
  </si>
  <si>
    <t>lead, leads, leading, leaded, led</t>
  </si>
  <si>
    <t>twelve|m</t>
  </si>
  <si>
    <t>twelve</t>
  </si>
  <si>
    <t>twelve, twelves</t>
  </si>
  <si>
    <t>fantastic|j</t>
  </si>
  <si>
    <t>fantastic</t>
  </si>
  <si>
    <t>hole|n</t>
  </si>
  <si>
    <t>hole</t>
  </si>
  <si>
    <t>hole, holes</t>
  </si>
  <si>
    <t>plus|fw</t>
  </si>
  <si>
    <t>plus</t>
  </si>
  <si>
    <t>note|n</t>
  </si>
  <si>
    <t>note</t>
  </si>
  <si>
    <t>note, notes</t>
  </si>
  <si>
    <t>test|n</t>
  </si>
  <si>
    <t>test</t>
  </si>
  <si>
    <t>test, tests</t>
  </si>
  <si>
    <t>honest|j</t>
  </si>
  <si>
    <t>honest</t>
  </si>
  <si>
    <t>honest, honester, honestest</t>
  </si>
  <si>
    <t>character|n</t>
  </si>
  <si>
    <t>character</t>
  </si>
  <si>
    <t>character, characters</t>
  </si>
  <si>
    <t>holy|j</t>
  </si>
  <si>
    <t>holy</t>
  </si>
  <si>
    <t>holy, holier, holiest</t>
  </si>
  <si>
    <t>manager|n</t>
  </si>
  <si>
    <t>manager</t>
  </si>
  <si>
    <t>manager, managers</t>
  </si>
  <si>
    <t>lesson|n</t>
  </si>
  <si>
    <t>lesson</t>
  </si>
  <si>
    <t>lesson, lessons</t>
  </si>
  <si>
    <t>soul|n</t>
  </si>
  <si>
    <t>soul</t>
  </si>
  <si>
    <t>soul, souls</t>
  </si>
  <si>
    <t>nope|r</t>
  </si>
  <si>
    <t>nope</t>
  </si>
  <si>
    <t>dark|j</t>
  </si>
  <si>
    <t>dark</t>
  </si>
  <si>
    <t>dark, darker, darkest</t>
  </si>
  <si>
    <t>difference|n</t>
  </si>
  <si>
    <t>difference</t>
  </si>
  <si>
    <t>difference, differences</t>
  </si>
  <si>
    <t>wine|n</t>
  </si>
  <si>
    <t>wine</t>
  </si>
  <si>
    <t>wine, wines</t>
  </si>
  <si>
    <t>road|n</t>
  </si>
  <si>
    <t>road</t>
  </si>
  <si>
    <t>road, roads</t>
  </si>
  <si>
    <t>calm|v</t>
  </si>
  <si>
    <t>calm</t>
  </si>
  <si>
    <t>calm, calms, calming, calmed</t>
  </si>
  <si>
    <t>personal|j</t>
  </si>
  <si>
    <t>personal</t>
  </si>
  <si>
    <t>clown|n</t>
  </si>
  <si>
    <t>clown</t>
  </si>
  <si>
    <t>clown, clowns</t>
  </si>
  <si>
    <t>computer|n</t>
  </si>
  <si>
    <t>computer</t>
  </si>
  <si>
    <t>computer, computers</t>
  </si>
  <si>
    <t>horse|n</t>
  </si>
  <si>
    <t>horse</t>
  </si>
  <si>
    <t>horse, horses</t>
  </si>
  <si>
    <t>gosh|u</t>
  </si>
  <si>
    <t>gosh</t>
  </si>
  <si>
    <t>mayor|n</t>
  </si>
  <si>
    <t>mayor</t>
  </si>
  <si>
    <t>mayor, mayors</t>
  </si>
  <si>
    <t>inside|r</t>
  </si>
  <si>
    <t>inside</t>
  </si>
  <si>
    <t>sexy|j</t>
  </si>
  <si>
    <t>sexy</t>
  </si>
  <si>
    <t>sexy, sexier, sexiest</t>
  </si>
  <si>
    <t>dirty|j</t>
  </si>
  <si>
    <t>dirty</t>
  </si>
  <si>
    <t>dirty, dirtier, dirtiest</t>
  </si>
  <si>
    <t>carry|v</t>
  </si>
  <si>
    <t>carry</t>
  </si>
  <si>
    <t>carry, carries, carrying, carried</t>
  </si>
  <si>
    <t>professor|n</t>
  </si>
  <si>
    <t>professor</t>
  </si>
  <si>
    <t>professor, professors</t>
  </si>
  <si>
    <t>usually|r</t>
  </si>
  <si>
    <t>usually</t>
  </si>
  <si>
    <t>bottle|n</t>
  </si>
  <si>
    <t>bottle</t>
  </si>
  <si>
    <t>bottle, bottles</t>
  </si>
  <si>
    <t>cheese|n</t>
  </si>
  <si>
    <t>cheese</t>
  </si>
  <si>
    <t>cheese, cheeses</t>
  </si>
  <si>
    <t>summer|n</t>
  </si>
  <si>
    <t>summer</t>
  </si>
  <si>
    <t>summer, summers</t>
  </si>
  <si>
    <t>remind|v</t>
  </si>
  <si>
    <t>remind</t>
  </si>
  <si>
    <t>remind, reminds, reminding, reminded</t>
  </si>
  <si>
    <t>afternoon|n</t>
  </si>
  <si>
    <t>afternoon</t>
  </si>
  <si>
    <t>afternoon, afternoons</t>
  </si>
  <si>
    <t>pee|v</t>
  </si>
  <si>
    <t>pee</t>
  </si>
  <si>
    <t>pee, pees, peeing, peed</t>
  </si>
  <si>
    <t>across|fw</t>
  </si>
  <si>
    <t>across</t>
  </si>
  <si>
    <t>angry|j</t>
  </si>
  <si>
    <t>angry</t>
  </si>
  <si>
    <t>angry, angrier, angriest</t>
  </si>
  <si>
    <t>fella|n</t>
  </si>
  <si>
    <t>fella</t>
  </si>
  <si>
    <t>fella, fellas</t>
  </si>
  <si>
    <t>film|n</t>
  </si>
  <si>
    <t>film</t>
  </si>
  <si>
    <t>film, films</t>
  </si>
  <si>
    <t>reach|v</t>
  </si>
  <si>
    <t>reach</t>
  </si>
  <si>
    <t>reach, reaches, reaching, reached</t>
  </si>
  <si>
    <t>shower|n</t>
  </si>
  <si>
    <t>shower</t>
  </si>
  <si>
    <t>shower, showers</t>
  </si>
  <si>
    <t>cup|n</t>
  </si>
  <si>
    <t>cup</t>
  </si>
  <si>
    <t>cup, cups</t>
  </si>
  <si>
    <t>lawyer|n</t>
  </si>
  <si>
    <t>lawyer</t>
  </si>
  <si>
    <t>lawyer, lawyers</t>
  </si>
  <si>
    <t>camera|n</t>
  </si>
  <si>
    <t>camera</t>
  </si>
  <si>
    <t>camera, cameras</t>
  </si>
  <si>
    <t>pain|n</t>
  </si>
  <si>
    <t>pain</t>
  </si>
  <si>
    <t>pain, pains</t>
  </si>
  <si>
    <t>hurry|v</t>
  </si>
  <si>
    <t>hurry</t>
  </si>
  <si>
    <t>hurry, hurries, hurrying, hurried</t>
  </si>
  <si>
    <t>desk|n</t>
  </si>
  <si>
    <t>desk</t>
  </si>
  <si>
    <t>desk, desks</t>
  </si>
  <si>
    <t>monster|n</t>
  </si>
  <si>
    <t>monster</t>
  </si>
  <si>
    <t>monster, monsters</t>
  </si>
  <si>
    <t>certainly|r</t>
  </si>
  <si>
    <t>certainly</t>
  </si>
  <si>
    <t>cop|n</t>
  </si>
  <si>
    <t>cop</t>
  </si>
  <si>
    <t>cop, cops</t>
  </si>
  <si>
    <t>credit|n</t>
  </si>
  <si>
    <t>credit</t>
  </si>
  <si>
    <t>credit, credits</t>
  </si>
  <si>
    <t>prepare|v</t>
  </si>
  <si>
    <t>prepare</t>
  </si>
  <si>
    <t>prepare, prepares, preparing, prepared</t>
  </si>
  <si>
    <t>anywhere|r</t>
  </si>
  <si>
    <t>anywhere</t>
  </si>
  <si>
    <t>breakfast|n</t>
  </si>
  <si>
    <t>breakfast</t>
  </si>
  <si>
    <t>breakfast, breakfasts</t>
  </si>
  <si>
    <t>bastard|n</t>
  </si>
  <si>
    <t>bastard</t>
  </si>
  <si>
    <t>bastard, bastards</t>
  </si>
  <si>
    <t>damn|j</t>
  </si>
  <si>
    <t>church|n</t>
  </si>
  <si>
    <t>church</t>
  </si>
  <si>
    <t>church, churches</t>
  </si>
  <si>
    <t>hire|v</t>
  </si>
  <si>
    <t>hire</t>
  </si>
  <si>
    <t>hire, hires, hiring, hired</t>
  </si>
  <si>
    <t>decision|n</t>
  </si>
  <si>
    <t>decision</t>
  </si>
  <si>
    <t>decision, decisions</t>
  </si>
  <si>
    <t>Miss|n</t>
  </si>
  <si>
    <t>Miss</t>
  </si>
  <si>
    <t>miss, misses</t>
  </si>
  <si>
    <t>pig|n</t>
  </si>
  <si>
    <t>pig</t>
  </si>
  <si>
    <t>pig, pigs</t>
  </si>
  <si>
    <t>loser|n</t>
  </si>
  <si>
    <t>loser</t>
  </si>
  <si>
    <t>loser, losers</t>
  </si>
  <si>
    <t>robot|n</t>
  </si>
  <si>
    <t>robot</t>
  </si>
  <si>
    <t>robot, robots</t>
  </si>
  <si>
    <t>deep|j</t>
  </si>
  <si>
    <t>deep</t>
  </si>
  <si>
    <t>deep, deeper, deepest</t>
  </si>
  <si>
    <t>park|n</t>
  </si>
  <si>
    <t>park</t>
  </si>
  <si>
    <t>park, parks</t>
  </si>
  <si>
    <t>chocolate|n</t>
  </si>
  <si>
    <t>chocolate</t>
  </si>
  <si>
    <t>chocolate, chocolates</t>
  </si>
  <si>
    <t>service|n</t>
  </si>
  <si>
    <t>service</t>
  </si>
  <si>
    <t>service, services</t>
  </si>
  <si>
    <t>Jew|K</t>
  </si>
  <si>
    <t>Jew</t>
  </si>
  <si>
    <t>tape|n</t>
  </si>
  <si>
    <t>tape</t>
  </si>
  <si>
    <t>tape, tapes</t>
  </si>
  <si>
    <t>kitchen|n</t>
  </si>
  <si>
    <t>kitchen</t>
  </si>
  <si>
    <t>kitchen, kitchens</t>
  </si>
  <si>
    <t>half|m</t>
  </si>
  <si>
    <t>half, halves</t>
  </si>
  <si>
    <t>rid|v</t>
  </si>
  <si>
    <t>rid</t>
  </si>
  <si>
    <t>rid, rids, riddings, ridded</t>
  </si>
  <si>
    <t>grandpa|n</t>
  </si>
  <si>
    <t>grandpa</t>
  </si>
  <si>
    <t>grandpa, grandpas</t>
  </si>
  <si>
    <t>hero|n</t>
  </si>
  <si>
    <t>hero</t>
  </si>
  <si>
    <t>hero, heroes</t>
  </si>
  <si>
    <t>shot|n</t>
  </si>
  <si>
    <t>shot</t>
  </si>
  <si>
    <t>shot, shots</t>
  </si>
  <si>
    <t>spot|n</t>
  </si>
  <si>
    <t>spot</t>
  </si>
  <si>
    <t>spot, spots</t>
  </si>
  <si>
    <t>folks|n</t>
  </si>
  <si>
    <t>folks</t>
  </si>
  <si>
    <t>yell|v</t>
  </si>
  <si>
    <t>yell</t>
  </si>
  <si>
    <t>yell, yells, yelling, yelled</t>
  </si>
  <si>
    <t>awful|j</t>
  </si>
  <si>
    <t>awful</t>
  </si>
  <si>
    <t>awful, awfuller, awfullest</t>
  </si>
  <si>
    <t>scene|n</t>
  </si>
  <si>
    <t>scene</t>
  </si>
  <si>
    <t>scene, scenes</t>
  </si>
  <si>
    <t>trick|n</t>
  </si>
  <si>
    <t>trick</t>
  </si>
  <si>
    <t>trick, tricks</t>
  </si>
  <si>
    <t>asshole|n</t>
  </si>
  <si>
    <t>asshole</t>
  </si>
  <si>
    <t>asshole, assholes</t>
  </si>
  <si>
    <t>issue|n</t>
  </si>
  <si>
    <t>issue</t>
  </si>
  <si>
    <t>issue, issues</t>
  </si>
  <si>
    <t>lovely|j</t>
  </si>
  <si>
    <t>lovely</t>
  </si>
  <si>
    <t>lovely, lovelier, loveliest</t>
  </si>
  <si>
    <t>visit|v</t>
  </si>
  <si>
    <t>visit</t>
  </si>
  <si>
    <t>visit, visits, visiting, visited</t>
  </si>
  <si>
    <t>honor|n</t>
  </si>
  <si>
    <t>honor</t>
  </si>
  <si>
    <t>honor, honors</t>
  </si>
  <si>
    <t>clean|j</t>
  </si>
  <si>
    <t>clean, cleaner, cleanest</t>
  </si>
  <si>
    <t>second|n</t>
  </si>
  <si>
    <t>second, seconds</t>
  </si>
  <si>
    <t>chick|n</t>
  </si>
  <si>
    <t>chick</t>
  </si>
  <si>
    <t>chick, chicks</t>
  </si>
  <si>
    <t>costume|n</t>
  </si>
  <si>
    <t>costume</t>
  </si>
  <si>
    <t>costume, costumes</t>
  </si>
  <si>
    <t>Friday|K</t>
  </si>
  <si>
    <t>Friday</t>
  </si>
  <si>
    <t>Friday, Fridays</t>
  </si>
  <si>
    <t>hall|n</t>
  </si>
  <si>
    <t>hall</t>
  </si>
  <si>
    <t>hall, halls</t>
  </si>
  <si>
    <t>Ms|n</t>
  </si>
  <si>
    <t>Ms</t>
  </si>
  <si>
    <t>Ms, Mss, Mses</t>
  </si>
  <si>
    <t>fake|j</t>
  </si>
  <si>
    <t>fake</t>
  </si>
  <si>
    <t>forgive|v</t>
  </si>
  <si>
    <t>forgive</t>
  </si>
  <si>
    <t>forgive, forgives, forgiving, forgave, forgiven</t>
  </si>
  <si>
    <t>grade|n</t>
  </si>
  <si>
    <t>grade</t>
  </si>
  <si>
    <t>grade, grades</t>
  </si>
  <si>
    <t>fifteen|m</t>
  </si>
  <si>
    <t>fifteen</t>
  </si>
  <si>
    <t>fifteen, fifteens</t>
  </si>
  <si>
    <t>ought|v</t>
  </si>
  <si>
    <t>ought</t>
  </si>
  <si>
    <t>cheat|v</t>
  </si>
  <si>
    <t>cheat</t>
  </si>
  <si>
    <t>cheat, cheats, cheating, cheated</t>
  </si>
  <si>
    <t>Chinese|K</t>
  </si>
  <si>
    <t>Chinese</t>
  </si>
  <si>
    <t>crap|u</t>
  </si>
  <si>
    <t>crap, craps, crapping, crapped</t>
  </si>
  <si>
    <t>create|v</t>
  </si>
  <si>
    <t>create</t>
  </si>
  <si>
    <t>create, creates, creating, created</t>
  </si>
  <si>
    <t>comfortable|j</t>
  </si>
  <si>
    <t>comfortable</t>
  </si>
  <si>
    <t>hotel|n</t>
  </si>
  <si>
    <t>hotel</t>
  </si>
  <si>
    <t>hotel, hotels</t>
  </si>
  <si>
    <t>magazine|n</t>
  </si>
  <si>
    <t>magazine</t>
  </si>
  <si>
    <t>magazine, magazines</t>
  </si>
  <si>
    <t>settle|v</t>
  </si>
  <si>
    <t>settle</t>
  </si>
  <si>
    <t>settle, settles, settling, settled</t>
  </si>
  <si>
    <t>accident|n</t>
  </si>
  <si>
    <t>accident</t>
  </si>
  <si>
    <t>accident, accidents</t>
  </si>
  <si>
    <t>boob|n</t>
  </si>
  <si>
    <t>boob</t>
  </si>
  <si>
    <t>boob, boobs</t>
  </si>
  <si>
    <t>excellent|j</t>
  </si>
  <si>
    <t>excellent</t>
  </si>
  <si>
    <t>neighbor|n</t>
  </si>
  <si>
    <t>neighbor</t>
  </si>
  <si>
    <t>neighbor, neighbors</t>
  </si>
  <si>
    <t>train|n</t>
  </si>
  <si>
    <t>train</t>
  </si>
  <si>
    <t>train, trains</t>
  </si>
  <si>
    <t>board|n</t>
  </si>
  <si>
    <t>board</t>
  </si>
  <si>
    <t>board, boards</t>
  </si>
  <si>
    <t>pop|v</t>
  </si>
  <si>
    <t>pop</t>
  </si>
  <si>
    <t>pop, pops, popping, popped</t>
  </si>
  <si>
    <t>spirit|n</t>
  </si>
  <si>
    <t>spirit</t>
  </si>
  <si>
    <t>spirit, spirits</t>
  </si>
  <si>
    <t>cow|n</t>
  </si>
  <si>
    <t>cow</t>
  </si>
  <si>
    <t>cow, cows</t>
  </si>
  <si>
    <t>building|n</t>
  </si>
  <si>
    <t>building</t>
  </si>
  <si>
    <t>building, buildings</t>
  </si>
  <si>
    <t>ear|n</t>
  </si>
  <si>
    <t>ear</t>
  </si>
  <si>
    <t>ear, ears</t>
  </si>
  <si>
    <t>giant|j</t>
  </si>
  <si>
    <t>giant</t>
  </si>
  <si>
    <t>giant, giants</t>
  </si>
  <si>
    <t>ugly|j</t>
  </si>
  <si>
    <t>ugly</t>
  </si>
  <si>
    <t>ugly, uglier, ugliest</t>
  </si>
  <si>
    <t>toy|n</t>
  </si>
  <si>
    <t>toy</t>
  </si>
  <si>
    <t>toy, toys</t>
  </si>
  <si>
    <t>cancel|v</t>
  </si>
  <si>
    <t>cancel</t>
  </si>
  <si>
    <t>cancel, cancels, canceling, canceled</t>
  </si>
  <si>
    <t>Internet|K</t>
  </si>
  <si>
    <t>Internet</t>
  </si>
  <si>
    <t>Internet, Net</t>
  </si>
  <si>
    <t>strange|j</t>
  </si>
  <si>
    <t>strange</t>
  </si>
  <si>
    <t>strange, stranger, strangest</t>
  </si>
  <si>
    <t>aunt|n</t>
  </si>
  <si>
    <t>aunt</t>
  </si>
  <si>
    <t>aunt, aunts</t>
  </si>
  <si>
    <t>island|n</t>
  </si>
  <si>
    <t>island</t>
  </si>
  <si>
    <t>island, islands</t>
  </si>
  <si>
    <t>extra|j</t>
  </si>
  <si>
    <t>extra</t>
  </si>
  <si>
    <t>fit|v</t>
  </si>
  <si>
    <t>fit</t>
  </si>
  <si>
    <t>fit, fits, fitting, fitted</t>
  </si>
  <si>
    <t>rock|n</t>
  </si>
  <si>
    <t>rock</t>
  </si>
  <si>
    <t>rock, rocks</t>
  </si>
  <si>
    <t>step|n</t>
  </si>
  <si>
    <t>step, steps</t>
  </si>
  <si>
    <t>action|n</t>
  </si>
  <si>
    <t>action</t>
  </si>
  <si>
    <t>action, actions</t>
  </si>
  <si>
    <t>bill|n</t>
  </si>
  <si>
    <t>bill</t>
  </si>
  <si>
    <t>bill, bills</t>
  </si>
  <si>
    <t>field|n</t>
  </si>
  <si>
    <t>field</t>
  </si>
  <si>
    <t>field, fields</t>
  </si>
  <si>
    <t>kiss|n</t>
  </si>
  <si>
    <t>kiss, kisses</t>
  </si>
  <si>
    <t>fresh|j</t>
  </si>
  <si>
    <t>fresh</t>
  </si>
  <si>
    <t>fresh, fresher, freshest</t>
  </si>
  <si>
    <t>level|n</t>
  </si>
  <si>
    <t>level</t>
  </si>
  <si>
    <t>level, levels</t>
  </si>
  <si>
    <t>cost|v</t>
  </si>
  <si>
    <t>cost</t>
  </si>
  <si>
    <t>cost, costs, costing, costed</t>
  </si>
  <si>
    <t>size|n</t>
  </si>
  <si>
    <t>size</t>
  </si>
  <si>
    <t>size, sizes</t>
  </si>
  <si>
    <t>cell|n</t>
  </si>
  <si>
    <t>cell</t>
  </si>
  <si>
    <t>cell, cells</t>
  </si>
  <si>
    <t>serve|v</t>
  </si>
  <si>
    <t>serve</t>
  </si>
  <si>
    <t>serve, serves, serving, served</t>
  </si>
  <si>
    <t>shake|v</t>
  </si>
  <si>
    <t>shake</t>
  </si>
  <si>
    <t>shake, shakes, shaking, shook, shaken</t>
  </si>
  <si>
    <t>neck|n</t>
  </si>
  <si>
    <t>neck</t>
  </si>
  <si>
    <t>neck, necks</t>
  </si>
  <si>
    <t>bowl|n</t>
  </si>
  <si>
    <t>bowl</t>
  </si>
  <si>
    <t>bowl, bowls</t>
  </si>
  <si>
    <t>control|n</t>
  </si>
  <si>
    <t>control</t>
  </si>
  <si>
    <t>control, controls</t>
  </si>
  <si>
    <t>loud|j</t>
  </si>
  <si>
    <t>loud</t>
  </si>
  <si>
    <t>loud, louder, loudest</t>
  </si>
  <si>
    <t>bedroom|n</t>
  </si>
  <si>
    <t>bedroom</t>
  </si>
  <si>
    <t>bedroom, bedrooms</t>
  </si>
  <si>
    <t>check|n</t>
  </si>
  <si>
    <t>check, checks</t>
  </si>
  <si>
    <t>heaven|n</t>
  </si>
  <si>
    <t>heaven</t>
  </si>
  <si>
    <t>heaven, heavens</t>
  </si>
  <si>
    <t>right|n</t>
  </si>
  <si>
    <t>right, rights</t>
  </si>
  <si>
    <t>commercial|n</t>
  </si>
  <si>
    <t>commercial</t>
  </si>
  <si>
    <t>commercial, commercials</t>
  </si>
  <si>
    <t>draw|v</t>
  </si>
  <si>
    <t>draw</t>
  </si>
  <si>
    <t>draw, draws, drawing, drew, drawn</t>
  </si>
  <si>
    <t>guest|n</t>
  </si>
  <si>
    <t>guest</t>
  </si>
  <si>
    <t>guest, guests</t>
  </si>
  <si>
    <t>insane|j</t>
  </si>
  <si>
    <t>insane</t>
  </si>
  <si>
    <t>insane, insaner, insanest</t>
  </si>
  <si>
    <t>fail|v</t>
  </si>
  <si>
    <t>fail</t>
  </si>
  <si>
    <t>fail, fails, failing, failed</t>
  </si>
  <si>
    <t>cook|v</t>
  </si>
  <si>
    <t>cook</t>
  </si>
  <si>
    <t>cook, cooks, cooking, cooked</t>
  </si>
  <si>
    <t>pleasure|n</t>
  </si>
  <si>
    <t>pleasure</t>
  </si>
  <si>
    <t>pleasure, pleasures</t>
  </si>
  <si>
    <t>truck|n</t>
  </si>
  <si>
    <t>truck</t>
  </si>
  <si>
    <t>truck, trucks</t>
  </si>
  <si>
    <t>science|n</t>
  </si>
  <si>
    <t>science</t>
  </si>
  <si>
    <t>science, sciences</t>
  </si>
  <si>
    <t>careful|j</t>
  </si>
  <si>
    <t>careful</t>
  </si>
  <si>
    <t>nervous|j</t>
  </si>
  <si>
    <t>nervous</t>
  </si>
  <si>
    <t>although|fw</t>
  </si>
  <si>
    <t>although</t>
  </si>
  <si>
    <t>although, altho</t>
  </si>
  <si>
    <t>gas|n</t>
  </si>
  <si>
    <t>gas</t>
  </si>
  <si>
    <t>gas, gases, gasses</t>
  </si>
  <si>
    <t>partner|n</t>
  </si>
  <si>
    <t>partner</t>
  </si>
  <si>
    <t>partner, partners</t>
  </si>
  <si>
    <t>ew|u</t>
  </si>
  <si>
    <t>ew</t>
  </si>
  <si>
    <t>ew, eww</t>
  </si>
  <si>
    <t>scream|v</t>
  </si>
  <si>
    <t>scream</t>
  </si>
  <si>
    <t>scream, screams, screaming, screamed</t>
  </si>
  <si>
    <t>pool|n</t>
  </si>
  <si>
    <t>pool</t>
  </si>
  <si>
    <t>pool, pools</t>
  </si>
  <si>
    <t>appear|v</t>
  </si>
  <si>
    <t>appear</t>
  </si>
  <si>
    <t>appear, appears, appearing, appeared</t>
  </si>
  <si>
    <t>clearly|r</t>
  </si>
  <si>
    <t>clearly</t>
  </si>
  <si>
    <t>silly|j</t>
  </si>
  <si>
    <t>silly</t>
  </si>
  <si>
    <t>silly, sillier, silliest</t>
  </si>
  <si>
    <t>feed|v</t>
  </si>
  <si>
    <t>feed</t>
  </si>
  <si>
    <t>feed, feeds, feeding, fed</t>
  </si>
  <si>
    <t>charge|n</t>
  </si>
  <si>
    <t>charge</t>
  </si>
  <si>
    <t>charge, charges</t>
  </si>
  <si>
    <t>neither|fw</t>
  </si>
  <si>
    <t>neither</t>
  </si>
  <si>
    <t>wash|v</t>
  </si>
  <si>
    <t>wash</t>
  </si>
  <si>
    <t>wash, washes, washing, washed</t>
  </si>
  <si>
    <t>stink|v</t>
  </si>
  <si>
    <t>stink</t>
  </si>
  <si>
    <t>stink, stinks, stinking, stank, stunk</t>
  </si>
  <si>
    <t>magic|j</t>
  </si>
  <si>
    <t>magic</t>
  </si>
  <si>
    <t>plane|n</t>
  </si>
  <si>
    <t>plane</t>
  </si>
  <si>
    <t>plane, planes</t>
  </si>
  <si>
    <t>tiny|j</t>
  </si>
  <si>
    <t>tiny</t>
  </si>
  <si>
    <t>tiny, tinier, tiniest</t>
  </si>
  <si>
    <t>prison|n</t>
  </si>
  <si>
    <t>prison</t>
  </si>
  <si>
    <t>prison, prisons</t>
  </si>
  <si>
    <t>cause|v</t>
  </si>
  <si>
    <t>cause</t>
  </si>
  <si>
    <t>cause, causes, causing, caused</t>
  </si>
  <si>
    <t>photo|n</t>
  </si>
  <si>
    <t>photo</t>
  </si>
  <si>
    <t>photo, photos, photograph, photographs</t>
  </si>
  <si>
    <t>public|j</t>
  </si>
  <si>
    <t>public</t>
  </si>
  <si>
    <t>button|n</t>
  </si>
  <si>
    <t>button</t>
  </si>
  <si>
    <t>button, buttons</t>
  </si>
  <si>
    <t>flower|n</t>
  </si>
  <si>
    <t>flower</t>
  </si>
  <si>
    <t>flower, flowers</t>
  </si>
  <si>
    <t>memory|n</t>
  </si>
  <si>
    <t>memory</t>
  </si>
  <si>
    <t>memory, memories</t>
  </si>
  <si>
    <t>own|v</t>
  </si>
  <si>
    <t>own, owns, owning, owned</t>
  </si>
  <si>
    <t>fast|j</t>
  </si>
  <si>
    <t>base|v</t>
  </si>
  <si>
    <t>base</t>
  </si>
  <si>
    <t>base, bases, basing, based</t>
  </si>
  <si>
    <t>involve|v</t>
  </si>
  <si>
    <t>involve</t>
  </si>
  <si>
    <t>involve, involves, involving, involved</t>
  </si>
  <si>
    <t>madam|n</t>
  </si>
  <si>
    <t>madam</t>
  </si>
  <si>
    <t>madam, madams, mesdames, ma'am</t>
  </si>
  <si>
    <t>blame|v</t>
  </si>
  <si>
    <t>blame</t>
  </si>
  <si>
    <t>blame, blames, blaming, blamed</t>
  </si>
  <si>
    <t>tea|n</t>
  </si>
  <si>
    <t>tea</t>
  </si>
  <si>
    <t>tea, teas</t>
  </si>
  <si>
    <t>whoo|u</t>
  </si>
  <si>
    <t>whoo</t>
  </si>
  <si>
    <t>bike|n</t>
  </si>
  <si>
    <t>bike</t>
  </si>
  <si>
    <t>bike, bikes</t>
  </si>
  <si>
    <t>freeze|v</t>
  </si>
  <si>
    <t>freeze</t>
  </si>
  <si>
    <t>freeze, freezes, freezing, froze, frozen</t>
  </si>
  <si>
    <t>sexual|j</t>
  </si>
  <si>
    <t>sexual</t>
  </si>
  <si>
    <t>code|n</t>
  </si>
  <si>
    <t>code</t>
  </si>
  <si>
    <t>code, codes</t>
  </si>
  <si>
    <t>celebrate|v</t>
  </si>
  <si>
    <t>celebrate</t>
  </si>
  <si>
    <t>celebrate, celebrates, celebrating, celebrated</t>
  </si>
  <si>
    <t>couch|n</t>
  </si>
  <si>
    <t>couch</t>
  </si>
  <si>
    <t>couch, couches</t>
  </si>
  <si>
    <t>inside|fw</t>
  </si>
  <si>
    <t>price|n</t>
  </si>
  <si>
    <t>price</t>
  </si>
  <si>
    <t>price, prices</t>
  </si>
  <si>
    <t>assume|v</t>
  </si>
  <si>
    <t>assume</t>
  </si>
  <si>
    <t>assume, assumes, assuming, assumed</t>
  </si>
  <si>
    <t>delicious|j</t>
  </si>
  <si>
    <t>delicious</t>
  </si>
  <si>
    <t>forty|m</t>
  </si>
  <si>
    <t>forty</t>
  </si>
  <si>
    <t>forty, forties</t>
  </si>
  <si>
    <t>player|n</t>
  </si>
  <si>
    <t>player</t>
  </si>
  <si>
    <t>player, players</t>
  </si>
  <si>
    <t>soup|n</t>
  </si>
  <si>
    <t>soup</t>
  </si>
  <si>
    <t>soup, soups</t>
  </si>
  <si>
    <t>waste|v</t>
  </si>
  <si>
    <t>waste</t>
  </si>
  <si>
    <t>waste, wastes, wasting, wasted</t>
  </si>
  <si>
    <t>coat|n</t>
  </si>
  <si>
    <t>coat</t>
  </si>
  <si>
    <t>coat, coats</t>
  </si>
  <si>
    <t>doll|n</t>
  </si>
  <si>
    <t>doll</t>
  </si>
  <si>
    <t>doll, dolls</t>
  </si>
  <si>
    <t>security|n</t>
  </si>
  <si>
    <t>security</t>
  </si>
  <si>
    <t>security, securities</t>
  </si>
  <si>
    <t>warm|j</t>
  </si>
  <si>
    <t>warm</t>
  </si>
  <si>
    <t>warm, warmer, warmest</t>
  </si>
  <si>
    <t>football|n</t>
  </si>
  <si>
    <t>football</t>
  </si>
  <si>
    <t>football, footballs</t>
  </si>
  <si>
    <t>model|n</t>
  </si>
  <si>
    <t>model</t>
  </si>
  <si>
    <t>model, models</t>
  </si>
  <si>
    <t>whose|fw</t>
  </si>
  <si>
    <t>whose</t>
  </si>
  <si>
    <t>besides|fw</t>
  </si>
  <si>
    <t>besides</t>
  </si>
  <si>
    <t>middle|n</t>
  </si>
  <si>
    <t>middle</t>
  </si>
  <si>
    <t>middle, middles</t>
  </si>
  <si>
    <t>shop|v</t>
  </si>
  <si>
    <t>shop</t>
  </si>
  <si>
    <t>shop, shops, shopping, shopped</t>
  </si>
  <si>
    <t>garbage|n</t>
  </si>
  <si>
    <t>garbage</t>
  </si>
  <si>
    <t>client|n</t>
  </si>
  <si>
    <t>client</t>
  </si>
  <si>
    <t>client, clients</t>
  </si>
  <si>
    <t>ground|n</t>
  </si>
  <si>
    <t>ground</t>
  </si>
  <si>
    <t>lame|j</t>
  </si>
  <si>
    <t>lame</t>
  </si>
  <si>
    <t>lame, lamer, lamest</t>
  </si>
  <si>
    <t>project|n</t>
  </si>
  <si>
    <t>project</t>
  </si>
  <si>
    <t>project, projects</t>
  </si>
  <si>
    <t>dare|v</t>
  </si>
  <si>
    <t>dare</t>
  </si>
  <si>
    <t>dare, dares, daring, dared</t>
  </si>
  <si>
    <t>shop|n</t>
  </si>
  <si>
    <t>shop, shops</t>
  </si>
  <si>
    <t>episode|n</t>
  </si>
  <si>
    <t>episode</t>
  </si>
  <si>
    <t>episode, episodes</t>
  </si>
  <si>
    <t>glass|n</t>
  </si>
  <si>
    <t>glass</t>
  </si>
  <si>
    <t>glass, glasses</t>
  </si>
  <si>
    <t>green|j</t>
  </si>
  <si>
    <t>green</t>
  </si>
  <si>
    <t>green, greener, greenest</t>
  </si>
  <si>
    <t>lock|v</t>
  </si>
  <si>
    <t>lock</t>
  </si>
  <si>
    <t>lock, locks, locking, locked</t>
  </si>
  <si>
    <t>award|n</t>
  </si>
  <si>
    <t>award</t>
  </si>
  <si>
    <t>award, awards</t>
  </si>
  <si>
    <t>straight|j</t>
  </si>
  <si>
    <t>straight</t>
  </si>
  <si>
    <t>straight, straighter, straightest</t>
  </si>
  <si>
    <t>unbelievable|j</t>
  </si>
  <si>
    <t>unbelievable</t>
  </si>
  <si>
    <t>court|n</t>
  </si>
  <si>
    <t>court</t>
  </si>
  <si>
    <t>court, courts</t>
  </si>
  <si>
    <t>experience|n</t>
  </si>
  <si>
    <t>experience</t>
  </si>
  <si>
    <t>experience, experiences</t>
  </si>
  <si>
    <t>final|j</t>
  </si>
  <si>
    <t>final</t>
  </si>
  <si>
    <t>large|j</t>
  </si>
  <si>
    <t>large</t>
  </si>
  <si>
    <t>large, larger, largest</t>
  </si>
  <si>
    <t>salad|n</t>
  </si>
  <si>
    <t>salad</t>
  </si>
  <si>
    <t>salad, salads</t>
  </si>
  <si>
    <t>belong|v</t>
  </si>
  <si>
    <t>belong</t>
  </si>
  <si>
    <t>belong, belongs, belonging, belonged</t>
  </si>
  <si>
    <t>fuck|n</t>
  </si>
  <si>
    <t>fuck, fucks</t>
  </si>
  <si>
    <t>station|n</t>
  </si>
  <si>
    <t>station</t>
  </si>
  <si>
    <t>station, stations</t>
  </si>
  <si>
    <t>area|n</t>
  </si>
  <si>
    <t>area</t>
  </si>
  <si>
    <t>area, areas</t>
  </si>
  <si>
    <t>vote|v</t>
  </si>
  <si>
    <t>vote</t>
  </si>
  <si>
    <t>vote, votes, voting, voted</t>
  </si>
  <si>
    <t>crime|n</t>
  </si>
  <si>
    <t>crime</t>
  </si>
  <si>
    <t>crime, crimes</t>
  </si>
  <si>
    <t>meat|n</t>
  </si>
  <si>
    <t>meat</t>
  </si>
  <si>
    <t>meat, meats</t>
  </si>
  <si>
    <t>romantic|j</t>
  </si>
  <si>
    <t>romantic</t>
  </si>
  <si>
    <t>treat|v</t>
  </si>
  <si>
    <t>treat</t>
  </si>
  <si>
    <t>treat, treats, treating, treated</t>
  </si>
  <si>
    <t>forward|r</t>
  </si>
  <si>
    <t>forward</t>
  </si>
  <si>
    <t>glasses|n</t>
  </si>
  <si>
    <t>glasses</t>
  </si>
  <si>
    <t>lie|n</t>
  </si>
  <si>
    <t>lie, lies</t>
  </si>
  <si>
    <t>taste|v</t>
  </si>
  <si>
    <t>taste</t>
  </si>
  <si>
    <t>taste, tastes, tasting, tasted</t>
  </si>
  <si>
    <t>weight|n</t>
  </si>
  <si>
    <t>weight</t>
  </si>
  <si>
    <t>weight, weights</t>
  </si>
  <si>
    <t>mail|n</t>
  </si>
  <si>
    <t>mail</t>
  </si>
  <si>
    <t>mail, mails</t>
  </si>
  <si>
    <t>cab|n</t>
  </si>
  <si>
    <t>cab</t>
  </si>
  <si>
    <t>cab, cabs</t>
  </si>
  <si>
    <t>two hundred|m</t>
  </si>
  <si>
    <t>two hundred</t>
  </si>
  <si>
    <t>boring|j</t>
  </si>
  <si>
    <t>boring</t>
  </si>
  <si>
    <t>information|n</t>
  </si>
  <si>
    <t>information</t>
  </si>
  <si>
    <t>total|j</t>
  </si>
  <si>
    <t>total</t>
  </si>
  <si>
    <t>channel|n</t>
  </si>
  <si>
    <t>channel</t>
  </si>
  <si>
    <t>channel, channels</t>
  </si>
  <si>
    <t>page|n</t>
  </si>
  <si>
    <t>page</t>
  </si>
  <si>
    <t>page, pages</t>
  </si>
  <si>
    <t>suddenly|r</t>
  </si>
  <si>
    <t>suddenly</t>
  </si>
  <si>
    <t>sake|n</t>
  </si>
  <si>
    <t>sake</t>
  </si>
  <si>
    <t>sake, sakes</t>
  </si>
  <si>
    <t>Thanksgiving|K</t>
  </si>
  <si>
    <t>Thanksgiving</t>
  </si>
  <si>
    <t>Thanksgiving, thanksgiving, thanksgivings</t>
  </si>
  <si>
    <t>private|j</t>
  </si>
  <si>
    <t>private</t>
  </si>
  <si>
    <t>French|K</t>
  </si>
  <si>
    <t>winner|n</t>
  </si>
  <si>
    <t>winner</t>
  </si>
  <si>
    <t>winner, winners</t>
  </si>
  <si>
    <t>past|n</t>
  </si>
  <si>
    <t>past</t>
  </si>
  <si>
    <t>past, pasts</t>
  </si>
  <si>
    <t>pen|n</t>
  </si>
  <si>
    <t>pen</t>
  </si>
  <si>
    <t>pen, pens</t>
  </si>
  <si>
    <t>twice|r</t>
  </si>
  <si>
    <t>twice</t>
  </si>
  <si>
    <t>cousin|n</t>
  </si>
  <si>
    <t>cousin</t>
  </si>
  <si>
    <t>cousin, cousins</t>
  </si>
  <si>
    <t>jealous|j</t>
  </si>
  <si>
    <t>jealous</t>
  </si>
  <si>
    <t>mess|v</t>
  </si>
  <si>
    <t>mess</t>
  </si>
  <si>
    <t>mess, messes, messing, messed</t>
  </si>
  <si>
    <t>planet|n</t>
  </si>
  <si>
    <t>planet</t>
  </si>
  <si>
    <t>planet, planets</t>
  </si>
  <si>
    <t>scary|j</t>
  </si>
  <si>
    <t>scary</t>
  </si>
  <si>
    <t>scary, scarier, scariest</t>
  </si>
  <si>
    <t>universe|n</t>
  </si>
  <si>
    <t>universe</t>
  </si>
  <si>
    <t>universe, universes</t>
  </si>
  <si>
    <t>upstairs|r</t>
  </si>
  <si>
    <t>upstairs</t>
  </si>
  <si>
    <t>genius|n</t>
  </si>
  <si>
    <t>genius</t>
  </si>
  <si>
    <t>genius, geniuses, genii</t>
  </si>
  <si>
    <t>dangerous|j</t>
  </si>
  <si>
    <t>dangerous</t>
  </si>
  <si>
    <t>nuts|j</t>
  </si>
  <si>
    <t>nuts</t>
  </si>
  <si>
    <t>ourselves|fw</t>
  </si>
  <si>
    <t>ourselves</t>
  </si>
  <si>
    <t>race|n</t>
  </si>
  <si>
    <t>race</t>
  </si>
  <si>
    <t>race, races</t>
  </si>
  <si>
    <t>suggest|v</t>
  </si>
  <si>
    <t>suggest</t>
  </si>
  <si>
    <t>suggest, suggests, suggesting, suggested</t>
  </si>
  <si>
    <t>turn|n</t>
  </si>
  <si>
    <t>turn, turns</t>
  </si>
  <si>
    <t>sea|n</t>
  </si>
  <si>
    <t>sea</t>
  </si>
  <si>
    <t>sea, seas</t>
  </si>
  <si>
    <t>officer|n</t>
  </si>
  <si>
    <t>officer</t>
  </si>
  <si>
    <t>officer, officers</t>
  </si>
  <si>
    <t>meal|n</t>
  </si>
  <si>
    <t>meal</t>
  </si>
  <si>
    <t>meal, meals</t>
  </si>
  <si>
    <t>popular|j</t>
  </si>
  <si>
    <t>popular</t>
  </si>
  <si>
    <t>report|n</t>
  </si>
  <si>
    <t>report</t>
  </si>
  <si>
    <t>report, reports</t>
  </si>
  <si>
    <t>welcome|u</t>
  </si>
  <si>
    <t>flight|n</t>
  </si>
  <si>
    <t>flight</t>
  </si>
  <si>
    <t>flight, flights</t>
  </si>
  <si>
    <t>change|n</t>
  </si>
  <si>
    <t>change, changes</t>
  </si>
  <si>
    <t>driver|n</t>
  </si>
  <si>
    <t>driver</t>
  </si>
  <si>
    <t>driver, drivers</t>
  </si>
  <si>
    <t>wheel|n</t>
  </si>
  <si>
    <t>wheel</t>
  </si>
  <si>
    <t>wheel, wheels</t>
  </si>
  <si>
    <t>dump|v</t>
  </si>
  <si>
    <t>dump</t>
  </si>
  <si>
    <t>dump, dumps, dumping, dumped</t>
  </si>
  <si>
    <t>five hundred|m</t>
  </si>
  <si>
    <t>five hundred</t>
  </si>
  <si>
    <t>member|n</t>
  </si>
  <si>
    <t>member</t>
  </si>
  <si>
    <t>member, members</t>
  </si>
  <si>
    <t>yo|u</t>
  </si>
  <si>
    <t>yo</t>
  </si>
  <si>
    <t>add|v</t>
  </si>
  <si>
    <t>add</t>
  </si>
  <si>
    <t>add, adds, adding, added</t>
  </si>
  <si>
    <t>confuse|v</t>
  </si>
  <si>
    <t>confuse</t>
  </si>
  <si>
    <t>confuse, confuses, confusing, confused</t>
  </si>
  <si>
    <t>form|n</t>
  </si>
  <si>
    <t>form</t>
  </si>
  <si>
    <t>form, forms</t>
  </si>
  <si>
    <t>government|n</t>
  </si>
  <si>
    <t>government</t>
  </si>
  <si>
    <t>government, governments</t>
  </si>
  <si>
    <t>Sunday|K</t>
  </si>
  <si>
    <t>Sunday</t>
  </si>
  <si>
    <t>Sunday, Sundays</t>
  </si>
  <si>
    <t>order|n</t>
  </si>
  <si>
    <t>order, orders</t>
  </si>
  <si>
    <t>continue|v</t>
  </si>
  <si>
    <t>continue</t>
  </si>
  <si>
    <t>continue, continues, continuing, continued</t>
  </si>
  <si>
    <t>event|n</t>
  </si>
  <si>
    <t>event</t>
  </si>
  <si>
    <t>event, events</t>
  </si>
  <si>
    <t>quiet|j</t>
  </si>
  <si>
    <t>quiet</t>
  </si>
  <si>
    <t>quiet, quieter, quietest</t>
  </si>
  <si>
    <t>low|j</t>
  </si>
  <si>
    <t>low</t>
  </si>
  <si>
    <t>low, lower, lowest</t>
  </si>
  <si>
    <t>color|n</t>
  </si>
  <si>
    <t>color</t>
  </si>
  <si>
    <t>color, colors</t>
  </si>
  <si>
    <t>Jewish|K</t>
  </si>
  <si>
    <t>Jewish</t>
  </si>
  <si>
    <t>nah|u</t>
  </si>
  <si>
    <t>nah</t>
  </si>
  <si>
    <t>breast|n</t>
  </si>
  <si>
    <t>breast</t>
  </si>
  <si>
    <t>breast, breasts</t>
  </si>
  <si>
    <t>bank|n</t>
  </si>
  <si>
    <t>bank</t>
  </si>
  <si>
    <t>bank, banks</t>
  </si>
  <si>
    <t>parking|n</t>
  </si>
  <si>
    <t>parking</t>
  </si>
  <si>
    <t>parking, parkings</t>
  </si>
  <si>
    <t>ride|n</t>
  </si>
  <si>
    <t>ride, rides</t>
  </si>
  <si>
    <t>wild|j</t>
  </si>
  <si>
    <t>wild</t>
  </si>
  <si>
    <t>wild, wilder, wildest</t>
  </si>
  <si>
    <t>turkey|n</t>
  </si>
  <si>
    <t>turkey</t>
  </si>
  <si>
    <t>turkey, turkeys</t>
  </si>
  <si>
    <t>blah|u</t>
  </si>
  <si>
    <t>blah</t>
  </si>
  <si>
    <t>thought|n</t>
  </si>
  <si>
    <t>thought</t>
  </si>
  <si>
    <t>thought, thoughts</t>
  </si>
  <si>
    <t>famous|j</t>
  </si>
  <si>
    <t>famous</t>
  </si>
  <si>
    <t>gold|n</t>
  </si>
  <si>
    <t>gold</t>
  </si>
  <si>
    <t>gold, golds</t>
  </si>
  <si>
    <t>pound|n</t>
  </si>
  <si>
    <t>pound</t>
  </si>
  <si>
    <t>pound, pounds</t>
  </si>
  <si>
    <t>skin|n</t>
  </si>
  <si>
    <t>skin</t>
  </si>
  <si>
    <t>skin, skins</t>
  </si>
  <si>
    <t>one hundred|m</t>
  </si>
  <si>
    <t>one hundred</t>
  </si>
  <si>
    <t>rat|n</t>
  </si>
  <si>
    <t>rat</t>
  </si>
  <si>
    <t>rat, rats</t>
  </si>
  <si>
    <t>switch|v</t>
  </si>
  <si>
    <t>switch</t>
  </si>
  <si>
    <t>switch, switches, switching, switched</t>
  </si>
  <si>
    <t>tie|n</t>
  </si>
  <si>
    <t>tie</t>
  </si>
  <si>
    <t>tie, ties</t>
  </si>
  <si>
    <t>career|n</t>
  </si>
  <si>
    <t>career</t>
  </si>
  <si>
    <t>career, careers</t>
  </si>
  <si>
    <t>juice|n</t>
  </si>
  <si>
    <t>juice</t>
  </si>
  <si>
    <t>juice, juices</t>
  </si>
  <si>
    <t>like|fw</t>
  </si>
  <si>
    <t>protect|v</t>
  </si>
  <si>
    <t>protect</t>
  </si>
  <si>
    <t>protect, protects, protecting, protected</t>
  </si>
  <si>
    <t>shame|n</t>
  </si>
  <si>
    <t>shame</t>
  </si>
  <si>
    <t>shame, shames</t>
  </si>
  <si>
    <t>bottom|n</t>
  </si>
  <si>
    <t>bottom</t>
  </si>
  <si>
    <t>bottom, bottoms</t>
  </si>
  <si>
    <t>respect|v</t>
  </si>
  <si>
    <t>respect</t>
  </si>
  <si>
    <t>respect, respects, respecting, respected</t>
  </si>
  <si>
    <t>underwear|n</t>
  </si>
  <si>
    <t>underwear</t>
  </si>
  <si>
    <t>underwear, underwears</t>
  </si>
  <si>
    <t>Indian|K</t>
  </si>
  <si>
    <t>Indian</t>
  </si>
  <si>
    <t>closet|n</t>
  </si>
  <si>
    <t>closet</t>
  </si>
  <si>
    <t>closet, closets</t>
  </si>
  <si>
    <t>meeting|n</t>
  </si>
  <si>
    <t>meeting</t>
  </si>
  <si>
    <t>meeting, meetings</t>
  </si>
  <si>
    <t>sun|n</t>
  </si>
  <si>
    <t>sun</t>
  </si>
  <si>
    <t>sun, suns</t>
  </si>
  <si>
    <t>afford|v</t>
  </si>
  <si>
    <t>afford</t>
  </si>
  <si>
    <t>afford, affords, affording, afforded</t>
  </si>
  <si>
    <t>bald|j</t>
  </si>
  <si>
    <t>bald</t>
  </si>
  <si>
    <t>bald, balder, baldest</t>
  </si>
  <si>
    <t>engage|v</t>
  </si>
  <si>
    <t>engage</t>
  </si>
  <si>
    <t>engage, engages, engaging, engaged</t>
  </si>
  <si>
    <t>plant|n</t>
  </si>
  <si>
    <t>plant</t>
  </si>
  <si>
    <t>plant, plants</t>
  </si>
  <si>
    <t>towel|n</t>
  </si>
  <si>
    <t>towel</t>
  </si>
  <si>
    <t>towel, towels</t>
  </si>
  <si>
    <t>mall|n</t>
  </si>
  <si>
    <t>mall</t>
  </si>
  <si>
    <t>mall, malls</t>
  </si>
  <si>
    <t>regular|j</t>
  </si>
  <si>
    <t>regular</t>
  </si>
  <si>
    <t>bone|n</t>
  </si>
  <si>
    <t>bone</t>
  </si>
  <si>
    <t>bone, bones</t>
  </si>
  <si>
    <t>dig|v</t>
  </si>
  <si>
    <t>dig</t>
  </si>
  <si>
    <t>dig, digs, digging, dug</t>
  </si>
  <si>
    <t>fear|n</t>
  </si>
  <si>
    <t>fear</t>
  </si>
  <si>
    <t>fear, fears</t>
  </si>
  <si>
    <t>cancer|n</t>
  </si>
  <si>
    <t>cancer</t>
  </si>
  <si>
    <t>cancer, cancers</t>
  </si>
  <si>
    <t>discuss|v</t>
  </si>
  <si>
    <t>discuss</t>
  </si>
  <si>
    <t>discuss, discusses, discussing, discussed</t>
  </si>
  <si>
    <t>fancy|j</t>
  </si>
  <si>
    <t>fancy</t>
  </si>
  <si>
    <t>fancy, fancier, fanciest</t>
  </si>
  <si>
    <t>control|v</t>
  </si>
  <si>
    <t>control, controls, controlling, controlled</t>
  </si>
  <si>
    <t>advice|n</t>
  </si>
  <si>
    <t>advice</t>
  </si>
  <si>
    <t>center|n</t>
  </si>
  <si>
    <t>center</t>
  </si>
  <si>
    <t>center, centers</t>
  </si>
  <si>
    <t>apple|n</t>
  </si>
  <si>
    <t>apple</t>
  </si>
  <si>
    <t>apple, apples</t>
  </si>
  <si>
    <t>everywhere|r</t>
  </si>
  <si>
    <t>everywhere</t>
  </si>
  <si>
    <t>holiday|n</t>
  </si>
  <si>
    <t>holiday</t>
  </si>
  <si>
    <t>holiday, holidays</t>
  </si>
  <si>
    <t>cash|n</t>
  </si>
  <si>
    <t>cash</t>
  </si>
  <si>
    <t>common|j</t>
  </si>
  <si>
    <t>common</t>
  </si>
  <si>
    <t>common, commoner, commonest</t>
  </si>
  <si>
    <t>crush|n</t>
  </si>
  <si>
    <t>crush</t>
  </si>
  <si>
    <t>crush, crushes</t>
  </si>
  <si>
    <t>mess|n</t>
  </si>
  <si>
    <t>mess, messes</t>
  </si>
  <si>
    <t>peace|n</t>
  </si>
  <si>
    <t>peace</t>
  </si>
  <si>
    <t>warn|v</t>
  </si>
  <si>
    <t>warn</t>
  </si>
  <si>
    <t>warn, warns, warning, warned</t>
  </si>
  <si>
    <t>welcome|v</t>
  </si>
  <si>
    <t>welcome, welcomes, welcoming, welcomed</t>
  </si>
  <si>
    <t>adult|n</t>
  </si>
  <si>
    <t>adult</t>
  </si>
  <si>
    <t>adult, adults</t>
  </si>
  <si>
    <t>noise|n</t>
  </si>
  <si>
    <t>noise</t>
  </si>
  <si>
    <t>noise, noises</t>
  </si>
  <si>
    <t>rock|v</t>
  </si>
  <si>
    <t>rock, rocks, rocking, rocked</t>
  </si>
  <si>
    <t>super|r</t>
  </si>
  <si>
    <t>super</t>
  </si>
  <si>
    <t>bread|n</t>
  </si>
  <si>
    <t>bread</t>
  </si>
  <si>
    <t>bread, breads</t>
  </si>
  <si>
    <t>fucking|r</t>
  </si>
  <si>
    <t>fucking</t>
  </si>
  <si>
    <t>porn|n</t>
  </si>
  <si>
    <t>porn</t>
  </si>
  <si>
    <t>porn, porns</t>
  </si>
  <si>
    <t>three hundred|m</t>
  </si>
  <si>
    <t>three hundred</t>
  </si>
  <si>
    <t>type|n</t>
  </si>
  <si>
    <t>type</t>
  </si>
  <si>
    <t>type, types</t>
  </si>
  <si>
    <t>borrow|v</t>
  </si>
  <si>
    <t>borrow</t>
  </si>
  <si>
    <t>borrow, borrows, borrowing, borrowed</t>
  </si>
  <si>
    <t>department|n</t>
  </si>
  <si>
    <t>department</t>
  </si>
  <si>
    <t>department, departments</t>
  </si>
  <si>
    <t>plate|n</t>
  </si>
  <si>
    <t>plate</t>
  </si>
  <si>
    <t>plate, plates</t>
  </si>
  <si>
    <t>breathe|v</t>
  </si>
  <si>
    <t>breathe</t>
  </si>
  <si>
    <t>breathe, breathes, breathing, breathed</t>
  </si>
  <si>
    <t>classic|j</t>
  </si>
  <si>
    <t>classic</t>
  </si>
  <si>
    <t>farm|n</t>
  </si>
  <si>
    <t>farm</t>
  </si>
  <si>
    <t>farm, farms</t>
  </si>
  <si>
    <t>disgusting|j</t>
  </si>
  <si>
    <t>disgusting</t>
  </si>
  <si>
    <t>tall|j</t>
  </si>
  <si>
    <t>tall</t>
  </si>
  <si>
    <t>tall, taller, tallest</t>
  </si>
  <si>
    <t>taste|n</t>
  </si>
  <si>
    <t>taste, tastes</t>
  </si>
  <si>
    <t>replace|v</t>
  </si>
  <si>
    <t>replace</t>
  </si>
  <si>
    <t>replace, replaces, replacing, replaced</t>
  </si>
  <si>
    <t>somehow|r</t>
  </si>
  <si>
    <t>somehow</t>
  </si>
  <si>
    <t>theater|n</t>
  </si>
  <si>
    <t>theater</t>
  </si>
  <si>
    <t>theater, theaters</t>
  </si>
  <si>
    <t>discover|v</t>
  </si>
  <si>
    <t>discover</t>
  </si>
  <si>
    <t>discover, discovers, discovering, discovered</t>
  </si>
  <si>
    <t>incredible|j</t>
  </si>
  <si>
    <t>incredible</t>
  </si>
  <si>
    <t>plenty|n</t>
  </si>
  <si>
    <t>plenty</t>
  </si>
  <si>
    <t>plenty, plenties</t>
  </si>
  <si>
    <t>baseball|n</t>
  </si>
  <si>
    <t>baseball</t>
  </si>
  <si>
    <t>baseball, baseballs</t>
  </si>
  <si>
    <t>comedy|n</t>
  </si>
  <si>
    <t>comedy</t>
  </si>
  <si>
    <t>comedy, comedies</t>
  </si>
  <si>
    <t>enter|v</t>
  </si>
  <si>
    <t>enter</t>
  </si>
  <si>
    <t>enter, enters, entering, entered</t>
  </si>
  <si>
    <t>introduce|v</t>
  </si>
  <si>
    <t>introduce</t>
  </si>
  <si>
    <t>introduce, introduces, introducing, introduced</t>
  </si>
  <si>
    <t>whenever|fw</t>
  </si>
  <si>
    <t>whenever</t>
  </si>
  <si>
    <t>butter|n</t>
  </si>
  <si>
    <t>butter</t>
  </si>
  <si>
    <t>possibly|r</t>
  </si>
  <si>
    <t>possibly</t>
  </si>
  <si>
    <t>sweetheart|n</t>
  </si>
  <si>
    <t>sweetheart</t>
  </si>
  <si>
    <t>sweetheart, sweethearts</t>
  </si>
  <si>
    <t>jail|n</t>
  </si>
  <si>
    <t>jail</t>
  </si>
  <si>
    <t>jail, jails</t>
  </si>
  <si>
    <t>season|n</t>
  </si>
  <si>
    <t>season</t>
  </si>
  <si>
    <t>season, seasons</t>
  </si>
  <si>
    <t>study|v</t>
  </si>
  <si>
    <t>study</t>
  </si>
  <si>
    <t>study, studies, studying, studied</t>
  </si>
  <si>
    <t>miracle|n</t>
  </si>
  <si>
    <t>miracle</t>
  </si>
  <si>
    <t>miracle, miracles</t>
  </si>
  <si>
    <t>complete|j</t>
  </si>
  <si>
    <t>complete</t>
  </si>
  <si>
    <t>complete, completer, completest</t>
  </si>
  <si>
    <t>golf|n</t>
  </si>
  <si>
    <t>golf</t>
  </si>
  <si>
    <t>hook|v</t>
  </si>
  <si>
    <t>hook</t>
  </si>
  <si>
    <t>hook, hooks, hooking, hooked</t>
  </si>
  <si>
    <t>perfectly|r</t>
  </si>
  <si>
    <t>perfectly</t>
  </si>
  <si>
    <t>stare|v</t>
  </si>
  <si>
    <t>stare</t>
  </si>
  <si>
    <t>stare, stares, staring, stared</t>
  </si>
  <si>
    <t>flag|n</t>
  </si>
  <si>
    <t>flag</t>
  </si>
  <si>
    <t>flag, flags</t>
  </si>
  <si>
    <t>jeez|u</t>
  </si>
  <si>
    <t>jeez</t>
  </si>
  <si>
    <t>jeez, geez</t>
  </si>
  <si>
    <t>roommate|n</t>
  </si>
  <si>
    <t>roommate</t>
  </si>
  <si>
    <t>roommate, roommates</t>
  </si>
  <si>
    <t>ship|n</t>
  </si>
  <si>
    <t>ship</t>
  </si>
  <si>
    <t>ship, ships</t>
  </si>
  <si>
    <t>wood|n</t>
  </si>
  <si>
    <t>wood</t>
  </si>
  <si>
    <t>wood, woods</t>
  </si>
  <si>
    <t>actor|n</t>
  </si>
  <si>
    <t>actor</t>
  </si>
  <si>
    <t>actor, actors</t>
  </si>
  <si>
    <t>break|n</t>
  </si>
  <si>
    <t>break, breaks</t>
  </si>
  <si>
    <t>prize|n</t>
  </si>
  <si>
    <t>prize</t>
  </si>
  <si>
    <t>prize, prizes</t>
  </si>
  <si>
    <t>thanks|fw</t>
  </si>
  <si>
    <t>corner|n</t>
  </si>
  <si>
    <t>corner</t>
  </si>
  <si>
    <t>corner, corners</t>
  </si>
  <si>
    <t>fourth|m</t>
  </si>
  <si>
    <t>fourth</t>
  </si>
  <si>
    <t>fourth, fourths</t>
  </si>
  <si>
    <t>sneak|v</t>
  </si>
  <si>
    <t>sneak</t>
  </si>
  <si>
    <t>sneak, sneaks, sneaking, sneaked, snuck</t>
  </si>
  <si>
    <t>piss|v</t>
  </si>
  <si>
    <t>piss</t>
  </si>
  <si>
    <t>piss, pisses, pissing, pissed</t>
  </si>
  <si>
    <t>pocket|n</t>
  </si>
  <si>
    <t>pocket</t>
  </si>
  <si>
    <t>pocket, pockets</t>
  </si>
  <si>
    <t>tip|n</t>
  </si>
  <si>
    <t>tip</t>
  </si>
  <si>
    <t>tip, tips</t>
  </si>
  <si>
    <t>alone|r</t>
  </si>
  <si>
    <t>lately|r</t>
  </si>
  <si>
    <t>lately</t>
  </si>
  <si>
    <t>queen|n</t>
  </si>
  <si>
    <t>queen</t>
  </si>
  <si>
    <t>queen, queens</t>
  </si>
  <si>
    <t>tear|v</t>
  </si>
  <si>
    <t>tear</t>
  </si>
  <si>
    <t>tear, tears, tearing, tore, torn</t>
  </si>
  <si>
    <t>especially|r</t>
  </si>
  <si>
    <t>especially</t>
  </si>
  <si>
    <t>lay|v</t>
  </si>
  <si>
    <t>lay</t>
  </si>
  <si>
    <t>lay, lays, laying, laid</t>
  </si>
  <si>
    <t>pressure|n</t>
  </si>
  <si>
    <t>pressure</t>
  </si>
  <si>
    <t>pressure, pressures</t>
  </si>
  <si>
    <t>rip|v</t>
  </si>
  <si>
    <t>rip</t>
  </si>
  <si>
    <t>rip, rips, ripping, ripped</t>
  </si>
  <si>
    <t>assistant|n</t>
  </si>
  <si>
    <t>assistant</t>
  </si>
  <si>
    <t>assistant, assistants</t>
  </si>
  <si>
    <t>camp|n</t>
  </si>
  <si>
    <t>camp</t>
  </si>
  <si>
    <t>camp, camps</t>
  </si>
  <si>
    <t>judge|n</t>
  </si>
  <si>
    <t>judge</t>
  </si>
  <si>
    <t>judge, judges</t>
  </si>
  <si>
    <t>North|n</t>
  </si>
  <si>
    <t>North</t>
  </si>
  <si>
    <t>North, north</t>
  </si>
  <si>
    <t>often|r</t>
  </si>
  <si>
    <t>often</t>
  </si>
  <si>
    <t>often, oftener, oftenest</t>
  </si>
  <si>
    <t>Halloween|K</t>
  </si>
  <si>
    <t>Halloween</t>
  </si>
  <si>
    <t>Halloween, Halloweens</t>
  </si>
  <si>
    <t>vacation|n</t>
  </si>
  <si>
    <t>vacation</t>
  </si>
  <si>
    <t>vacation, vacations</t>
  </si>
  <si>
    <t>impossible|j</t>
  </si>
  <si>
    <t>impossible</t>
  </si>
  <si>
    <t>square|n</t>
  </si>
  <si>
    <t>square</t>
  </si>
  <si>
    <t>square, squares</t>
  </si>
  <si>
    <t>left|n</t>
  </si>
  <si>
    <t>left</t>
  </si>
  <si>
    <t>left, lefts</t>
  </si>
  <si>
    <t>grandma|n</t>
  </si>
  <si>
    <t>grandma</t>
  </si>
  <si>
    <t>grandma, grandmas</t>
  </si>
  <si>
    <t>gross|j</t>
  </si>
  <si>
    <t>gross</t>
  </si>
  <si>
    <t>gross, grosser, grossest</t>
  </si>
  <si>
    <t>pal|n</t>
  </si>
  <si>
    <t>pal</t>
  </si>
  <si>
    <t>pal, pals</t>
  </si>
  <si>
    <t>smile|v</t>
  </si>
  <si>
    <t>smile</t>
  </si>
  <si>
    <t>smile, smiles, smiling, smiled</t>
  </si>
  <si>
    <t>speech|n</t>
  </si>
  <si>
    <t>speech</t>
  </si>
  <si>
    <t>speech, speeches</t>
  </si>
  <si>
    <t>bust|v</t>
  </si>
  <si>
    <t>bust</t>
  </si>
  <si>
    <t>bust, busts, busting, busted</t>
  </si>
  <si>
    <t>gee|u</t>
  </si>
  <si>
    <t>gee</t>
  </si>
  <si>
    <t>handsome|j</t>
  </si>
  <si>
    <t>handsome</t>
  </si>
  <si>
    <t>handsome, handsomer, handsomest</t>
  </si>
  <si>
    <t>safety|n</t>
  </si>
  <si>
    <t>safety</t>
  </si>
  <si>
    <t>safety, safeties</t>
  </si>
  <si>
    <t>test|v</t>
  </si>
  <si>
    <t>test, tests, testing, tested</t>
  </si>
  <si>
    <t>community|n</t>
  </si>
  <si>
    <t>community</t>
  </si>
  <si>
    <t>community, communities</t>
  </si>
  <si>
    <t>beach|n</t>
  </si>
  <si>
    <t>beach</t>
  </si>
  <si>
    <t>beach, beaches</t>
  </si>
  <si>
    <t>gym|n</t>
  </si>
  <si>
    <t>gym</t>
  </si>
  <si>
    <t>gym, gyms</t>
  </si>
  <si>
    <t>toast|n</t>
  </si>
  <si>
    <t>toast</t>
  </si>
  <si>
    <t>toast, toasts</t>
  </si>
  <si>
    <t>disease|n</t>
  </si>
  <si>
    <t>disease</t>
  </si>
  <si>
    <t>disease, diseases</t>
  </si>
  <si>
    <t>paint|v</t>
  </si>
  <si>
    <t>paint</t>
  </si>
  <si>
    <t>paint, paints, painting, painted</t>
  </si>
  <si>
    <t>themselves|fw</t>
  </si>
  <si>
    <t>themselves</t>
  </si>
  <si>
    <t>Monday|K</t>
  </si>
  <si>
    <t>Monday</t>
  </si>
  <si>
    <t>Monday, Mondays</t>
  </si>
  <si>
    <t>pack|v</t>
  </si>
  <si>
    <t>pack</t>
  </si>
  <si>
    <t>pack, packs, packing, packed</t>
  </si>
  <si>
    <t>punch|v</t>
  </si>
  <si>
    <t>punch</t>
  </si>
  <si>
    <t>punch, punches, punching, punched</t>
  </si>
  <si>
    <t>customer|n</t>
  </si>
  <si>
    <t>customer</t>
  </si>
  <si>
    <t>customer, customers</t>
  </si>
  <si>
    <t>healthy|j</t>
  </si>
  <si>
    <t>healthy</t>
  </si>
  <si>
    <t>healthy, healthier, healthiest</t>
  </si>
  <si>
    <t>invent|v</t>
  </si>
  <si>
    <t>invent</t>
  </si>
  <si>
    <t>invent, invents, inventing, invented</t>
  </si>
  <si>
    <t>princess|n</t>
  </si>
  <si>
    <t>princess</t>
  </si>
  <si>
    <t>princess, princesses</t>
  </si>
  <si>
    <t>merry|j</t>
  </si>
  <si>
    <t>merry</t>
  </si>
  <si>
    <t>merry, merrier, merriest</t>
  </si>
  <si>
    <t>someday|r</t>
  </si>
  <si>
    <t>someday</t>
  </si>
  <si>
    <t>blind|j</t>
  </si>
  <si>
    <t>blind</t>
  </si>
  <si>
    <t>blind, blinder, blindest</t>
  </si>
  <si>
    <t>certain|r</t>
  </si>
  <si>
    <t>certain</t>
  </si>
  <si>
    <t>solve|v</t>
  </si>
  <si>
    <t>solve</t>
  </si>
  <si>
    <t>solve, solves, solving, solved</t>
  </si>
  <si>
    <t>study|n</t>
  </si>
  <si>
    <t>study, studies</t>
  </si>
  <si>
    <t>sweater|n</t>
  </si>
  <si>
    <t>sweater</t>
  </si>
  <si>
    <t>sweater, sweaters</t>
  </si>
  <si>
    <t>terrific|j</t>
  </si>
  <si>
    <t>terrific</t>
  </si>
  <si>
    <t>wet|j</t>
  </si>
  <si>
    <t>wet</t>
  </si>
  <si>
    <t>wet, wetter, wettest</t>
  </si>
  <si>
    <t>attack|n</t>
  </si>
  <si>
    <t>attack</t>
  </si>
  <si>
    <t>attack, attacks</t>
  </si>
  <si>
    <t>beg|v</t>
  </si>
  <si>
    <t>beg</t>
  </si>
  <si>
    <t>beg, begs, begging, begged</t>
  </si>
  <si>
    <t>cigarette|n</t>
  </si>
  <si>
    <t>cigarette</t>
  </si>
  <si>
    <t>cigarette, cigaret, cigarettes, cigarets</t>
  </si>
  <si>
    <t>sugar|n</t>
  </si>
  <si>
    <t>sugar</t>
  </si>
  <si>
    <t>sugar, sugars</t>
  </si>
  <si>
    <t>uhh|u</t>
  </si>
  <si>
    <t>uhh</t>
  </si>
  <si>
    <t>weekend|n</t>
  </si>
  <si>
    <t>weekend</t>
  </si>
  <si>
    <t>weekend, weekends</t>
  </si>
  <si>
    <t>damn|r</t>
  </si>
  <si>
    <t>sock|n</t>
  </si>
  <si>
    <t>sock</t>
  </si>
  <si>
    <t>sock, socks, sox</t>
  </si>
  <si>
    <t>emergency|n</t>
  </si>
  <si>
    <t>emergency</t>
  </si>
  <si>
    <t>emergency, emergencies</t>
  </si>
  <si>
    <t>mood|n</t>
  </si>
  <si>
    <t>mood</t>
  </si>
  <si>
    <t>mood, moods</t>
  </si>
  <si>
    <t>peanut|n</t>
  </si>
  <si>
    <t>peanut</t>
  </si>
  <si>
    <t>peanut, peanuts</t>
  </si>
  <si>
    <t>stage|n</t>
  </si>
  <si>
    <t>stage</t>
  </si>
  <si>
    <t>stage, stages</t>
  </si>
  <si>
    <t>tight|j</t>
  </si>
  <si>
    <t>tight</t>
  </si>
  <si>
    <t>tight, tighter, tightest</t>
  </si>
  <si>
    <t>gum|n</t>
  </si>
  <si>
    <t>gum</t>
  </si>
  <si>
    <t>gum, gums</t>
  </si>
  <si>
    <t>moon|n</t>
  </si>
  <si>
    <t>moon</t>
  </si>
  <si>
    <t>moon, moons</t>
  </si>
  <si>
    <t>nature|n</t>
  </si>
  <si>
    <t>nature</t>
  </si>
  <si>
    <t>nature, natures</t>
  </si>
  <si>
    <t>program|n</t>
  </si>
  <si>
    <t>program</t>
  </si>
  <si>
    <t>program, programs</t>
  </si>
  <si>
    <t>straight|r</t>
  </si>
  <si>
    <t>angel|n</t>
  </si>
  <si>
    <t>angel</t>
  </si>
  <si>
    <t>angel, angels</t>
  </si>
  <si>
    <t>corporate|j</t>
  </si>
  <si>
    <t>corporate</t>
  </si>
  <si>
    <t>damn|v</t>
  </si>
  <si>
    <t>damn, damns, damning, damned</t>
  </si>
  <si>
    <t>exist|v</t>
  </si>
  <si>
    <t>exist</t>
  </si>
  <si>
    <t>exist, exists, existing, existed</t>
  </si>
  <si>
    <t>ghost|n</t>
  </si>
  <si>
    <t>ghost</t>
  </si>
  <si>
    <t>ghost, ghosts</t>
  </si>
  <si>
    <t>sauce|n</t>
  </si>
  <si>
    <t>sauce</t>
  </si>
  <si>
    <t>sauce, sauces</t>
  </si>
  <si>
    <t>stomach|n</t>
  </si>
  <si>
    <t>stomach</t>
  </si>
  <si>
    <t>stomach, stomachs</t>
  </si>
  <si>
    <t>twenty-five|m</t>
  </si>
  <si>
    <t>twenty-five</t>
  </si>
  <si>
    <t>block|n</t>
  </si>
  <si>
    <t>block</t>
  </si>
  <si>
    <t>block, blocks</t>
  </si>
  <si>
    <t>herself|fw</t>
  </si>
  <si>
    <t>herself</t>
  </si>
  <si>
    <t>murder|n</t>
  </si>
  <si>
    <t>murder</t>
  </si>
  <si>
    <t>murder, murders</t>
  </si>
  <si>
    <t>speed|n</t>
  </si>
  <si>
    <t>speed</t>
  </si>
  <si>
    <t>speed, speeds</t>
  </si>
  <si>
    <t>Jesus|u</t>
  </si>
  <si>
    <t>Jesus</t>
  </si>
  <si>
    <t>mix|v</t>
  </si>
  <si>
    <t>mix</t>
  </si>
  <si>
    <t>mix, mixes, mixing, mixed, mixt</t>
  </si>
  <si>
    <t>track|n</t>
  </si>
  <si>
    <t>track</t>
  </si>
  <si>
    <t>track, tracks</t>
  </si>
  <si>
    <t>opportunity|n</t>
  </si>
  <si>
    <t>opportunity</t>
  </si>
  <si>
    <t>opportunity, opportunities</t>
  </si>
  <si>
    <t>society|n</t>
  </si>
  <si>
    <t>society</t>
  </si>
  <si>
    <t>society, societies</t>
  </si>
  <si>
    <t>whoo-hoo|u</t>
  </si>
  <si>
    <t>whoo-hoo</t>
  </si>
  <si>
    <t>upon|fw</t>
  </si>
  <si>
    <t>upon</t>
  </si>
  <si>
    <t>difficult|j</t>
  </si>
  <si>
    <t>difficult</t>
  </si>
  <si>
    <t>killer|n</t>
  </si>
  <si>
    <t>killer</t>
  </si>
  <si>
    <t>killer, killers</t>
  </si>
  <si>
    <t>lip|n</t>
  </si>
  <si>
    <t>lip</t>
  </si>
  <si>
    <t>lip, lips</t>
  </si>
  <si>
    <t>market|n</t>
  </si>
  <si>
    <t>market</t>
  </si>
  <si>
    <t>market, markets</t>
  </si>
  <si>
    <t>goodness|n</t>
  </si>
  <si>
    <t>goodness</t>
  </si>
  <si>
    <t>pillow|n</t>
  </si>
  <si>
    <t>pillow</t>
  </si>
  <si>
    <t>pillow, pillows</t>
  </si>
  <si>
    <t>tie|v</t>
  </si>
  <si>
    <t>tie, ties, tying, tied</t>
  </si>
  <si>
    <t>arrive|v</t>
  </si>
  <si>
    <t>arrive</t>
  </si>
  <si>
    <t>arrive, arrives, arriving, arrived</t>
  </si>
  <si>
    <t>mountain|n</t>
  </si>
  <si>
    <t>mountain</t>
  </si>
  <si>
    <t>mountain, mountains</t>
  </si>
  <si>
    <t>slip|v</t>
  </si>
  <si>
    <t>slip</t>
  </si>
  <si>
    <t>slip, slips, slipping, slipped</t>
  </si>
  <si>
    <t>belt|n</t>
  </si>
  <si>
    <t>belt</t>
  </si>
  <si>
    <t>belt, belts</t>
  </si>
  <si>
    <t>museum|n</t>
  </si>
  <si>
    <t>museum</t>
  </si>
  <si>
    <t>museum, museums, musea</t>
  </si>
  <si>
    <t>oil|n</t>
  </si>
  <si>
    <t>oil</t>
  </si>
  <si>
    <t>oil, oils</t>
  </si>
  <si>
    <t>press|v</t>
  </si>
  <si>
    <t>press</t>
  </si>
  <si>
    <t>press, presses, pressing, pressed</t>
  </si>
  <si>
    <t>respect|n</t>
  </si>
  <si>
    <t>respect, respects</t>
  </si>
  <si>
    <t>airplane|n</t>
  </si>
  <si>
    <t>airplane</t>
  </si>
  <si>
    <t>airplane, airplanes</t>
  </si>
  <si>
    <t>airport|n</t>
  </si>
  <si>
    <t>airport</t>
  </si>
  <si>
    <t>airport, airports</t>
  </si>
  <si>
    <t>honestly|r</t>
  </si>
  <si>
    <t>honestly</t>
  </si>
  <si>
    <t>contest|n</t>
  </si>
  <si>
    <t>contest</t>
  </si>
  <si>
    <t>contest, contests</t>
  </si>
  <si>
    <t>fabulous|j</t>
  </si>
  <si>
    <t>fabulous</t>
  </si>
  <si>
    <t>spell|v</t>
  </si>
  <si>
    <t>spell</t>
  </si>
  <si>
    <t>spell, spells, spelling, spelled, spelt</t>
  </si>
  <si>
    <t>whoever|fw</t>
  </si>
  <si>
    <t>whoever</t>
  </si>
  <si>
    <t>whoever, whomever</t>
  </si>
  <si>
    <t>bell|n</t>
  </si>
  <si>
    <t>bell</t>
  </si>
  <si>
    <t>bell, bells</t>
  </si>
  <si>
    <t>friendship|n</t>
  </si>
  <si>
    <t>friendship</t>
  </si>
  <si>
    <t>friendship, friendships</t>
  </si>
  <si>
    <t>national|j</t>
  </si>
  <si>
    <t>national</t>
  </si>
  <si>
    <t>alien|n</t>
  </si>
  <si>
    <t>alien</t>
  </si>
  <si>
    <t>alien, aliens</t>
  </si>
  <si>
    <t>dream|v</t>
  </si>
  <si>
    <t>dream, dreams, dreaming, dreamed, dreamt</t>
  </si>
  <si>
    <t>fool|n</t>
  </si>
  <si>
    <t>fool</t>
  </si>
  <si>
    <t>fool, fools</t>
  </si>
  <si>
    <t>past|fw</t>
  </si>
  <si>
    <t>bless|v</t>
  </si>
  <si>
    <t>bless</t>
  </si>
  <si>
    <t>bless, blesses, blessing, blessed, blest</t>
  </si>
  <si>
    <t>cartoon|n</t>
  </si>
  <si>
    <t>cartoon</t>
  </si>
  <si>
    <t>cartoon, cartoons</t>
  </si>
  <si>
    <t>near|fw</t>
  </si>
  <si>
    <t>near</t>
  </si>
  <si>
    <t>swim|v</t>
  </si>
  <si>
    <t>swim</t>
  </si>
  <si>
    <t>swim, swims, swimming, swam, swum</t>
  </si>
  <si>
    <t>burger|n</t>
  </si>
  <si>
    <t>burger</t>
  </si>
  <si>
    <t>burger, burgers</t>
  </si>
  <si>
    <t>fruit|n</t>
  </si>
  <si>
    <t>fruit</t>
  </si>
  <si>
    <t>fruit, fruits</t>
  </si>
  <si>
    <t>roof|n</t>
  </si>
  <si>
    <t>roof</t>
  </si>
  <si>
    <t>roof, roofs</t>
  </si>
  <si>
    <t>theory|n</t>
  </si>
  <si>
    <t>theory</t>
  </si>
  <si>
    <t>theory, theories</t>
  </si>
  <si>
    <t>according|fw</t>
  </si>
  <si>
    <t>according</t>
  </si>
  <si>
    <t>guilty|j</t>
  </si>
  <si>
    <t>guilty</t>
  </si>
  <si>
    <t>guilty, guiltier, guiltiest</t>
  </si>
  <si>
    <t>potato|n</t>
  </si>
  <si>
    <t>potato</t>
  </si>
  <si>
    <t>potato, potatoes</t>
  </si>
  <si>
    <t>dish|n</t>
  </si>
  <si>
    <t>dish</t>
  </si>
  <si>
    <t>dish, dishes</t>
  </si>
  <si>
    <t>sound|n</t>
  </si>
  <si>
    <t>sound, sounds</t>
  </si>
  <si>
    <t>uncomfortable|j</t>
  </si>
  <si>
    <t>uncomfortable</t>
  </si>
  <si>
    <t>wrap|v</t>
  </si>
  <si>
    <t>wrap</t>
  </si>
  <si>
    <t>wrap, wraps, wrapping, wrapped, wrapt</t>
  </si>
  <si>
    <t>cheap|j</t>
  </si>
  <si>
    <t>cheap</t>
  </si>
  <si>
    <t>cheap, cheaper, cheapest</t>
  </si>
  <si>
    <t>employee|n</t>
  </si>
  <si>
    <t>employee</t>
  </si>
  <si>
    <t>employee, employe, employees, employes</t>
  </si>
  <si>
    <t>interview|n</t>
  </si>
  <si>
    <t>interview</t>
  </si>
  <si>
    <t>interview, interviews</t>
  </si>
  <si>
    <t>perform|v</t>
  </si>
  <si>
    <t>perform</t>
  </si>
  <si>
    <t>perform, performs, performing, performed</t>
  </si>
  <si>
    <t>spring|n</t>
  </si>
  <si>
    <t>spring</t>
  </si>
  <si>
    <t>spring, springs</t>
  </si>
  <si>
    <t>text|v</t>
  </si>
  <si>
    <t>text</t>
  </si>
  <si>
    <t>text, texts, texting, texted</t>
  </si>
  <si>
    <t>tour|n</t>
  </si>
  <si>
    <t>tour</t>
  </si>
  <si>
    <t>tour, tours</t>
  </si>
  <si>
    <t>treat|n</t>
  </si>
  <si>
    <t>treat, treats</t>
  </si>
  <si>
    <t>awkward|j</t>
  </si>
  <si>
    <t>awkward</t>
  </si>
  <si>
    <t>awkward, awkwarder, awkwardest</t>
  </si>
  <si>
    <t>expensive|j</t>
  </si>
  <si>
    <t>expensive</t>
  </si>
  <si>
    <t>unfortunately|r</t>
  </si>
  <si>
    <t>unfortunately</t>
  </si>
  <si>
    <t>purse|n</t>
  </si>
  <si>
    <t>purse</t>
  </si>
  <si>
    <t>purse, purses</t>
  </si>
  <si>
    <t>charge|v</t>
  </si>
  <si>
    <t>charge, charges, charging, charged</t>
  </si>
  <si>
    <t>ha-ha|u</t>
  </si>
  <si>
    <t>ha-ha</t>
  </si>
  <si>
    <t>divorce|n</t>
  </si>
  <si>
    <t>divorce</t>
  </si>
  <si>
    <t>divorce, divorces</t>
  </si>
  <si>
    <t>ring|v</t>
  </si>
  <si>
    <t>ring, rings, ringing, rang, rung</t>
  </si>
  <si>
    <t>bra|n</t>
  </si>
  <si>
    <t>bra</t>
  </si>
  <si>
    <t>bra, bras</t>
  </si>
  <si>
    <t>brown|j</t>
  </si>
  <si>
    <t>brown</t>
  </si>
  <si>
    <t>brown, browner, brownest</t>
  </si>
  <si>
    <t>duck|n</t>
  </si>
  <si>
    <t>duck</t>
  </si>
  <si>
    <t>duck, ducks</t>
  </si>
  <si>
    <t>English|K</t>
  </si>
  <si>
    <t>English</t>
  </si>
  <si>
    <t>celebrity|n</t>
  </si>
  <si>
    <t>celebrity</t>
  </si>
  <si>
    <t>celebrity, celebrities</t>
  </si>
  <si>
    <t>double|j</t>
  </si>
  <si>
    <t>double</t>
  </si>
  <si>
    <t>period|n</t>
  </si>
  <si>
    <t>period</t>
  </si>
  <si>
    <t>period, periods</t>
  </si>
  <si>
    <t>rent|v</t>
  </si>
  <si>
    <t>rent</t>
  </si>
  <si>
    <t>rent, rents, renting, rented</t>
  </si>
  <si>
    <t>today|n</t>
  </si>
  <si>
    <t>barely|r</t>
  </si>
  <si>
    <t>barely</t>
  </si>
  <si>
    <t>bye-bye|u</t>
  </si>
  <si>
    <t>bye-bye</t>
  </si>
  <si>
    <t>chip|n</t>
  </si>
  <si>
    <t>chip</t>
  </si>
  <si>
    <t>chip, chips</t>
  </si>
  <si>
    <t>ignore|v</t>
  </si>
  <si>
    <t>ignore</t>
  </si>
  <si>
    <t>ignore, ignores, ignoring, ignored</t>
  </si>
  <si>
    <t>language|n</t>
  </si>
  <si>
    <t>language</t>
  </si>
  <si>
    <t>language, languages</t>
  </si>
  <si>
    <t>laundry|n</t>
  </si>
  <si>
    <t>laundry</t>
  </si>
  <si>
    <t>laundry, laundries</t>
  </si>
  <si>
    <t>social|j</t>
  </si>
  <si>
    <t>social</t>
  </si>
  <si>
    <t>dress|n</t>
  </si>
  <si>
    <t>dress, dresses</t>
  </si>
  <si>
    <t>soft|j</t>
  </si>
  <si>
    <t>soft</t>
  </si>
  <si>
    <t>soft, softer, softest</t>
  </si>
  <si>
    <t>apology|n</t>
  </si>
  <si>
    <t>apology</t>
  </si>
  <si>
    <t>apology, apologies</t>
  </si>
  <si>
    <t>concert|n</t>
  </si>
  <si>
    <t>concert</t>
  </si>
  <si>
    <t>concert, concerts</t>
  </si>
  <si>
    <t>disappoint|v</t>
  </si>
  <si>
    <t>disappoint</t>
  </si>
  <si>
    <t>disappoint, disappoints, disappointing, disappointed</t>
  </si>
  <si>
    <t>knife|n</t>
  </si>
  <si>
    <t>knife</t>
  </si>
  <si>
    <t>knife, knives</t>
  </si>
  <si>
    <t>hilarious|j</t>
  </si>
  <si>
    <t>hilarious</t>
  </si>
  <si>
    <t>judge|v</t>
  </si>
  <si>
    <t>judge, judges, judging, judged</t>
  </si>
  <si>
    <t>blanket|n</t>
  </si>
  <si>
    <t>blanket</t>
  </si>
  <si>
    <t>blanket, blankets</t>
  </si>
  <si>
    <t>comic|j</t>
  </si>
  <si>
    <t>comic</t>
  </si>
  <si>
    <t>leader|n</t>
  </si>
  <si>
    <t>leader</t>
  </si>
  <si>
    <t>leader, leaders</t>
  </si>
  <si>
    <t>local|j</t>
  </si>
  <si>
    <t>local</t>
  </si>
  <si>
    <t>neighborhood|n</t>
  </si>
  <si>
    <t>neighborhood</t>
  </si>
  <si>
    <t>neighborhood, neighborhoods</t>
  </si>
  <si>
    <t>trap|v</t>
  </si>
  <si>
    <t>trap</t>
  </si>
  <si>
    <t>trap, traps, trapping, trapped</t>
  </si>
  <si>
    <t>West|n</t>
  </si>
  <si>
    <t>West</t>
  </si>
  <si>
    <t>West, west</t>
  </si>
  <si>
    <t>bury|v</t>
  </si>
  <si>
    <t>bury</t>
  </si>
  <si>
    <t>bury, buries, burying, buried</t>
  </si>
  <si>
    <t>whore|n</t>
  </si>
  <si>
    <t>whore</t>
  </si>
  <si>
    <t>whore, whores</t>
  </si>
  <si>
    <t>cross|v</t>
  </si>
  <si>
    <t>cross</t>
  </si>
  <si>
    <t>cross, crosses, crossing, crossed</t>
  </si>
  <si>
    <t>sheet|n</t>
  </si>
  <si>
    <t>sheet</t>
  </si>
  <si>
    <t>sheet, sheets</t>
  </si>
  <si>
    <t>suffer|v</t>
  </si>
  <si>
    <t>suffer</t>
  </si>
  <si>
    <t>suffer, suffers, suffering, suffered</t>
  </si>
  <si>
    <t>tax|n</t>
  </si>
  <si>
    <t>tax</t>
  </si>
  <si>
    <t>tax, taxes</t>
  </si>
  <si>
    <t>bath|n</t>
  </si>
  <si>
    <t>bath</t>
  </si>
  <si>
    <t>bath, baths</t>
  </si>
  <si>
    <t>receive|v</t>
  </si>
  <si>
    <t>receive</t>
  </si>
  <si>
    <t>receive, receives, receiving, received</t>
  </si>
  <si>
    <t>sometime|r</t>
  </si>
  <si>
    <t>sometime</t>
  </si>
  <si>
    <t>split|v</t>
  </si>
  <si>
    <t>split</t>
  </si>
  <si>
    <t>split, splits, splitting</t>
  </si>
  <si>
    <t>soda|n</t>
  </si>
  <si>
    <t>soda</t>
  </si>
  <si>
    <t>soda, sodas</t>
  </si>
  <si>
    <t>talent|n</t>
  </si>
  <si>
    <t>talent</t>
  </si>
  <si>
    <t>talent, talents</t>
  </si>
  <si>
    <t>account|n</t>
  </si>
  <si>
    <t>account</t>
  </si>
  <si>
    <t>account, accounts</t>
  </si>
  <si>
    <t>convince|v</t>
  </si>
  <si>
    <t>convince</t>
  </si>
  <si>
    <t>convince, convinces, convincing, convinced</t>
  </si>
  <si>
    <t>dessert|n</t>
  </si>
  <si>
    <t>dessert</t>
  </si>
  <si>
    <t>dessert, desserts</t>
  </si>
  <si>
    <t>purpose|n</t>
  </si>
  <si>
    <t>purpose</t>
  </si>
  <si>
    <t>purpose, purposes</t>
  </si>
  <si>
    <t>report|v</t>
  </si>
  <si>
    <t>report, reports, reporting, reported</t>
  </si>
  <si>
    <t>weak|j</t>
  </si>
  <si>
    <t>weak</t>
  </si>
  <si>
    <t>weak, weaker, weakest</t>
  </si>
  <si>
    <t>cheer|v</t>
  </si>
  <si>
    <t>cheer</t>
  </si>
  <si>
    <t>cheer, cheers, cheering, cheered</t>
  </si>
  <si>
    <t>move|n</t>
  </si>
  <si>
    <t>move, moves</t>
  </si>
  <si>
    <t>support|v</t>
  </si>
  <si>
    <t>support</t>
  </si>
  <si>
    <t>support, supports, supporting, supported</t>
  </si>
  <si>
    <t>research|n</t>
  </si>
  <si>
    <t>research</t>
  </si>
  <si>
    <t>research, researches</t>
  </si>
  <si>
    <t>tongue|n</t>
  </si>
  <si>
    <t>tongue</t>
  </si>
  <si>
    <t>tongue, tongues</t>
  </si>
  <si>
    <t>Valentine|K</t>
  </si>
  <si>
    <t>Valentine</t>
  </si>
  <si>
    <t>Valentine, valentine, valentines</t>
  </si>
  <si>
    <t>pill|n</t>
  </si>
  <si>
    <t>pill</t>
  </si>
  <si>
    <t>pill, pills</t>
  </si>
  <si>
    <t>snake|n</t>
  </si>
  <si>
    <t>snake</t>
  </si>
  <si>
    <t>snake, snakes</t>
  </si>
  <si>
    <t>battle|n</t>
  </si>
  <si>
    <t>battle</t>
  </si>
  <si>
    <t>battle, battles</t>
  </si>
  <si>
    <t>license|n</t>
  </si>
  <si>
    <t>license</t>
  </si>
  <si>
    <t>license, licenses</t>
  </si>
  <si>
    <t>nut|n</t>
  </si>
  <si>
    <t>nut</t>
  </si>
  <si>
    <t>nut, nuts</t>
  </si>
  <si>
    <t>health|n</t>
  </si>
  <si>
    <t>health</t>
  </si>
  <si>
    <t>natural|j</t>
  </si>
  <si>
    <t>natural</t>
  </si>
  <si>
    <t>gorgeous|j</t>
  </si>
  <si>
    <t>gorgeous</t>
  </si>
  <si>
    <t>steak|n</t>
  </si>
  <si>
    <t>steak</t>
  </si>
  <si>
    <t>steak, steaks</t>
  </si>
  <si>
    <t>vagina|n</t>
  </si>
  <si>
    <t>vagina</t>
  </si>
  <si>
    <t>vagina, vaginas, vaginae</t>
  </si>
  <si>
    <t>audience|n</t>
  </si>
  <si>
    <t>audience</t>
  </si>
  <si>
    <t>audience, audiences</t>
  </si>
  <si>
    <t>knee|n</t>
  </si>
  <si>
    <t>knee</t>
  </si>
  <si>
    <t>knee, knees</t>
  </si>
  <si>
    <t>term|n</t>
  </si>
  <si>
    <t>term</t>
  </si>
  <si>
    <t>term, terms</t>
  </si>
  <si>
    <t>dance|n</t>
  </si>
  <si>
    <t>dance, dances</t>
  </si>
  <si>
    <t>score|n</t>
  </si>
  <si>
    <t>score</t>
  </si>
  <si>
    <t>score, scores</t>
  </si>
  <si>
    <t>sue|v</t>
  </si>
  <si>
    <t>sue</t>
  </si>
  <si>
    <t>sue, sues, suing, sued</t>
  </si>
  <si>
    <t>whether|fw</t>
  </si>
  <si>
    <t>whether</t>
  </si>
  <si>
    <t>artist|n</t>
  </si>
  <si>
    <t>artist</t>
  </si>
  <si>
    <t>artist, artists</t>
  </si>
  <si>
    <t>attack|v</t>
  </si>
  <si>
    <t>attack, attacks, attacking, attacked</t>
  </si>
  <si>
    <t>bang|v</t>
  </si>
  <si>
    <t>bang</t>
  </si>
  <si>
    <t>bang, bangs, banging, banged</t>
  </si>
  <si>
    <t>bean|n</t>
  </si>
  <si>
    <t>bean</t>
  </si>
  <si>
    <t>bean, beans</t>
  </si>
  <si>
    <t>onto|fw</t>
  </si>
  <si>
    <t>onto</t>
  </si>
  <si>
    <t>attractive|j</t>
  </si>
  <si>
    <t>attractive</t>
  </si>
  <si>
    <t>breath|n</t>
  </si>
  <si>
    <t>breath</t>
  </si>
  <si>
    <t>breath, breaths</t>
  </si>
  <si>
    <t>cover|n</t>
  </si>
  <si>
    <t>cover, covers</t>
  </si>
  <si>
    <t>empty|j</t>
  </si>
  <si>
    <t>empty</t>
  </si>
  <si>
    <t>empty, emptier, emptiest</t>
  </si>
  <si>
    <t>lonely|j</t>
  </si>
  <si>
    <t>lonely</t>
  </si>
  <si>
    <t>lonely, lonelier, loneliest</t>
  </si>
  <si>
    <t>painting|n</t>
  </si>
  <si>
    <t>painting</t>
  </si>
  <si>
    <t>painting, paintings</t>
  </si>
  <si>
    <t>truly|r</t>
  </si>
  <si>
    <t>truly</t>
  </si>
  <si>
    <t>army|n</t>
  </si>
  <si>
    <t>army</t>
  </si>
  <si>
    <t>army, armies</t>
  </si>
  <si>
    <t>avoid|v</t>
  </si>
  <si>
    <t>avoid</t>
  </si>
  <si>
    <t>avoid, avoids, avoiding, avoided</t>
  </si>
  <si>
    <t>gang|n</t>
  </si>
  <si>
    <t>gang</t>
  </si>
  <si>
    <t>gang, gangs</t>
  </si>
  <si>
    <t>land|v</t>
  </si>
  <si>
    <t>land</t>
  </si>
  <si>
    <t>land, lands, landing, landed</t>
  </si>
  <si>
    <t>nerd|n</t>
  </si>
  <si>
    <t>nerd</t>
  </si>
  <si>
    <t>nerd, nerds</t>
  </si>
  <si>
    <t>others|fw</t>
  </si>
  <si>
    <t>others</t>
  </si>
  <si>
    <t>slap|v</t>
  </si>
  <si>
    <t>slap</t>
  </si>
  <si>
    <t>slap, slaps, slapping, slapped</t>
  </si>
  <si>
    <t>when|fw</t>
  </si>
  <si>
    <t>appointment|n</t>
  </si>
  <si>
    <t>appointment</t>
  </si>
  <si>
    <t>appointment, appointments</t>
  </si>
  <si>
    <t>dick|n</t>
  </si>
  <si>
    <t>dick</t>
  </si>
  <si>
    <t>dick, dicks</t>
  </si>
  <si>
    <t>lesbian|n</t>
  </si>
  <si>
    <t>lesbian</t>
  </si>
  <si>
    <t>lesbian, lesbians</t>
  </si>
  <si>
    <t>outfit|n</t>
  </si>
  <si>
    <t>outfit</t>
  </si>
  <si>
    <t>outfit, outfits</t>
  </si>
  <si>
    <t>adventure|n</t>
  </si>
  <si>
    <t>adventure</t>
  </si>
  <si>
    <t>adventure, adventures</t>
  </si>
  <si>
    <t>devil|n</t>
  </si>
  <si>
    <t>devil</t>
  </si>
  <si>
    <t>devil, devils</t>
  </si>
  <si>
    <t>liar|n</t>
  </si>
  <si>
    <t>liar</t>
  </si>
  <si>
    <t>liar, liars</t>
  </si>
  <si>
    <t>nurse|n</t>
  </si>
  <si>
    <t>nurse</t>
  </si>
  <si>
    <t>nurse, nurses</t>
  </si>
  <si>
    <t>pot|n</t>
  </si>
  <si>
    <t>pot</t>
  </si>
  <si>
    <t>pot, pots</t>
  </si>
  <si>
    <t>responsible|j</t>
  </si>
  <si>
    <t>responsible</t>
  </si>
  <si>
    <t>salesman|n</t>
  </si>
  <si>
    <t>salesman</t>
  </si>
  <si>
    <t>salesman, salesmen</t>
  </si>
  <si>
    <t>slow|j</t>
  </si>
  <si>
    <t>slow</t>
  </si>
  <si>
    <t>slow, slower, slowest</t>
  </si>
  <si>
    <t>smile|n</t>
  </si>
  <si>
    <t>smile, smiles</t>
  </si>
  <si>
    <t>wallet|n</t>
  </si>
  <si>
    <t>wallet</t>
  </si>
  <si>
    <t>wallet, wallets</t>
  </si>
  <si>
    <t>commit|v</t>
  </si>
  <si>
    <t>commit</t>
  </si>
  <si>
    <t>commit, commits, committing, committed</t>
  </si>
  <si>
    <t>example|n</t>
  </si>
  <si>
    <t>example</t>
  </si>
  <si>
    <t>example, examples</t>
  </si>
  <si>
    <t>fake|v</t>
  </si>
  <si>
    <t>fake, fakes, faking, faked</t>
  </si>
  <si>
    <t>obvious|j</t>
  </si>
  <si>
    <t>obvious</t>
  </si>
  <si>
    <t>pirate|n</t>
  </si>
  <si>
    <t>pirate</t>
  </si>
  <si>
    <t>pirate, pirates</t>
  </si>
  <si>
    <t>radio|n</t>
  </si>
  <si>
    <t>radio</t>
  </si>
  <si>
    <t>radio, radios</t>
  </si>
  <si>
    <t>chase|v</t>
  </si>
  <si>
    <t>chase</t>
  </si>
  <si>
    <t>chase, chases, chasing, chased</t>
  </si>
  <si>
    <t>due|j</t>
  </si>
  <si>
    <t>due</t>
  </si>
  <si>
    <t>familiar|j</t>
  </si>
  <si>
    <t>familiar</t>
  </si>
  <si>
    <t>homework|n</t>
  </si>
  <si>
    <t>homework</t>
  </si>
  <si>
    <t>birth|n</t>
  </si>
  <si>
    <t>birth</t>
  </si>
  <si>
    <t>birth, births</t>
  </si>
  <si>
    <t>Canadian|K</t>
  </si>
  <si>
    <t>Canadian</t>
  </si>
  <si>
    <t>favorite|n</t>
  </si>
  <si>
    <t>favorite, favorites</t>
  </si>
  <si>
    <t>prefer|v</t>
  </si>
  <si>
    <t>prefer</t>
  </si>
  <si>
    <t>prefer, prefers, preferring, preferred</t>
  </si>
  <si>
    <t>rub|v</t>
  </si>
  <si>
    <t>rub</t>
  </si>
  <si>
    <t>rub, rubs, rubbing, rubbed</t>
  </si>
  <si>
    <t>sky|n</t>
  </si>
  <si>
    <t>sky</t>
  </si>
  <si>
    <t>sky, skies</t>
  </si>
  <si>
    <t>basically|r</t>
  </si>
  <si>
    <t>basically</t>
  </si>
  <si>
    <t>coach|n</t>
  </si>
  <si>
    <t>coach</t>
  </si>
  <si>
    <t>coach, coaches</t>
  </si>
  <si>
    <t>deliver|v</t>
  </si>
  <si>
    <t>deliver</t>
  </si>
  <si>
    <t>deliver, delivers, delivering, delivered</t>
  </si>
  <si>
    <t>laboratory|n</t>
  </si>
  <si>
    <t>laboratory</t>
  </si>
  <si>
    <t>lab, labs, laboratory, laboratories</t>
  </si>
  <si>
    <t>address|n</t>
  </si>
  <si>
    <t>address</t>
  </si>
  <si>
    <t>address, addresses</t>
  </si>
  <si>
    <t>lift|v</t>
  </si>
  <si>
    <t>lift</t>
  </si>
  <si>
    <t>lift, lifts, lifting, lifted</t>
  </si>
  <si>
    <t>concern|v</t>
  </si>
  <si>
    <t>concern</t>
  </si>
  <si>
    <t>concern, concerns, concerning, concerned</t>
  </si>
  <si>
    <t>eleven|m</t>
  </si>
  <si>
    <t>eleven</t>
  </si>
  <si>
    <t>eleven, elevens</t>
  </si>
  <si>
    <t>round|n</t>
  </si>
  <si>
    <t>round</t>
  </si>
  <si>
    <t>round, rounds</t>
  </si>
  <si>
    <t>wish|n</t>
  </si>
  <si>
    <t>wish, wishes</t>
  </si>
  <si>
    <t>guard|n</t>
  </si>
  <si>
    <t>guard</t>
  </si>
  <si>
    <t>guard, guards</t>
  </si>
  <si>
    <t>contact|n</t>
  </si>
  <si>
    <t>contact</t>
  </si>
  <si>
    <t>contact, contacts</t>
  </si>
  <si>
    <t>over|j</t>
  </si>
  <si>
    <t>package|n</t>
  </si>
  <si>
    <t>package</t>
  </si>
  <si>
    <t>package, packages</t>
  </si>
  <si>
    <t>travel|v</t>
  </si>
  <si>
    <t>travel</t>
  </si>
  <si>
    <t>travel, travels, traveling, traveled</t>
  </si>
  <si>
    <t>sixty|m</t>
  </si>
  <si>
    <t>sixty</t>
  </si>
  <si>
    <t>sixty, sixties</t>
  </si>
  <si>
    <t>anniversary|n</t>
  </si>
  <si>
    <t>anniversary</t>
  </si>
  <si>
    <t>anniversary, anniversaries</t>
  </si>
  <si>
    <t>cent|n</t>
  </si>
  <si>
    <t>cent</t>
  </si>
  <si>
    <t>cent, cents</t>
  </si>
  <si>
    <t>force|v</t>
  </si>
  <si>
    <t>force</t>
  </si>
  <si>
    <t>force, forces, forcing, forced</t>
  </si>
  <si>
    <t>rest|v</t>
  </si>
  <si>
    <t>rest, rests, resting, rested</t>
  </si>
  <si>
    <t>spread|v</t>
  </si>
  <si>
    <t>spread</t>
  </si>
  <si>
    <t>spread, spreads, spreading</t>
  </si>
  <si>
    <t>adorable|j</t>
  </si>
  <si>
    <t>adorable</t>
  </si>
  <si>
    <t>ocean|n</t>
  </si>
  <si>
    <t>ocean</t>
  </si>
  <si>
    <t>ocean, oceans</t>
  </si>
  <si>
    <t>percent|n</t>
  </si>
  <si>
    <t>percent</t>
  </si>
  <si>
    <t>percent, percents</t>
  </si>
  <si>
    <t>shit|u</t>
  </si>
  <si>
    <t>wing|n</t>
  </si>
  <si>
    <t>wing</t>
  </si>
  <si>
    <t>wing, wings</t>
  </si>
  <si>
    <t>above|fw</t>
  </si>
  <si>
    <t>above</t>
  </si>
  <si>
    <t>alcohol|n</t>
  </si>
  <si>
    <t>alcohol</t>
  </si>
  <si>
    <t>alcohol, alcohols</t>
  </si>
  <si>
    <t>crash|v</t>
  </si>
  <si>
    <t>crash</t>
  </si>
  <si>
    <t>crash, crashes, crashing, crashed</t>
  </si>
  <si>
    <t>insurance|n</t>
  </si>
  <si>
    <t>insurance</t>
  </si>
  <si>
    <t>insurance, insurances</t>
  </si>
  <si>
    <t>nuclear|j</t>
  </si>
  <si>
    <t>nuclear</t>
  </si>
  <si>
    <t>pathetic|j</t>
  </si>
  <si>
    <t>pathetic</t>
  </si>
  <si>
    <t>row|n</t>
  </si>
  <si>
    <t>row</t>
  </si>
  <si>
    <t>row, rows</t>
  </si>
  <si>
    <t>sight|n</t>
  </si>
  <si>
    <t>sight</t>
  </si>
  <si>
    <t>sight, sights</t>
  </si>
  <si>
    <t>trash|n</t>
  </si>
  <si>
    <t>trash</t>
  </si>
  <si>
    <t>trash, trashes</t>
  </si>
  <si>
    <t>available|j</t>
  </si>
  <si>
    <t>available</t>
  </si>
  <si>
    <t>brave|j</t>
  </si>
  <si>
    <t>brave</t>
  </si>
  <si>
    <t>brave, braver, bravest</t>
  </si>
  <si>
    <t>climb|v</t>
  </si>
  <si>
    <t>climb</t>
  </si>
  <si>
    <t>climb, climbs, climbing, climbed</t>
  </si>
  <si>
    <t>earn|v</t>
  </si>
  <si>
    <t>earn</t>
  </si>
  <si>
    <t>earn, earns, earning, earned</t>
  </si>
  <si>
    <t>East|n</t>
  </si>
  <si>
    <t>East</t>
  </si>
  <si>
    <t>East, east</t>
  </si>
  <si>
    <t>impress|v</t>
  </si>
  <si>
    <t>impress</t>
  </si>
  <si>
    <t>impress, impresses, impressing, impressed</t>
  </si>
  <si>
    <t>league|n</t>
  </si>
  <si>
    <t>league</t>
  </si>
  <si>
    <t>league, leagues</t>
  </si>
  <si>
    <t>online|j</t>
  </si>
  <si>
    <t>online</t>
  </si>
  <si>
    <t>waste|n</t>
  </si>
  <si>
    <t>waste, wastes</t>
  </si>
  <si>
    <t>within|fw</t>
  </si>
  <si>
    <t>within</t>
  </si>
  <si>
    <t>writer|n</t>
  </si>
  <si>
    <t>writer</t>
  </si>
  <si>
    <t>writer, writers</t>
  </si>
  <si>
    <t>crowd|n</t>
  </si>
  <si>
    <t>crowd</t>
  </si>
  <si>
    <t>crowd, crowds</t>
  </si>
  <si>
    <t>flip|v</t>
  </si>
  <si>
    <t>flip</t>
  </si>
  <si>
    <t>flip, flips, flipping, flipped</t>
  </si>
  <si>
    <t>hug|n</t>
  </si>
  <si>
    <t>hug</t>
  </si>
  <si>
    <t>hug, hugs</t>
  </si>
  <si>
    <t>drag|v</t>
  </si>
  <si>
    <t>drag</t>
  </si>
  <si>
    <t>drag, drags, dragging, dragged</t>
  </si>
  <si>
    <t>funeral|n</t>
  </si>
  <si>
    <t>funeral</t>
  </si>
  <si>
    <t>funeral, funerals</t>
  </si>
  <si>
    <t>literally|r</t>
  </si>
  <si>
    <t>literally</t>
  </si>
  <si>
    <t>lousy|j</t>
  </si>
  <si>
    <t>lousy</t>
  </si>
  <si>
    <t>lousy, lousier, lousiest</t>
  </si>
  <si>
    <t>opinion|n</t>
  </si>
  <si>
    <t>opinion</t>
  </si>
  <si>
    <t>opinion, opinions</t>
  </si>
  <si>
    <t>pack|n</t>
  </si>
  <si>
    <t>pack, packs</t>
  </si>
  <si>
    <t>spit|v</t>
  </si>
  <si>
    <t>spit</t>
  </si>
  <si>
    <t>spit, spits, spitting, spat</t>
  </si>
  <si>
    <t>van|n</t>
  </si>
  <si>
    <t>van</t>
  </si>
  <si>
    <t>van, vans</t>
  </si>
  <si>
    <t>behavior|n</t>
  </si>
  <si>
    <t>behavior</t>
  </si>
  <si>
    <t>behavior, behaviors</t>
  </si>
  <si>
    <t>complain|v</t>
  </si>
  <si>
    <t>complain</t>
  </si>
  <si>
    <t>complain, complains, complaining, complained</t>
  </si>
  <si>
    <t>future|j</t>
  </si>
  <si>
    <t>interest|n</t>
  </si>
  <si>
    <t>interest</t>
  </si>
  <si>
    <t>interest, interests</t>
  </si>
  <si>
    <t>itself|fw</t>
  </si>
  <si>
    <t>itself</t>
  </si>
  <si>
    <t>mirror|n</t>
  </si>
  <si>
    <t>mirror</t>
  </si>
  <si>
    <t>mirror, mirrors</t>
  </si>
  <si>
    <t>recently|r</t>
  </si>
  <si>
    <t>recently</t>
  </si>
  <si>
    <t>stripper|n</t>
  </si>
  <si>
    <t>stripper</t>
  </si>
  <si>
    <t>stripper, strippers</t>
  </si>
  <si>
    <t>subject|n</t>
  </si>
  <si>
    <t>subject</t>
  </si>
  <si>
    <t>subject, subjects</t>
  </si>
  <si>
    <t>bright|j</t>
  </si>
  <si>
    <t>bright</t>
  </si>
  <si>
    <t>bright, brighter, brightest</t>
  </si>
  <si>
    <t>design|v</t>
  </si>
  <si>
    <t>design</t>
  </si>
  <si>
    <t>design, designed, designing, designs</t>
  </si>
  <si>
    <t>general|j</t>
  </si>
  <si>
    <t>general</t>
  </si>
  <si>
    <t>kidney|n</t>
  </si>
  <si>
    <t>kidney</t>
  </si>
  <si>
    <t>kidney, kidneys</t>
  </si>
  <si>
    <t>result|n</t>
  </si>
  <si>
    <t>result</t>
  </si>
  <si>
    <t>result, results</t>
  </si>
  <si>
    <t>strike|n</t>
  </si>
  <si>
    <t>strike</t>
  </si>
  <si>
    <t>strike, strikes</t>
  </si>
  <si>
    <t>corn|n</t>
  </si>
  <si>
    <t>corn</t>
  </si>
  <si>
    <t>corn, corns</t>
  </si>
  <si>
    <t>correct|j</t>
  </si>
  <si>
    <t>correct</t>
  </si>
  <si>
    <t>grandmother|n</t>
  </si>
  <si>
    <t>grandmother</t>
  </si>
  <si>
    <t>grandmother, grandmothers</t>
  </si>
  <si>
    <t>hug|v</t>
  </si>
  <si>
    <t>hug, hugged, hugging, hugs</t>
  </si>
  <si>
    <t>nightmare|n</t>
  </si>
  <si>
    <t>nightmare</t>
  </si>
  <si>
    <t>nightmare, nightmares</t>
  </si>
  <si>
    <t>ours|fw</t>
  </si>
  <si>
    <t>ours</t>
  </si>
  <si>
    <t>yellow|j</t>
  </si>
  <si>
    <t>yellow</t>
  </si>
  <si>
    <t>yellow, yellower, yellowest</t>
  </si>
  <si>
    <t>rise|v</t>
  </si>
  <si>
    <t>rise</t>
  </si>
  <si>
    <t>rise, risen, rises, rising, rose</t>
  </si>
  <si>
    <t>Christian|K</t>
  </si>
  <si>
    <t>Christian</t>
  </si>
  <si>
    <t>Christian, Christians</t>
  </si>
  <si>
    <t>doughnut|n</t>
  </si>
  <si>
    <t>doughnut</t>
  </si>
  <si>
    <t>doughnut, doughnuts, donut, donuts</t>
  </si>
  <si>
    <t>original|j</t>
  </si>
  <si>
    <t>original</t>
  </si>
  <si>
    <t>position|n</t>
  </si>
  <si>
    <t>position</t>
  </si>
  <si>
    <t>position, positions</t>
  </si>
  <si>
    <t>quarter|m</t>
  </si>
  <si>
    <t>quarter</t>
  </si>
  <si>
    <t>quarter, quarters</t>
  </si>
  <si>
    <t>fool|v</t>
  </si>
  <si>
    <t>fool, fooled, fooling, fools</t>
  </si>
  <si>
    <t>annoy|v</t>
  </si>
  <si>
    <t>annoy</t>
  </si>
  <si>
    <t>annoy, annoyed, annoying, annoys</t>
  </si>
  <si>
    <t>can|n</t>
  </si>
  <si>
    <t>can, cans</t>
  </si>
  <si>
    <t>match|n</t>
  </si>
  <si>
    <t>match</t>
  </si>
  <si>
    <t>match, matches</t>
  </si>
  <si>
    <t>play|n</t>
  </si>
  <si>
    <t>play, plays</t>
  </si>
  <si>
    <t>traffic|n</t>
  </si>
  <si>
    <t>traffic</t>
  </si>
  <si>
    <t>actual|j</t>
  </si>
  <si>
    <t>actual</t>
  </si>
  <si>
    <t>banana|n</t>
  </si>
  <si>
    <t>banana</t>
  </si>
  <si>
    <t>banana, bananas</t>
  </si>
  <si>
    <t>conference|n</t>
  </si>
  <si>
    <t>conference</t>
  </si>
  <si>
    <t>conference, conferences</t>
  </si>
  <si>
    <t>lake|n</t>
  </si>
  <si>
    <t>lake</t>
  </si>
  <si>
    <t>lake, lakes</t>
  </si>
  <si>
    <t>medical|j</t>
  </si>
  <si>
    <t>medical</t>
  </si>
  <si>
    <t>medicine|n</t>
  </si>
  <si>
    <t>medicine</t>
  </si>
  <si>
    <t>medicine, medicines</t>
  </si>
  <si>
    <t>pray|v</t>
  </si>
  <si>
    <t>pray</t>
  </si>
  <si>
    <t>pray, prayed, praying, prays</t>
  </si>
  <si>
    <t>shave|v</t>
  </si>
  <si>
    <t>shave</t>
  </si>
  <si>
    <t>shave, shaved, shaven, shaves, shaving</t>
  </si>
  <si>
    <t>tub|n</t>
  </si>
  <si>
    <t>tub</t>
  </si>
  <si>
    <t>tub, tubs</t>
  </si>
  <si>
    <t>bake|v</t>
  </si>
  <si>
    <t>bake</t>
  </si>
  <si>
    <t>bake, baked, bakes, baking</t>
  </si>
  <si>
    <t>option|n</t>
  </si>
  <si>
    <t>option</t>
  </si>
  <si>
    <t>option, options</t>
  </si>
  <si>
    <t>South|n</t>
  </si>
  <si>
    <t>South</t>
  </si>
  <si>
    <t>creepy|j</t>
  </si>
  <si>
    <t>creepy</t>
  </si>
  <si>
    <t>creepy, creepier, creepiest</t>
  </si>
  <si>
    <t>douchebag|n</t>
  </si>
  <si>
    <t>douchebag</t>
  </si>
  <si>
    <t>douchebag, douchebags</t>
  </si>
  <si>
    <t>eventually|r</t>
  </si>
  <si>
    <t>eventually</t>
  </si>
  <si>
    <t>interrupt|v</t>
  </si>
  <si>
    <t>interrupt</t>
  </si>
  <si>
    <t>interrupt, interrupted, interrupting, interrupts</t>
  </si>
  <si>
    <t>library|n</t>
  </si>
  <si>
    <t>library</t>
  </si>
  <si>
    <t>library, libraries</t>
  </si>
  <si>
    <t>rude|j</t>
  </si>
  <si>
    <t>rude</t>
  </si>
  <si>
    <t>rude, ruder, rudest</t>
  </si>
  <si>
    <t>advertisement|n</t>
  </si>
  <si>
    <t>advertisement</t>
  </si>
  <si>
    <t>ad, ads, advertisement, advertisements, advertizement, advertizements</t>
  </si>
  <si>
    <t>danger|n</t>
  </si>
  <si>
    <t>danger</t>
  </si>
  <si>
    <t>danger, dangers</t>
  </si>
  <si>
    <t>fourteen|m</t>
  </si>
  <si>
    <t>fourteen</t>
  </si>
  <si>
    <t>fourteen, fourteens</t>
  </si>
  <si>
    <t>master|n</t>
  </si>
  <si>
    <t>master</t>
  </si>
  <si>
    <t>master, masters</t>
  </si>
  <si>
    <t>math|n</t>
  </si>
  <si>
    <t>math</t>
  </si>
  <si>
    <t>math, maths</t>
  </si>
  <si>
    <t>propose|v</t>
  </si>
  <si>
    <t>propose</t>
  </si>
  <si>
    <t>propose, proposed, proposes, proposing</t>
  </si>
  <si>
    <t>Thursday|K</t>
  </si>
  <si>
    <t>Thursday</t>
  </si>
  <si>
    <t>Thursday, Thursdays</t>
  </si>
  <si>
    <t>apart|r</t>
  </si>
  <si>
    <t>apart</t>
  </si>
  <si>
    <t>darling|n</t>
  </si>
  <si>
    <t>darling</t>
  </si>
  <si>
    <t>darling, darlings</t>
  </si>
  <si>
    <t>gather|v</t>
  </si>
  <si>
    <t>gather</t>
  </si>
  <si>
    <t>gather, gathered, gathering, gathers</t>
  </si>
  <si>
    <t>mostly|r</t>
  </si>
  <si>
    <t>mostly</t>
  </si>
  <si>
    <t>support|n</t>
  </si>
  <si>
    <t>support, supports</t>
  </si>
  <si>
    <t>bubble|n</t>
  </si>
  <si>
    <t>bubble</t>
  </si>
  <si>
    <t>bubble, bubbles</t>
  </si>
  <si>
    <t>energy|n</t>
  </si>
  <si>
    <t>energy</t>
  </si>
  <si>
    <t>energy, energies</t>
  </si>
  <si>
    <t>heavy|j</t>
  </si>
  <si>
    <t>heavy</t>
  </si>
  <si>
    <t>heavy, heavier, heaviest</t>
  </si>
  <si>
    <t>laser|n</t>
  </si>
  <si>
    <t>laser</t>
  </si>
  <si>
    <t>laser, lasers</t>
  </si>
  <si>
    <t>manage|v</t>
  </si>
  <si>
    <t>manage</t>
  </si>
  <si>
    <t>manage, managed, manages, managing</t>
  </si>
  <si>
    <t>meanwhile|r</t>
  </si>
  <si>
    <t>meanwhile</t>
  </si>
  <si>
    <t>network|n</t>
  </si>
  <si>
    <t>network</t>
  </si>
  <si>
    <t>network, networks</t>
  </si>
  <si>
    <t>weapon|n</t>
  </si>
  <si>
    <t>weapon</t>
  </si>
  <si>
    <t>weapon, weapons</t>
  </si>
  <si>
    <t>condition|n</t>
  </si>
  <si>
    <t>condition</t>
  </si>
  <si>
    <t>condition, conditions</t>
  </si>
  <si>
    <t>copy|n</t>
  </si>
  <si>
    <t>copy</t>
  </si>
  <si>
    <t>copy, copies</t>
  </si>
  <si>
    <t>female|j</t>
  </si>
  <si>
    <t>female</t>
  </si>
  <si>
    <t>park|v</t>
  </si>
  <si>
    <t>park, parked, parking, parks</t>
  </si>
  <si>
    <t>quickly|r</t>
  </si>
  <si>
    <t>quickly</t>
  </si>
  <si>
    <t>religion|n</t>
  </si>
  <si>
    <t>religion</t>
  </si>
  <si>
    <t>religion, religions</t>
  </si>
  <si>
    <t>snow|n</t>
  </si>
  <si>
    <t>snow</t>
  </si>
  <si>
    <t>snow, snows</t>
  </si>
  <si>
    <t>Tuesday|K</t>
  </si>
  <si>
    <t>Tuesday</t>
  </si>
  <si>
    <t>Tuesday, Tuesdays</t>
  </si>
  <si>
    <t>version|n</t>
  </si>
  <si>
    <t>version</t>
  </si>
  <si>
    <t>version, versions</t>
  </si>
  <si>
    <t>bomb|n</t>
  </si>
  <si>
    <t>bomb</t>
  </si>
  <si>
    <t>bomb, bombs</t>
  </si>
  <si>
    <t>clear|v</t>
  </si>
  <si>
    <t>clear, cleared, clearing, clears</t>
  </si>
  <si>
    <t>faith|n</t>
  </si>
  <si>
    <t>faith</t>
  </si>
  <si>
    <t>faith, faiths</t>
  </si>
  <si>
    <t>innocent|j</t>
  </si>
  <si>
    <t>innocent</t>
  </si>
  <si>
    <t>remove|v</t>
  </si>
  <si>
    <t>remove</t>
  </si>
  <si>
    <t>remove, removed, removes, removing</t>
  </si>
  <si>
    <t>survive|v</t>
  </si>
  <si>
    <t>survive</t>
  </si>
  <si>
    <t>survive, survived, survives, surviving</t>
  </si>
  <si>
    <t>bee|n</t>
  </si>
  <si>
    <t>bee</t>
  </si>
  <si>
    <t>bee, bees</t>
  </si>
  <si>
    <t>bride|n</t>
  </si>
  <si>
    <t>bride</t>
  </si>
  <si>
    <t>bride, brides</t>
  </si>
  <si>
    <t>cause|n</t>
  </si>
  <si>
    <t>cause, causes</t>
  </si>
  <si>
    <t>fifth|m</t>
  </si>
  <si>
    <t>fifth</t>
  </si>
  <si>
    <t>fifth, fifths</t>
  </si>
  <si>
    <t>several|fw</t>
  </si>
  <si>
    <t>several</t>
  </si>
  <si>
    <t>basketball|n</t>
  </si>
  <si>
    <t>basketball</t>
  </si>
  <si>
    <t>basketball, basketballs</t>
  </si>
  <si>
    <t>downtown|n</t>
  </si>
  <si>
    <t>downtown</t>
  </si>
  <si>
    <t>elephant|n</t>
  </si>
  <si>
    <t>elephant</t>
  </si>
  <si>
    <t>elephant, elephants</t>
  </si>
  <si>
    <t>freak|n</t>
  </si>
  <si>
    <t>freak, freaks</t>
  </si>
  <si>
    <t>wipe|v</t>
  </si>
  <si>
    <t>wipe</t>
  </si>
  <si>
    <t>wipe, wiped, wipes, wiping</t>
  </si>
  <si>
    <t>arrest|v</t>
  </si>
  <si>
    <t>arrest</t>
  </si>
  <si>
    <t>arrest, arrested, arresting, arrests</t>
  </si>
  <si>
    <t>bored|j</t>
  </si>
  <si>
    <t>bored</t>
  </si>
  <si>
    <t>bully|n</t>
  </si>
  <si>
    <t>bully</t>
  </si>
  <si>
    <t>bully, bullies</t>
  </si>
  <si>
    <t>clock|n</t>
  </si>
  <si>
    <t>clock</t>
  </si>
  <si>
    <t>clock, clocks</t>
  </si>
  <si>
    <t>indeed|r</t>
  </si>
  <si>
    <t>indeed</t>
  </si>
  <si>
    <t>massage|n</t>
  </si>
  <si>
    <t>massage</t>
  </si>
  <si>
    <t>massage, massages</t>
  </si>
  <si>
    <t>shape|n</t>
  </si>
  <si>
    <t>shape</t>
  </si>
  <si>
    <t>shape, shapes</t>
  </si>
  <si>
    <t>skip|v</t>
  </si>
  <si>
    <t>skip</t>
  </si>
  <si>
    <t>skip, skipped, skipping, skips</t>
  </si>
  <si>
    <t>strike|v</t>
  </si>
  <si>
    <t>strike, stricken, strikes, striking, struck</t>
  </si>
  <si>
    <t>dry|j</t>
  </si>
  <si>
    <t>dry</t>
  </si>
  <si>
    <t>dry, drier, dryer, driest, dryest</t>
  </si>
  <si>
    <t>remain|v</t>
  </si>
  <si>
    <t>remain</t>
  </si>
  <si>
    <t>remain, remained, remaining, remains</t>
  </si>
  <si>
    <t>style|n</t>
  </si>
  <si>
    <t>style</t>
  </si>
  <si>
    <t>style, styles</t>
  </si>
  <si>
    <t>surgery|n</t>
  </si>
  <si>
    <t>surgery</t>
  </si>
  <si>
    <t>surgery, surgeries</t>
  </si>
  <si>
    <t>toe|n</t>
  </si>
  <si>
    <t>toe</t>
  </si>
  <si>
    <t>toe, toes</t>
  </si>
  <si>
    <t>yard|n</t>
  </si>
  <si>
    <t>yard</t>
  </si>
  <si>
    <t>yard, yards</t>
  </si>
  <si>
    <t>brilliant|j</t>
  </si>
  <si>
    <t>brilliant</t>
  </si>
  <si>
    <t>circle|n</t>
  </si>
  <si>
    <t>circle</t>
  </si>
  <si>
    <t>circle, circles</t>
  </si>
  <si>
    <t>duty|n</t>
  </si>
  <si>
    <t>duty</t>
  </si>
  <si>
    <t>duty, duties</t>
  </si>
  <si>
    <t>enemy|n</t>
  </si>
  <si>
    <t>enemy</t>
  </si>
  <si>
    <t>enemy, enemies</t>
  </si>
  <si>
    <t>focus|n</t>
  </si>
  <si>
    <t>focus</t>
  </si>
  <si>
    <t>focus, foci, focuses</t>
  </si>
  <si>
    <t>lover|n</t>
  </si>
  <si>
    <t>lover</t>
  </si>
  <si>
    <t>lover, lovers</t>
  </si>
  <si>
    <t>midnight|n</t>
  </si>
  <si>
    <t>midnight</t>
  </si>
  <si>
    <t>simply|r</t>
  </si>
  <si>
    <t>simply</t>
  </si>
  <si>
    <t>Spanish|K</t>
  </si>
  <si>
    <t>Spanish</t>
  </si>
  <si>
    <t>boom|u</t>
  </si>
  <si>
    <t>boom</t>
  </si>
  <si>
    <t>describe|v</t>
  </si>
  <si>
    <t>describe</t>
  </si>
  <si>
    <t>describe, described, describes, describing</t>
  </si>
  <si>
    <t>legal|j</t>
  </si>
  <si>
    <t>legal</t>
  </si>
  <si>
    <t>Mexican|K</t>
  </si>
  <si>
    <t>Mexican</t>
  </si>
  <si>
    <t>Mexican, Mexicans</t>
  </si>
  <si>
    <t>powerful|j</t>
  </si>
  <si>
    <t>powerful</t>
  </si>
  <si>
    <t>powerful, powerfull, powerfuller, powerfuler, powerfullest, powerfulest</t>
  </si>
  <si>
    <t>series|n</t>
  </si>
  <si>
    <t>series</t>
  </si>
  <si>
    <t>wire|n</t>
  </si>
  <si>
    <t>wire</t>
  </si>
  <si>
    <t>wire, wires</t>
  </si>
  <si>
    <t>candle|n</t>
  </si>
  <si>
    <t>candle</t>
  </si>
  <si>
    <t>candle, candles</t>
  </si>
  <si>
    <t>diaper|n</t>
  </si>
  <si>
    <t>diaper</t>
  </si>
  <si>
    <t>diaper, diapers</t>
  </si>
  <si>
    <t>direction|n</t>
  </si>
  <si>
    <t>direction</t>
  </si>
  <si>
    <t>direction, directions</t>
  </si>
  <si>
    <t>divorce|v</t>
  </si>
  <si>
    <t>divorce, divorces, divorced, divorcing</t>
  </si>
  <si>
    <t>eighteen|m</t>
  </si>
  <si>
    <t>eighteen</t>
  </si>
  <si>
    <t>eighteen, eighteens</t>
  </si>
  <si>
    <t>express|v</t>
  </si>
  <si>
    <t>express</t>
  </si>
  <si>
    <t>express, expressed, expresses, expressing</t>
  </si>
  <si>
    <t>plastic|n</t>
  </si>
  <si>
    <t>plastic</t>
  </si>
  <si>
    <t>plastic, plastics</t>
  </si>
  <si>
    <t>responsibility|n</t>
  </si>
  <si>
    <t>responsibility</t>
  </si>
  <si>
    <t>responsibility, responsibilities</t>
  </si>
  <si>
    <t>starve|v</t>
  </si>
  <si>
    <t>starve</t>
  </si>
  <si>
    <t>starve, starved, starves, starving</t>
  </si>
  <si>
    <t>united|j</t>
  </si>
  <si>
    <t>united</t>
  </si>
  <si>
    <t>worker|n</t>
  </si>
  <si>
    <t>worker</t>
  </si>
  <si>
    <t>worker, workers</t>
  </si>
  <si>
    <t>AIDS|abbr</t>
  </si>
  <si>
    <t>AIDS</t>
  </si>
  <si>
    <t>abbr</t>
  </si>
  <si>
    <t>hope|n</t>
  </si>
  <si>
    <t>hope, hopes</t>
  </si>
  <si>
    <t>immediately|r</t>
  </si>
  <si>
    <t>immediately</t>
  </si>
  <si>
    <t>nowhere|r</t>
  </si>
  <si>
    <t>nowhere</t>
  </si>
  <si>
    <t>separate|v</t>
  </si>
  <si>
    <t>separate</t>
  </si>
  <si>
    <t>separate, separated, separates, separating</t>
  </si>
  <si>
    <t>watch|n</t>
  </si>
  <si>
    <t>watch, watches</t>
  </si>
  <si>
    <t>emotional|j</t>
  </si>
  <si>
    <t>emotional</t>
  </si>
  <si>
    <t>hardly|r</t>
  </si>
  <si>
    <t>hardly</t>
  </si>
  <si>
    <t>pilot|n</t>
  </si>
  <si>
    <t>pilot</t>
  </si>
  <si>
    <t>pilot, pilots</t>
  </si>
  <si>
    <t>vampire|n</t>
  </si>
  <si>
    <t>vampire</t>
  </si>
  <si>
    <t>vampire, vampires</t>
  </si>
  <si>
    <t>attitude|n</t>
  </si>
  <si>
    <t>attitude</t>
  </si>
  <si>
    <t>attitude, attitudes</t>
  </si>
  <si>
    <t>balloon|n</t>
  </si>
  <si>
    <t>balloon</t>
  </si>
  <si>
    <t>balloon, balloons</t>
  </si>
  <si>
    <t>exact|j</t>
  </si>
  <si>
    <t>exact</t>
  </si>
  <si>
    <t>frankly|r</t>
  </si>
  <si>
    <t>frankly</t>
  </si>
  <si>
    <t>hip|n</t>
  </si>
  <si>
    <t>hip</t>
  </si>
  <si>
    <t>hip, hips</t>
  </si>
  <si>
    <t>pet|n</t>
  </si>
  <si>
    <t>pet</t>
  </si>
  <si>
    <t>pet, pets</t>
  </si>
  <si>
    <t>prank|n</t>
  </si>
  <si>
    <t>prank</t>
  </si>
  <si>
    <t>prank, pranks</t>
  </si>
  <si>
    <t>announcement|n</t>
  </si>
  <si>
    <t>announcement</t>
  </si>
  <si>
    <t>announcement, announcements</t>
  </si>
  <si>
    <t>effect|n</t>
  </si>
  <si>
    <t>effect</t>
  </si>
  <si>
    <t>effect, effects</t>
  </si>
  <si>
    <t>escape|v</t>
  </si>
  <si>
    <t>escape</t>
  </si>
  <si>
    <t>escape, escaped, escapes, escaping</t>
  </si>
  <si>
    <t>golden|j</t>
  </si>
  <si>
    <t>golden</t>
  </si>
  <si>
    <t>nipple|n</t>
  </si>
  <si>
    <t>nipple</t>
  </si>
  <si>
    <t>nipple, nipples</t>
  </si>
  <si>
    <t>rough|j</t>
  </si>
  <si>
    <t>rough</t>
  </si>
  <si>
    <t>rough, rougher, roughest</t>
  </si>
  <si>
    <t>stick|n</t>
  </si>
  <si>
    <t>stick, sticks</t>
  </si>
  <si>
    <t>trade|v</t>
  </si>
  <si>
    <t>trade</t>
  </si>
  <si>
    <t>trade, traded, trades, trading</t>
  </si>
  <si>
    <t>twin|n</t>
  </si>
  <si>
    <t>twin</t>
  </si>
  <si>
    <t>twin, twins</t>
  </si>
  <si>
    <t>waiter|n</t>
  </si>
  <si>
    <t>waiter</t>
  </si>
  <si>
    <t>waiter, waiters</t>
  </si>
  <si>
    <t>architect|n</t>
  </si>
  <si>
    <t>architect</t>
  </si>
  <si>
    <t>architect, architects</t>
  </si>
  <si>
    <t>beauty|n</t>
  </si>
  <si>
    <t>beauty</t>
  </si>
  <si>
    <t>beauty, beauties</t>
  </si>
  <si>
    <t>mate|n</t>
  </si>
  <si>
    <t>mate</t>
  </si>
  <si>
    <t>mate, mates</t>
  </si>
  <si>
    <t>official|j</t>
  </si>
  <si>
    <t>official</t>
  </si>
  <si>
    <t>practice|v</t>
  </si>
  <si>
    <t>practice</t>
  </si>
  <si>
    <t>practice, practiced, practices, practicing</t>
  </si>
  <si>
    <t>t-shirt|n</t>
  </si>
  <si>
    <t>t-shirt</t>
  </si>
  <si>
    <t>t-shirt, t-shirts</t>
  </si>
  <si>
    <t>bug|n</t>
  </si>
  <si>
    <t>bug</t>
  </si>
  <si>
    <t>bug, bugs</t>
  </si>
  <si>
    <t>crack|v</t>
  </si>
  <si>
    <t>crack</t>
  </si>
  <si>
    <t>crack, cracked, cracking, cracks</t>
  </si>
  <si>
    <t>four hundred|m</t>
  </si>
  <si>
    <t>four hundred</t>
  </si>
  <si>
    <t>half|n</t>
  </si>
  <si>
    <t>smoke|n</t>
  </si>
  <si>
    <t>smoke, smokes</t>
  </si>
  <si>
    <t>contract|n</t>
  </si>
  <si>
    <t>contract</t>
  </si>
  <si>
    <t>contract, contracts</t>
  </si>
  <si>
    <t>nail|n</t>
  </si>
  <si>
    <t>nail</t>
  </si>
  <si>
    <t>nail, nails</t>
  </si>
  <si>
    <t>recognize|v</t>
  </si>
  <si>
    <t>recognize</t>
  </si>
  <si>
    <t>recognize, recognized, recognizes, recognizing</t>
  </si>
  <si>
    <t>scientist|n</t>
  </si>
  <si>
    <t>scientist</t>
  </si>
  <si>
    <t>scientist, scientists</t>
  </si>
  <si>
    <t>set|n</t>
  </si>
  <si>
    <t>set, sets</t>
  </si>
  <si>
    <t>shoulder|n</t>
  </si>
  <si>
    <t>shoulder</t>
  </si>
  <si>
    <t>shoulder, shoulders</t>
  </si>
  <si>
    <t>successful|j</t>
  </si>
  <si>
    <t>successful</t>
  </si>
  <si>
    <t>turd|n</t>
  </si>
  <si>
    <t>turd</t>
  </si>
  <si>
    <t>turd, turds</t>
  </si>
  <si>
    <t>view|n</t>
  </si>
  <si>
    <t>view</t>
  </si>
  <si>
    <t>view, views</t>
  </si>
  <si>
    <t>basement|n</t>
  </si>
  <si>
    <t>basement</t>
  </si>
  <si>
    <t>basement, basements</t>
  </si>
  <si>
    <t>degree|n</t>
  </si>
  <si>
    <t>degree</t>
  </si>
  <si>
    <t>degree, degrees</t>
  </si>
  <si>
    <t>fortune|n</t>
  </si>
  <si>
    <t>fortune</t>
  </si>
  <si>
    <t>fortune, fortunes</t>
  </si>
  <si>
    <t>hit|n</t>
  </si>
  <si>
    <t>hit, hits</t>
  </si>
  <si>
    <t>invitation|n</t>
  </si>
  <si>
    <t>invitation</t>
  </si>
  <si>
    <t>invitation, invitations</t>
  </si>
  <si>
    <t>nail|v</t>
  </si>
  <si>
    <t>nail, nailed, nailing, nails</t>
  </si>
  <si>
    <t>oops|u</t>
  </si>
  <si>
    <t>oops</t>
  </si>
  <si>
    <t>professional|j</t>
  </si>
  <si>
    <t>professional</t>
  </si>
  <si>
    <t>search|n</t>
  </si>
  <si>
    <t>search</t>
  </si>
  <si>
    <t>search, searches</t>
  </si>
  <si>
    <t>swing|v</t>
  </si>
  <si>
    <t>swing</t>
  </si>
  <si>
    <t>swing, swinging, swings, swung</t>
  </si>
  <si>
    <t>train|v</t>
  </si>
  <si>
    <t>train, trained, training, trains</t>
  </si>
  <si>
    <t>weather|n</t>
  </si>
  <si>
    <t>weather</t>
  </si>
  <si>
    <t>weather, weathers</t>
  </si>
  <si>
    <t>alarm|n</t>
  </si>
  <si>
    <t>alarm</t>
  </si>
  <si>
    <t>alarm, alarms</t>
  </si>
  <si>
    <t>fun|j</t>
  </si>
  <si>
    <t>fun, funner, funnest</t>
  </si>
  <si>
    <t>kitty|n</t>
  </si>
  <si>
    <t>kitty</t>
  </si>
  <si>
    <t>kitty, kitties</t>
  </si>
  <si>
    <t>nap|n</t>
  </si>
  <si>
    <t>nap</t>
  </si>
  <si>
    <t>nap, naps</t>
  </si>
  <si>
    <t>practice|n</t>
  </si>
  <si>
    <t>practice, practices</t>
  </si>
  <si>
    <t>precious|j</t>
  </si>
  <si>
    <t>precious</t>
  </si>
  <si>
    <t>product|n</t>
  </si>
  <si>
    <t>product</t>
  </si>
  <si>
    <t>product, products</t>
  </si>
  <si>
    <t>rabbit|n</t>
  </si>
  <si>
    <t>rabbit</t>
  </si>
  <si>
    <t>rabbit, rabbits</t>
  </si>
  <si>
    <t>role|n</t>
  </si>
  <si>
    <t>role</t>
  </si>
  <si>
    <t>role, roles</t>
  </si>
  <si>
    <t>snack|n</t>
  </si>
  <si>
    <t>snack</t>
  </si>
  <si>
    <t>snack, snacks</t>
  </si>
  <si>
    <t>sucker|n</t>
  </si>
  <si>
    <t>sucker</t>
  </si>
  <si>
    <t>sucker, suckers</t>
  </si>
  <si>
    <t>tag|n</t>
  </si>
  <si>
    <t>tag</t>
  </si>
  <si>
    <t>tag, tags</t>
  </si>
  <si>
    <t>chef|n</t>
  </si>
  <si>
    <t>chef</t>
  </si>
  <si>
    <t>chef, chefs</t>
  </si>
  <si>
    <t>chew|v</t>
  </si>
  <si>
    <t>chew</t>
  </si>
  <si>
    <t>chew, chewed, chewing, chews</t>
  </si>
  <si>
    <t>evidence|n</t>
  </si>
  <si>
    <t>evidence</t>
  </si>
  <si>
    <t>fantasy|n</t>
  </si>
  <si>
    <t>fantasy</t>
  </si>
  <si>
    <t>fantasy, fantasies</t>
  </si>
  <si>
    <t>operation|n</t>
  </si>
  <si>
    <t>operation</t>
  </si>
  <si>
    <t>operation, operations</t>
  </si>
  <si>
    <t>puppy|n</t>
  </si>
  <si>
    <t>puppy</t>
  </si>
  <si>
    <t>puppy, puppies</t>
  </si>
  <si>
    <t>rain|n</t>
  </si>
  <si>
    <t>rain</t>
  </si>
  <si>
    <t>rain, rains</t>
  </si>
  <si>
    <t>spin|v</t>
  </si>
  <si>
    <t>spin</t>
  </si>
  <si>
    <t>spin, spinning, spins, spun</t>
  </si>
  <si>
    <t>throat|n</t>
  </si>
  <si>
    <t>throat</t>
  </si>
  <si>
    <t>throat, throats</t>
  </si>
  <si>
    <t>e-mail|v</t>
  </si>
  <si>
    <t>e-mail</t>
  </si>
  <si>
    <t>e-mail, e-mails, e-mailing, e-mailed, email, emails, emailing, emailed</t>
  </si>
  <si>
    <t>present|v</t>
  </si>
  <si>
    <t>present, presented, presenting, presents</t>
  </si>
  <si>
    <t>reality|n</t>
  </si>
  <si>
    <t>reality</t>
  </si>
  <si>
    <t>reality, realities</t>
  </si>
  <si>
    <t>saint|n</t>
  </si>
  <si>
    <t>saint</t>
  </si>
  <si>
    <t>saint, saints</t>
  </si>
  <si>
    <t>top|j</t>
  </si>
  <si>
    <t>victim|n</t>
  </si>
  <si>
    <t>victim</t>
  </si>
  <si>
    <t>victim, victims</t>
  </si>
  <si>
    <t>waitress|n</t>
  </si>
  <si>
    <t>waitress</t>
  </si>
  <si>
    <t>waitress, waitresses</t>
  </si>
  <si>
    <t>booze|n</t>
  </si>
  <si>
    <t>booze</t>
  </si>
  <si>
    <t>booze, boozes</t>
  </si>
  <si>
    <t>condom|n</t>
  </si>
  <si>
    <t>condom</t>
  </si>
  <si>
    <t>condom, condoms</t>
  </si>
  <si>
    <t>director|n</t>
  </si>
  <si>
    <t>director</t>
  </si>
  <si>
    <t>director, directors</t>
  </si>
  <si>
    <t>hunt|v</t>
  </si>
  <si>
    <t>hunt</t>
  </si>
  <si>
    <t>hunt, hunted, hunting, hunts</t>
  </si>
  <si>
    <t>menu|n</t>
  </si>
  <si>
    <t>menu</t>
  </si>
  <si>
    <t>menu, menus</t>
  </si>
  <si>
    <t>mystery|n</t>
  </si>
  <si>
    <t>mystery</t>
  </si>
  <si>
    <t>mystery, mysteries</t>
  </si>
  <si>
    <t>quiet|u</t>
  </si>
  <si>
    <t>regret|v</t>
  </si>
  <si>
    <t>regret</t>
  </si>
  <si>
    <t>regret, regrets, regretted, regretting</t>
  </si>
  <si>
    <t>technically|r</t>
  </si>
  <si>
    <t>technically</t>
  </si>
  <si>
    <t>ton|n</t>
  </si>
  <si>
    <t>ton</t>
  </si>
  <si>
    <t>ton, tons</t>
  </si>
  <si>
    <t>attract|v</t>
  </si>
  <si>
    <t>attract</t>
  </si>
  <si>
    <t>attract, attracted, attracting, attracts</t>
  </si>
  <si>
    <t>aware|j</t>
  </si>
  <si>
    <t>aware</t>
  </si>
  <si>
    <t>aware, awarer, awarest</t>
  </si>
  <si>
    <t>chest|n</t>
  </si>
  <si>
    <t>chest</t>
  </si>
  <si>
    <t>chest, chests</t>
  </si>
  <si>
    <t>dentist|n</t>
  </si>
  <si>
    <t>dentist</t>
  </si>
  <si>
    <t>dentist, dentists</t>
  </si>
  <si>
    <t>far|j</t>
  </si>
  <si>
    <t>focus|v</t>
  </si>
  <si>
    <t>focus, focused, focuses, focusing, focussed, focusses, focussing</t>
  </si>
  <si>
    <t>illegal|j</t>
  </si>
  <si>
    <t>illegal</t>
  </si>
  <si>
    <t>junior|j</t>
  </si>
  <si>
    <t>junior</t>
  </si>
  <si>
    <t>mouse|n</t>
  </si>
  <si>
    <t>mouse</t>
  </si>
  <si>
    <t>mouse, mice, mouses</t>
  </si>
  <si>
    <t>pencil|n</t>
  </si>
  <si>
    <t>pencil</t>
  </si>
  <si>
    <t>pencil, pencils</t>
  </si>
  <si>
    <t>sentence|n</t>
  </si>
  <si>
    <t>sentence</t>
  </si>
  <si>
    <t>sentence, sentences</t>
  </si>
  <si>
    <t>sixteen|m</t>
  </si>
  <si>
    <t>sixteen</t>
  </si>
  <si>
    <t>sixteen, sixteens</t>
  </si>
  <si>
    <t>squeeze|v</t>
  </si>
  <si>
    <t>squeeze</t>
  </si>
  <si>
    <t>squeeze, squeezed, squeezes, squeezing</t>
  </si>
  <si>
    <t>audition|n</t>
  </si>
  <si>
    <t>audition</t>
  </si>
  <si>
    <t>audition, auditions</t>
  </si>
  <si>
    <t>lobster|n</t>
  </si>
  <si>
    <t>lobster</t>
  </si>
  <si>
    <t>lobster, lobsters</t>
  </si>
  <si>
    <t>success|n</t>
  </si>
  <si>
    <t>success</t>
  </si>
  <si>
    <t>success, successes</t>
  </si>
  <si>
    <t>terrorist|n</t>
  </si>
  <si>
    <t>terrorist</t>
  </si>
  <si>
    <t>terrorist, terrorists</t>
  </si>
  <si>
    <t>asleep|r</t>
  </si>
  <si>
    <t>asleep</t>
  </si>
  <si>
    <t>fashion|n</t>
  </si>
  <si>
    <t>fashion</t>
  </si>
  <si>
    <t>fashion, fashions</t>
  </si>
  <si>
    <t>glove|n</t>
  </si>
  <si>
    <t>glove</t>
  </si>
  <si>
    <t>glove, gloves</t>
  </si>
  <si>
    <t>item|n</t>
  </si>
  <si>
    <t>item</t>
  </si>
  <si>
    <t>item, items</t>
  </si>
  <si>
    <t>recommend|v</t>
  </si>
  <si>
    <t>recommend</t>
  </si>
  <si>
    <t>recommend, recommended, recommending, recommends</t>
  </si>
  <si>
    <t>tuna|n</t>
  </si>
  <si>
    <t>tuna</t>
  </si>
  <si>
    <t>tuna, tunas</t>
  </si>
  <si>
    <t>warehouse|n</t>
  </si>
  <si>
    <t>warehouse</t>
  </si>
  <si>
    <t>warehouse, warehouses</t>
  </si>
  <si>
    <t>Italian|K</t>
  </si>
  <si>
    <t>Italian</t>
  </si>
  <si>
    <t>Italian, Italians</t>
  </si>
  <si>
    <t>lazy|j</t>
  </si>
  <si>
    <t>lazy</t>
  </si>
  <si>
    <t>lazy, lazier, laziest</t>
  </si>
  <si>
    <t>tank|n</t>
  </si>
  <si>
    <t>tank</t>
  </si>
  <si>
    <t>tank, tanks</t>
  </si>
  <si>
    <t>whale|n</t>
  </si>
  <si>
    <t>whale</t>
  </si>
  <si>
    <t>whale, whales</t>
  </si>
  <si>
    <t>zone|n</t>
  </si>
  <si>
    <t>zone</t>
  </si>
  <si>
    <t>zone, zones</t>
  </si>
  <si>
    <t>honor|v</t>
  </si>
  <si>
    <t>honor, honored, honoring, honors</t>
  </si>
  <si>
    <t>panic|v</t>
  </si>
  <si>
    <t>panic</t>
  </si>
  <si>
    <t>panic, panicked, panicking, panics</t>
  </si>
  <si>
    <t>bachelor|n</t>
  </si>
  <si>
    <t>bachelor</t>
  </si>
  <si>
    <t>bachelor, bachelors</t>
  </si>
  <si>
    <t>chain|n</t>
  </si>
  <si>
    <t>chain</t>
  </si>
  <si>
    <t>chain, chains</t>
  </si>
  <si>
    <t>creature|n</t>
  </si>
  <si>
    <t>creature</t>
  </si>
  <si>
    <t>creature, creatures</t>
  </si>
  <si>
    <t>diamond|n</t>
  </si>
  <si>
    <t>diamond</t>
  </si>
  <si>
    <t>diamond, diamonds</t>
  </si>
  <si>
    <t>however|fw</t>
  </si>
  <si>
    <t>however</t>
  </si>
  <si>
    <t>image|n</t>
  </si>
  <si>
    <t>image</t>
  </si>
  <si>
    <t>image, images</t>
  </si>
  <si>
    <t>parade|n</t>
  </si>
  <si>
    <t>parade</t>
  </si>
  <si>
    <t>parade, parades</t>
  </si>
  <si>
    <t>rocket|n</t>
  </si>
  <si>
    <t>rocket</t>
  </si>
  <si>
    <t>rocket, rockets</t>
  </si>
  <si>
    <t>solution|n</t>
  </si>
  <si>
    <t>solution</t>
  </si>
  <si>
    <t>solution, solutions</t>
  </si>
  <si>
    <t>cable|n</t>
  </si>
  <si>
    <t>cable</t>
  </si>
  <si>
    <t>cable, cables</t>
  </si>
  <si>
    <t>culture|n</t>
  </si>
  <si>
    <t>culture</t>
  </si>
  <si>
    <t>culture, cultures</t>
  </si>
  <si>
    <t>forty-five|m</t>
  </si>
  <si>
    <t>forty-five</t>
  </si>
  <si>
    <t>garage|n</t>
  </si>
  <si>
    <t>garage</t>
  </si>
  <si>
    <t>garage, garages</t>
  </si>
  <si>
    <t>male|j</t>
  </si>
  <si>
    <t>male</t>
  </si>
  <si>
    <t>revenge|n</t>
  </si>
  <si>
    <t>revenge</t>
  </si>
  <si>
    <t>revenge, revenges</t>
  </si>
  <si>
    <t>shrimp|n</t>
  </si>
  <si>
    <t>shrimp</t>
  </si>
  <si>
    <t>shrimp, shrimps</t>
  </si>
  <si>
    <t>taco|n</t>
  </si>
  <si>
    <t>taco</t>
  </si>
  <si>
    <t>taco, tacos</t>
  </si>
  <si>
    <t>thin|j</t>
  </si>
  <si>
    <t>thin</t>
  </si>
  <si>
    <t>thin, thinner, thinnest</t>
  </si>
  <si>
    <t>vote|n</t>
  </si>
  <si>
    <t>vote, votes</t>
  </si>
  <si>
    <t>aside|r</t>
  </si>
  <si>
    <t>aside</t>
  </si>
  <si>
    <t>bum|n</t>
  </si>
  <si>
    <t>bum</t>
  </si>
  <si>
    <t>bum, bums</t>
  </si>
  <si>
    <t>distract|v</t>
  </si>
  <si>
    <t>distract</t>
  </si>
  <si>
    <t>distract, distracted, distracting, distracts</t>
  </si>
  <si>
    <t>DVD|abbr</t>
  </si>
  <si>
    <t>DVD</t>
  </si>
  <si>
    <t>DVD, DVDs</t>
  </si>
  <si>
    <t>hehe|u</t>
  </si>
  <si>
    <t>hehe</t>
  </si>
  <si>
    <t>humiliate|v</t>
  </si>
  <si>
    <t>humiliate</t>
  </si>
  <si>
    <t>humiliate, humiliated, humiliates, humiliating</t>
  </si>
  <si>
    <t>locker|n</t>
  </si>
  <si>
    <t>locker</t>
  </si>
  <si>
    <t>locker, lockers</t>
  </si>
  <si>
    <t>native|j</t>
  </si>
  <si>
    <t>native</t>
  </si>
  <si>
    <t>performance|n</t>
  </si>
  <si>
    <t>performance</t>
  </si>
  <si>
    <t>performance, performances</t>
  </si>
  <si>
    <t>policy|n</t>
  </si>
  <si>
    <t>policy</t>
  </si>
  <si>
    <t>policy, policies</t>
  </si>
  <si>
    <t>pony|n</t>
  </si>
  <si>
    <t>pony</t>
  </si>
  <si>
    <t>pony, ponies</t>
  </si>
  <si>
    <t>release|v</t>
  </si>
  <si>
    <t>release</t>
  </si>
  <si>
    <t>release, released, releases, releasing</t>
  </si>
  <si>
    <t>stone|n</t>
  </si>
  <si>
    <t>stone</t>
  </si>
  <si>
    <t>stone, stones</t>
  </si>
  <si>
    <t>woohoo|u</t>
  </si>
  <si>
    <t>woohoo</t>
  </si>
  <si>
    <t>advantage|n</t>
  </si>
  <si>
    <t>advantage</t>
  </si>
  <si>
    <t>advantage, advantages</t>
  </si>
  <si>
    <t>basket|n</t>
  </si>
  <si>
    <t>basket</t>
  </si>
  <si>
    <t>basket, baskets</t>
  </si>
  <si>
    <t>breakup|n</t>
  </si>
  <si>
    <t>breakup</t>
  </si>
  <si>
    <t>breakup, breakups</t>
  </si>
  <si>
    <t>device|n</t>
  </si>
  <si>
    <t>device</t>
  </si>
  <si>
    <t>device, devices</t>
  </si>
  <si>
    <t>garden|n</t>
  </si>
  <si>
    <t>garden</t>
  </si>
  <si>
    <t>garden, gardens</t>
  </si>
  <si>
    <t>patient|n</t>
  </si>
  <si>
    <t>patient</t>
  </si>
  <si>
    <t>patient, patients</t>
  </si>
  <si>
    <t>pink|j</t>
  </si>
  <si>
    <t>pink</t>
  </si>
  <si>
    <t>pink, pinker, pinkest</t>
  </si>
  <si>
    <t>represent|v</t>
  </si>
  <si>
    <t>represent</t>
  </si>
  <si>
    <t>represent, represented, representing, represents</t>
  </si>
  <si>
    <t>thirteen|m</t>
  </si>
  <si>
    <t>thirteen</t>
  </si>
  <si>
    <t>thirteen, thirteens</t>
  </si>
  <si>
    <t>treasure|n</t>
  </si>
  <si>
    <t>treasure</t>
  </si>
  <si>
    <t>treasure, treasures</t>
  </si>
  <si>
    <t>amount|n</t>
  </si>
  <si>
    <t>amount</t>
  </si>
  <si>
    <t>amount, amounts</t>
  </si>
  <si>
    <t>fart|n</t>
  </si>
  <si>
    <t>fart</t>
  </si>
  <si>
    <t>fart, farts</t>
  </si>
  <si>
    <t>newspaper|n</t>
  </si>
  <si>
    <t>newspaper</t>
  </si>
  <si>
    <t>newspaper, newspapers</t>
  </si>
  <si>
    <t>wind|n</t>
  </si>
  <si>
    <t>wind</t>
  </si>
  <si>
    <t>wind, winds</t>
  </si>
  <si>
    <t>act|n</t>
  </si>
  <si>
    <t>act, acts</t>
  </si>
  <si>
    <t>ashamed|j</t>
  </si>
  <si>
    <t>ashamed</t>
  </si>
  <si>
    <t>champion|n</t>
  </si>
  <si>
    <t>champion</t>
  </si>
  <si>
    <t>champion, champions</t>
  </si>
  <si>
    <t>light|v</t>
  </si>
  <si>
    <t>light, lighted, lighting, lights, lit</t>
  </si>
  <si>
    <t>per|fw</t>
  </si>
  <si>
    <t>per</t>
  </si>
  <si>
    <t>scout|n</t>
  </si>
  <si>
    <t>scout</t>
  </si>
  <si>
    <t>scout, scouts</t>
  </si>
  <si>
    <t>guitar|n</t>
  </si>
  <si>
    <t>guitar</t>
  </si>
  <si>
    <t>guitar, guitars</t>
  </si>
  <si>
    <t>mental|j</t>
  </si>
  <si>
    <t>mental</t>
  </si>
  <si>
    <t>sensitive|j</t>
  </si>
  <si>
    <t>sensitive</t>
  </si>
  <si>
    <t>twenty-four|m</t>
  </si>
  <si>
    <t>twenty-four</t>
  </si>
  <si>
    <t>heat|n</t>
  </si>
  <si>
    <t>heat</t>
  </si>
  <si>
    <t>heat, heats</t>
  </si>
  <si>
    <t>otherwise|fw</t>
  </si>
  <si>
    <t>otherwise</t>
  </si>
  <si>
    <t>seventeen|m</t>
  </si>
  <si>
    <t>seventeen</t>
  </si>
  <si>
    <t>seventeen, seventeens</t>
  </si>
  <si>
    <t>string|n</t>
  </si>
  <si>
    <t>string</t>
  </si>
  <si>
    <t>string, strings</t>
  </si>
  <si>
    <t>wind|v</t>
  </si>
  <si>
    <t>wind, winds, winding, winded ; wind, winds, winding, wound</t>
  </si>
  <si>
    <t>downstairs|r</t>
  </si>
  <si>
    <t>downstairs</t>
  </si>
  <si>
    <t>impressive|j</t>
  </si>
  <si>
    <t>impressive</t>
  </si>
  <si>
    <t>poop|n</t>
  </si>
  <si>
    <t>poop</t>
  </si>
  <si>
    <t>poop, poops</t>
  </si>
  <si>
    <t>property|n</t>
  </si>
  <si>
    <t>property</t>
  </si>
  <si>
    <t>property, properties</t>
  </si>
  <si>
    <t>skill|n</t>
  </si>
  <si>
    <t>skill</t>
  </si>
  <si>
    <t>skill, skills</t>
  </si>
  <si>
    <t>walk|n</t>
  </si>
  <si>
    <t>walk, walks</t>
  </si>
  <si>
    <t>dammit|u</t>
  </si>
  <si>
    <t>dammit</t>
  </si>
  <si>
    <t>lead|n</t>
  </si>
  <si>
    <t>lead, leads</t>
  </si>
  <si>
    <t>pancake|n</t>
  </si>
  <si>
    <t>pancake</t>
  </si>
  <si>
    <t>pancake, pancakes</t>
  </si>
  <si>
    <t>slow|v</t>
  </si>
  <si>
    <t>slow, slowed, slowing, slows</t>
  </si>
  <si>
    <t>stranger|n</t>
  </si>
  <si>
    <t>stranger</t>
  </si>
  <si>
    <t>stranger, strangers</t>
  </si>
  <si>
    <t>charity|n</t>
  </si>
  <si>
    <t>charity</t>
  </si>
  <si>
    <t>charity, charities</t>
  </si>
  <si>
    <t>crap|v</t>
  </si>
  <si>
    <t>crap, crapped, crapping, craps</t>
  </si>
  <si>
    <t>freedom|n</t>
  </si>
  <si>
    <t>freedom</t>
  </si>
  <si>
    <t>freedom, freedoms</t>
  </si>
  <si>
    <t>pour|v</t>
  </si>
  <si>
    <t>pour</t>
  </si>
  <si>
    <t>pour, poured, pouring, pours</t>
  </si>
  <si>
    <t>stuff|v</t>
  </si>
  <si>
    <t>stuff, stuffed, stuffing, stuffs</t>
  </si>
  <si>
    <t>tradition|n</t>
  </si>
  <si>
    <t>tradition</t>
  </si>
  <si>
    <t>tradition, traditions</t>
  </si>
  <si>
    <t>beef|n</t>
  </si>
  <si>
    <t>beef</t>
  </si>
  <si>
    <t>beef, beefs, beeves</t>
  </si>
  <si>
    <t>bite|n</t>
  </si>
  <si>
    <t>bite, bites</t>
  </si>
  <si>
    <t>bullet|n</t>
  </si>
  <si>
    <t>bullet</t>
  </si>
  <si>
    <t>bullet, bullets</t>
  </si>
  <si>
    <t>curious|j</t>
  </si>
  <si>
    <t>curious</t>
  </si>
  <si>
    <t>curious, curiouser, curiousest</t>
  </si>
  <si>
    <t>disaster|n</t>
  </si>
  <si>
    <t>disaster</t>
  </si>
  <si>
    <t>disaster, disasters</t>
  </si>
  <si>
    <t>factory|n</t>
  </si>
  <si>
    <t>factory</t>
  </si>
  <si>
    <t>factory, factories</t>
  </si>
  <si>
    <t>forest|n</t>
  </si>
  <si>
    <t>forest</t>
  </si>
  <si>
    <t>forest, forests</t>
  </si>
  <si>
    <t>middle|j</t>
  </si>
  <si>
    <t>odd|j</t>
  </si>
  <si>
    <t>odd</t>
  </si>
  <si>
    <t>provide|v</t>
  </si>
  <si>
    <t>provide</t>
  </si>
  <si>
    <t>provide, provided, provides, providing</t>
  </si>
  <si>
    <t>repeat|v</t>
  </si>
  <si>
    <t>repeat</t>
  </si>
  <si>
    <t>repeat, repeated, repeating, repeats</t>
  </si>
  <si>
    <t>section|n</t>
  </si>
  <si>
    <t>section</t>
  </si>
  <si>
    <t>section, sections</t>
  </si>
  <si>
    <t>subway|n</t>
  </si>
  <si>
    <t>subway</t>
  </si>
  <si>
    <t>subway, subways</t>
  </si>
  <si>
    <t>choke|v</t>
  </si>
  <si>
    <t>choke</t>
  </si>
  <si>
    <t>choke, choked, chokes, choking</t>
  </si>
  <si>
    <t>cowboy|n</t>
  </si>
  <si>
    <t>cowboy</t>
  </si>
  <si>
    <t>cowboy, cowboys</t>
  </si>
  <si>
    <t>dirt|n</t>
  </si>
  <si>
    <t>dirt</t>
  </si>
  <si>
    <t>frog|n</t>
  </si>
  <si>
    <t>frog</t>
  </si>
  <si>
    <t>frog, frogs</t>
  </si>
  <si>
    <t>pumpkin|n</t>
  </si>
  <si>
    <t>pumpkin</t>
  </si>
  <si>
    <t>pumpkin, pumpkins, punkin, punkins</t>
  </si>
  <si>
    <t>swallow|v</t>
  </si>
  <si>
    <t>swallow</t>
  </si>
  <si>
    <t>swallow, swallowed, swallowing, swallows</t>
  </si>
  <si>
    <t>bacon|n</t>
  </si>
  <si>
    <t>bacon</t>
  </si>
  <si>
    <t>clever|j</t>
  </si>
  <si>
    <t>clever</t>
  </si>
  <si>
    <t>clever, cleverer, cleverest</t>
  </si>
  <si>
    <t>competition|n</t>
  </si>
  <si>
    <t>competition</t>
  </si>
  <si>
    <t>competition, competitions</t>
  </si>
  <si>
    <t>e-mail|n</t>
  </si>
  <si>
    <t>e-mail, e-mails, email, emails</t>
  </si>
  <si>
    <t>heh|u</t>
  </si>
  <si>
    <t>heh</t>
  </si>
  <si>
    <t>lick|v</t>
  </si>
  <si>
    <t>lick</t>
  </si>
  <si>
    <t>lick, licked, licking, licks</t>
  </si>
  <si>
    <t>mission|n</t>
  </si>
  <si>
    <t>mission</t>
  </si>
  <si>
    <t>mission, missions</t>
  </si>
  <si>
    <t>pair|n</t>
  </si>
  <si>
    <t>pair</t>
  </si>
  <si>
    <t>pair, pairs</t>
  </si>
  <si>
    <t>soap|n</t>
  </si>
  <si>
    <t>soap</t>
  </si>
  <si>
    <t>soap, soaps</t>
  </si>
  <si>
    <t>tail|n</t>
  </si>
  <si>
    <t>tail</t>
  </si>
  <si>
    <t>tail, tails</t>
  </si>
  <si>
    <t>tattoo|n</t>
  </si>
  <si>
    <t>tattoo</t>
  </si>
  <si>
    <t>tattoo, tattoos</t>
  </si>
  <si>
    <t>activity|n</t>
  </si>
  <si>
    <t>activity</t>
  </si>
  <si>
    <t>activity, activities</t>
  </si>
  <si>
    <t>bridge|n</t>
  </si>
  <si>
    <t>bridge</t>
  </si>
  <si>
    <t>bridge, bridges</t>
  </si>
  <si>
    <t>detail|n</t>
  </si>
  <si>
    <t>detail</t>
  </si>
  <si>
    <t>detail, details</t>
  </si>
  <si>
    <t>diet|n</t>
  </si>
  <si>
    <t>diet</t>
  </si>
  <si>
    <t>diet, diets</t>
  </si>
  <si>
    <t>insult|v</t>
  </si>
  <si>
    <t>insult</t>
  </si>
  <si>
    <t>insult, insulted, insulting, insults</t>
  </si>
  <si>
    <t>theme|n</t>
  </si>
  <si>
    <t>theme</t>
  </si>
  <si>
    <t>theme, themes</t>
  </si>
  <si>
    <t>university|n</t>
  </si>
  <si>
    <t>university</t>
  </si>
  <si>
    <t>university, universities</t>
  </si>
  <si>
    <t>champagne|n</t>
  </si>
  <si>
    <t>champagne</t>
  </si>
  <si>
    <t>champagne, champagnes</t>
  </si>
  <si>
    <t>charming|j</t>
  </si>
  <si>
    <t>charming</t>
  </si>
  <si>
    <t>compare|v</t>
  </si>
  <si>
    <t>compare</t>
  </si>
  <si>
    <t>compare, compared, compares, comparing</t>
  </si>
  <si>
    <t>gut|n</t>
  </si>
  <si>
    <t>gut</t>
  </si>
  <si>
    <t>gut, guts</t>
  </si>
  <si>
    <t>map|n</t>
  </si>
  <si>
    <t>map</t>
  </si>
  <si>
    <t>map, maps</t>
  </si>
  <si>
    <t>napkin|n</t>
  </si>
  <si>
    <t>napkin</t>
  </si>
  <si>
    <t>napkin, napkins</t>
  </si>
  <si>
    <t>punch|n</t>
  </si>
  <si>
    <t>punch, punches</t>
  </si>
  <si>
    <t>apply|v</t>
  </si>
  <si>
    <t>apply</t>
  </si>
  <si>
    <t>apply, applied, applies, applying</t>
  </si>
  <si>
    <t>challenge|v</t>
  </si>
  <si>
    <t>challenge</t>
  </si>
  <si>
    <t>challenge, challenged, challenges, challenging</t>
  </si>
  <si>
    <t>collect|v</t>
  </si>
  <si>
    <t>collect</t>
  </si>
  <si>
    <t>collect, collected, collecting, collects</t>
  </si>
  <si>
    <t>cupcake|n</t>
  </si>
  <si>
    <t>cupcake</t>
  </si>
  <si>
    <t>cupcake, cupcakes</t>
  </si>
  <si>
    <t>fridge|n</t>
  </si>
  <si>
    <t>fridge</t>
  </si>
  <si>
    <t>fridge, fridges</t>
  </si>
  <si>
    <t>imagination|n</t>
  </si>
  <si>
    <t>imagination</t>
  </si>
  <si>
    <t>imagination, imaginations</t>
  </si>
  <si>
    <t>joke|v</t>
  </si>
  <si>
    <t>joke, joked, jokes, joking</t>
  </si>
  <si>
    <t>pad|n</t>
  </si>
  <si>
    <t>pad</t>
  </si>
  <si>
    <t>pad, pads</t>
  </si>
  <si>
    <t>script|n</t>
  </si>
  <si>
    <t>script</t>
  </si>
  <si>
    <t>script, scripts</t>
  </si>
  <si>
    <t>whip|v</t>
  </si>
  <si>
    <t>whip</t>
  </si>
  <si>
    <t>whip, whipped, whipping, whips, whup, whupped, whupping, whups, whoop, whoops, whooping, whooped</t>
  </si>
  <si>
    <t>left|j</t>
  </si>
  <si>
    <t>affair|n</t>
  </si>
  <si>
    <t>affair</t>
  </si>
  <si>
    <t>affair, affairs</t>
  </si>
  <si>
    <t>benefit|n</t>
  </si>
  <si>
    <t>benefit</t>
  </si>
  <si>
    <t>benefit, benefits</t>
  </si>
  <si>
    <t>beyond|fw</t>
  </si>
  <si>
    <t>beyond</t>
  </si>
  <si>
    <t>book|v</t>
  </si>
  <si>
    <t>book, booked, booking, books</t>
  </si>
  <si>
    <t>citizen|n</t>
  </si>
  <si>
    <t>citizen</t>
  </si>
  <si>
    <t>citizen, citizens</t>
  </si>
  <si>
    <t>fart|v</t>
  </si>
  <si>
    <t>fart, farted, farting, farts</t>
  </si>
  <si>
    <t>grant|v</t>
  </si>
  <si>
    <t>grant</t>
  </si>
  <si>
    <t>grant, granted, granting, grants</t>
  </si>
  <si>
    <t>junk|n</t>
  </si>
  <si>
    <t>junk</t>
  </si>
  <si>
    <t>junk, junks</t>
  </si>
  <si>
    <t>magical|j</t>
  </si>
  <si>
    <t>magical</t>
  </si>
  <si>
    <t>prom|n</t>
  </si>
  <si>
    <t>prom</t>
  </si>
  <si>
    <t>prom, proms</t>
  </si>
  <si>
    <t>schedule|n</t>
  </si>
  <si>
    <t>schedule</t>
  </si>
  <si>
    <t>schedule, schedules</t>
  </si>
  <si>
    <t>studio|n</t>
  </si>
  <si>
    <t>studio</t>
  </si>
  <si>
    <t>studio, studios</t>
  </si>
  <si>
    <t>value|n</t>
  </si>
  <si>
    <t>value</t>
  </si>
  <si>
    <t>value, values</t>
  </si>
  <si>
    <t>wise|j</t>
  </si>
  <si>
    <t>wise</t>
  </si>
  <si>
    <t>wise, wiser, wisest</t>
  </si>
  <si>
    <t>Bible|K</t>
  </si>
  <si>
    <t>Bible</t>
  </si>
  <si>
    <t>Bible, Bibles</t>
  </si>
  <si>
    <t>clue|n</t>
  </si>
  <si>
    <t>clue</t>
  </si>
  <si>
    <t>clue, clues</t>
  </si>
  <si>
    <t>suicide|n</t>
  </si>
  <si>
    <t>suicide</t>
  </si>
  <si>
    <t>suicide, suicides</t>
  </si>
  <si>
    <t>Wednesday|K</t>
  </si>
  <si>
    <t>Wednesday</t>
  </si>
  <si>
    <t>Wednesday, Wednesdays</t>
  </si>
  <si>
    <t>friendly|j</t>
  </si>
  <si>
    <t>friendly</t>
  </si>
  <si>
    <t>friendly, friendlier, friendliest</t>
  </si>
  <si>
    <t>claim|v</t>
  </si>
  <si>
    <t>claim</t>
  </si>
  <si>
    <t>claim, claimed, claiming, claims</t>
  </si>
  <si>
    <t>complicate|v</t>
  </si>
  <si>
    <t>complicate</t>
  </si>
  <si>
    <t>complicate, complicated, complicates, complicating</t>
  </si>
  <si>
    <t>doubt|n</t>
  </si>
  <si>
    <t>doubt</t>
  </si>
  <si>
    <t>doubt, doubts</t>
  </si>
  <si>
    <t>generation|n</t>
  </si>
  <si>
    <t>generation</t>
  </si>
  <si>
    <t>generation, generations</t>
  </si>
  <si>
    <t>grave|n</t>
  </si>
  <si>
    <t>grave</t>
  </si>
  <si>
    <t>grave, graves</t>
  </si>
  <si>
    <t>require|v</t>
  </si>
  <si>
    <t>require</t>
  </si>
  <si>
    <t>require, required, requires, requiring</t>
  </si>
  <si>
    <t>stair|n</t>
  </si>
  <si>
    <t>stair</t>
  </si>
  <si>
    <t>stair, stairs</t>
  </si>
  <si>
    <t>album|n</t>
  </si>
  <si>
    <t>album</t>
  </si>
  <si>
    <t>album, albums</t>
  </si>
  <si>
    <t>depend|v</t>
  </si>
  <si>
    <t>depend</t>
  </si>
  <si>
    <t>depend, depended, depending, depends</t>
  </si>
  <si>
    <t>maid|n</t>
  </si>
  <si>
    <t>maid</t>
  </si>
  <si>
    <t>maid, maids</t>
  </si>
  <si>
    <t>moron|n</t>
  </si>
  <si>
    <t>moron</t>
  </si>
  <si>
    <t>moron, morons</t>
  </si>
  <si>
    <t>necessary|j</t>
  </si>
  <si>
    <t>necessary</t>
  </si>
  <si>
    <t>oven|n</t>
  </si>
  <si>
    <t>oven</t>
  </si>
  <si>
    <t>oven, ovens</t>
  </si>
  <si>
    <t>paint|n</t>
  </si>
  <si>
    <t>paint, paints</t>
  </si>
  <si>
    <t>refer|v</t>
  </si>
  <si>
    <t>refer</t>
  </si>
  <si>
    <t>refer, referred, referring, refers</t>
  </si>
  <si>
    <t>scratch|v</t>
  </si>
  <si>
    <t>scratch</t>
  </si>
  <si>
    <t>scratch, scratched, scratches, scratching</t>
  </si>
  <si>
    <t>spill|v</t>
  </si>
  <si>
    <t>spill</t>
  </si>
  <si>
    <t>spill, spilled, spilling, spills, spilt</t>
  </si>
  <si>
    <t>stain|n</t>
  </si>
  <si>
    <t>stain</t>
  </si>
  <si>
    <t>stain, stains</t>
  </si>
  <si>
    <t>adopt|v</t>
  </si>
  <si>
    <t>adopt</t>
  </si>
  <si>
    <t>adopt, adopted, adopting, adopts</t>
  </si>
  <si>
    <t>brush|v</t>
  </si>
  <si>
    <t>brush</t>
  </si>
  <si>
    <t>brush, brushed, brushes, brushing</t>
  </si>
  <si>
    <t>delivery|n</t>
  </si>
  <si>
    <t>delivery</t>
  </si>
  <si>
    <t>delivery, deliveries</t>
  </si>
  <si>
    <t>disappear|v</t>
  </si>
  <si>
    <t>disappear</t>
  </si>
  <si>
    <t>disappear, disappeared, disappearing, disappears</t>
  </si>
  <si>
    <t>elementary|j</t>
  </si>
  <si>
    <t>elementary</t>
  </si>
  <si>
    <t>humor|n</t>
  </si>
  <si>
    <t>humor</t>
  </si>
  <si>
    <t>humor, humors</t>
  </si>
  <si>
    <t>tear|n</t>
  </si>
  <si>
    <t>tear, tears</t>
  </si>
  <si>
    <t>trap|n</t>
  </si>
  <si>
    <t>trap, traps</t>
  </si>
  <si>
    <t>amazing|j</t>
  </si>
  <si>
    <t>amazing</t>
  </si>
  <si>
    <t>Asian|K</t>
  </si>
  <si>
    <t>Asian</t>
  </si>
  <si>
    <t>Asian, Asians</t>
  </si>
  <si>
    <t>boot|n</t>
  </si>
  <si>
    <t>boot</t>
  </si>
  <si>
    <t>boot, boots</t>
  </si>
  <si>
    <t>connection|n</t>
  </si>
  <si>
    <t>connection</t>
  </si>
  <si>
    <t>connection, connections</t>
  </si>
  <si>
    <t>eve|n</t>
  </si>
  <si>
    <t>eve</t>
  </si>
  <si>
    <t>eve, eves</t>
  </si>
  <si>
    <t>happiness|n</t>
  </si>
  <si>
    <t>happiness</t>
  </si>
  <si>
    <t>lifetime|n</t>
  </si>
  <si>
    <t>lifetime</t>
  </si>
  <si>
    <t>lifetime, lifetimes</t>
  </si>
  <si>
    <t>officially|r</t>
  </si>
  <si>
    <t>officially</t>
  </si>
  <si>
    <t>quality|n</t>
  </si>
  <si>
    <t>quality</t>
  </si>
  <si>
    <t>quality, qualities</t>
  </si>
  <si>
    <t>agreement|n</t>
  </si>
  <si>
    <t>agreement</t>
  </si>
  <si>
    <t>agreement, agreements</t>
  </si>
  <si>
    <t>argument|n</t>
  </si>
  <si>
    <t>argument</t>
  </si>
  <si>
    <t>argument, arguments</t>
  </si>
  <si>
    <t>carpet|n</t>
  </si>
  <si>
    <t>carpet</t>
  </si>
  <si>
    <t>carpet, carpets</t>
  </si>
  <si>
    <t>crisis|n</t>
  </si>
  <si>
    <t>crisis</t>
  </si>
  <si>
    <t>crisis, crises</t>
  </si>
  <si>
    <t>design|n</t>
  </si>
  <si>
    <t>design, designs</t>
  </si>
  <si>
    <t>drawer|n</t>
  </si>
  <si>
    <t>drawer</t>
  </si>
  <si>
    <t>drawer, drawers</t>
  </si>
  <si>
    <t>further|r</t>
  </si>
  <si>
    <t>further</t>
  </si>
  <si>
    <t>incredibly|r</t>
  </si>
  <si>
    <t>incredibly</t>
  </si>
  <si>
    <t>loose|j</t>
  </si>
  <si>
    <t>loose</t>
  </si>
  <si>
    <t>loose, looser, loosest</t>
  </si>
  <si>
    <t>pair|m</t>
  </si>
  <si>
    <t>refuse|v</t>
  </si>
  <si>
    <t>refuse</t>
  </si>
  <si>
    <t>refuse, refused, refuses, refusing</t>
  </si>
  <si>
    <t>risk|n</t>
  </si>
  <si>
    <t>risk</t>
  </si>
  <si>
    <t>risk, risks</t>
  </si>
  <si>
    <t>selfish|j</t>
  </si>
  <si>
    <t>selfish</t>
  </si>
  <si>
    <t>village|n</t>
  </si>
  <si>
    <t>village</t>
  </si>
  <si>
    <t>village, villages</t>
  </si>
  <si>
    <t>anger|n</t>
  </si>
  <si>
    <t>anger</t>
  </si>
  <si>
    <t>anger, angers</t>
  </si>
  <si>
    <t>assure|v</t>
  </si>
  <si>
    <t>assure</t>
  </si>
  <si>
    <t>assure, assured, assures, assuring</t>
  </si>
  <si>
    <t>bet|n</t>
  </si>
  <si>
    <t>bet, bets</t>
  </si>
  <si>
    <t>bingo|n</t>
  </si>
  <si>
    <t>bingo</t>
  </si>
  <si>
    <t>bunny|n</t>
  </si>
  <si>
    <t>bunny</t>
  </si>
  <si>
    <t>bunny, bunnies</t>
  </si>
  <si>
    <t>crawl|v</t>
  </si>
  <si>
    <t>crawl</t>
  </si>
  <si>
    <t>crawl, crawled, crawling, crawls</t>
  </si>
  <si>
    <t>demand|v</t>
  </si>
  <si>
    <t>demand</t>
  </si>
  <si>
    <t>demand, demanded, demanding, demands</t>
  </si>
  <si>
    <t>desperate|j</t>
  </si>
  <si>
    <t>desperate</t>
  </si>
  <si>
    <t>elevator|n</t>
  </si>
  <si>
    <t>elevator</t>
  </si>
  <si>
    <t>elevator, elevators</t>
  </si>
  <si>
    <t>goat|n</t>
  </si>
  <si>
    <t>goat</t>
  </si>
  <si>
    <t>goat, goats</t>
  </si>
  <si>
    <t>honeymoon|n</t>
  </si>
  <si>
    <t>honeymoon</t>
  </si>
  <si>
    <t>honeymoon, honeymoons</t>
  </si>
  <si>
    <t>insist|v</t>
  </si>
  <si>
    <t>insist</t>
  </si>
  <si>
    <t>insist, insisted, insisting, insists</t>
  </si>
  <si>
    <t>million|n</t>
  </si>
  <si>
    <t>murder|v</t>
  </si>
  <si>
    <t>murder, murdered, murdering, murders</t>
  </si>
  <si>
    <t>penny|n</t>
  </si>
  <si>
    <t>penny</t>
  </si>
  <si>
    <t>penny, pennies</t>
  </si>
  <si>
    <t>usual|j</t>
  </si>
  <si>
    <t>usual</t>
  </si>
  <si>
    <t>beloved|j</t>
  </si>
  <si>
    <t>beloved</t>
  </si>
  <si>
    <t>copy|v</t>
  </si>
  <si>
    <t>copy, copied, copies, copying</t>
  </si>
  <si>
    <t>festival|n</t>
  </si>
  <si>
    <t>festival</t>
  </si>
  <si>
    <t>festival, festivals</t>
  </si>
  <si>
    <t>tennis|n</t>
  </si>
  <si>
    <t>tennis</t>
  </si>
  <si>
    <t>threaten|v</t>
  </si>
  <si>
    <t>threaten</t>
  </si>
  <si>
    <t>threaten, threatened, threatening, threatens</t>
  </si>
  <si>
    <t>beginning|n</t>
  </si>
  <si>
    <t>beginning</t>
  </si>
  <si>
    <t>beginning, beginnings</t>
  </si>
  <si>
    <t>cigar|n</t>
  </si>
  <si>
    <t>cigar</t>
  </si>
  <si>
    <t>cigar, cigars</t>
  </si>
  <si>
    <t>dancer|n</t>
  </si>
  <si>
    <t>dancer</t>
  </si>
  <si>
    <t>dancer, dancers</t>
  </si>
  <si>
    <t>heck|n</t>
  </si>
  <si>
    <t>heck</t>
  </si>
  <si>
    <t>low|r</t>
  </si>
  <si>
    <t>material|n</t>
  </si>
  <si>
    <t>material</t>
  </si>
  <si>
    <t>material, materials</t>
  </si>
  <si>
    <t>Yankee|K</t>
  </si>
  <si>
    <t>Yankee</t>
  </si>
  <si>
    <t>Yankee, Yankees</t>
  </si>
  <si>
    <t>chapter|n</t>
  </si>
  <si>
    <t>chapter</t>
  </si>
  <si>
    <t>chapter, chapters</t>
  </si>
  <si>
    <t>chat|v</t>
  </si>
  <si>
    <t>chat</t>
  </si>
  <si>
    <t>chat, chats, chatted, chatting</t>
  </si>
  <si>
    <t>homeless|j</t>
  </si>
  <si>
    <t>homeless</t>
  </si>
  <si>
    <t>lap|n</t>
  </si>
  <si>
    <t>lap</t>
  </si>
  <si>
    <t>lap, laps</t>
  </si>
  <si>
    <t>major|j</t>
  </si>
  <si>
    <t>major</t>
  </si>
  <si>
    <t>mark|v</t>
  </si>
  <si>
    <t>mark</t>
  </si>
  <si>
    <t>mark, marked, marking, marks</t>
  </si>
  <si>
    <t>river|n</t>
  </si>
  <si>
    <t>river</t>
  </si>
  <si>
    <t>river, rivers</t>
  </si>
  <si>
    <t>shark|n</t>
  </si>
  <si>
    <t>shark</t>
  </si>
  <si>
    <t>shark, sharks</t>
  </si>
  <si>
    <t>strength|n</t>
  </si>
  <si>
    <t>strength</t>
  </si>
  <si>
    <t>strength, strengths</t>
  </si>
  <si>
    <t>accidentally|r</t>
  </si>
  <si>
    <t>accidentally</t>
  </si>
  <si>
    <t>ancient|j</t>
  </si>
  <si>
    <t>ancient</t>
  </si>
  <si>
    <t>collection|n</t>
  </si>
  <si>
    <t>collection</t>
  </si>
  <si>
    <t>collection, collections</t>
  </si>
  <si>
    <t>exercise|n</t>
  </si>
  <si>
    <t>exercise</t>
  </si>
  <si>
    <t>exercise, exercises</t>
  </si>
  <si>
    <t>include|v</t>
  </si>
  <si>
    <t>include</t>
  </si>
  <si>
    <t>include, included, includes, including</t>
  </si>
  <si>
    <t>muffin|n</t>
  </si>
  <si>
    <t>muffin</t>
  </si>
  <si>
    <t>muffin, muffins</t>
  </si>
  <si>
    <t>offense|n</t>
  </si>
  <si>
    <t>offense</t>
  </si>
  <si>
    <t>offense, offenses</t>
  </si>
  <si>
    <t>screen|n</t>
  </si>
  <si>
    <t>screen</t>
  </si>
  <si>
    <t>screen, screens</t>
  </si>
  <si>
    <t>tomato|n</t>
  </si>
  <si>
    <t>tomato</t>
  </si>
  <si>
    <t>tomato, tomatoes</t>
  </si>
  <si>
    <t>aha|u</t>
  </si>
  <si>
    <t>aha</t>
  </si>
  <si>
    <t>cafeteria|n</t>
  </si>
  <si>
    <t>cafeteria</t>
  </si>
  <si>
    <t>cafeteria, cafeterias</t>
  </si>
  <si>
    <t>crack|n</t>
  </si>
  <si>
    <t>crack, cracks</t>
  </si>
  <si>
    <t>crappy|j</t>
  </si>
  <si>
    <t>crappy</t>
  </si>
  <si>
    <t>crappy, crappier, crappiest</t>
  </si>
  <si>
    <t>Japanese|K</t>
  </si>
  <si>
    <t>Japanese</t>
  </si>
  <si>
    <t>statue|n</t>
  </si>
  <si>
    <t>statue</t>
  </si>
  <si>
    <t>statue, statues</t>
  </si>
  <si>
    <t>supply|n</t>
  </si>
  <si>
    <t>supply</t>
  </si>
  <si>
    <t>supply, supplies</t>
  </si>
  <si>
    <t>versus|fw</t>
  </si>
  <si>
    <t>versus</t>
  </si>
  <si>
    <t>winter|n</t>
  </si>
  <si>
    <t>winter</t>
  </si>
  <si>
    <t>winter, winters</t>
  </si>
  <si>
    <t>tool|n</t>
  </si>
  <si>
    <t>tool</t>
  </si>
  <si>
    <t>tool, tools</t>
  </si>
  <si>
    <t>asleep|j</t>
  </si>
  <si>
    <t>bend|v</t>
  </si>
  <si>
    <t>bend</t>
  </si>
  <si>
    <t>bend, bending, bends, bent</t>
  </si>
  <si>
    <t>commitment|n</t>
  </si>
  <si>
    <t>commitment</t>
  </si>
  <si>
    <t>commitment, commitments</t>
  </si>
  <si>
    <t>disturb|v</t>
  </si>
  <si>
    <t>disturb</t>
  </si>
  <si>
    <t>disturb, disturbed, disturbing, disturbs</t>
  </si>
  <si>
    <t>fish|v</t>
  </si>
  <si>
    <t>fish, fished, fishes, fishing</t>
  </si>
  <si>
    <t>joy|n</t>
  </si>
  <si>
    <t>joy</t>
  </si>
  <si>
    <t>joy, joys</t>
  </si>
  <si>
    <t>presentation|n</t>
  </si>
  <si>
    <t>presentation</t>
  </si>
  <si>
    <t>presentation, presentations</t>
  </si>
  <si>
    <t>shove|v</t>
  </si>
  <si>
    <t>shove</t>
  </si>
  <si>
    <t>shove, shoved, shoves, shoving</t>
  </si>
  <si>
    <t>tube|n</t>
  </si>
  <si>
    <t>tube</t>
  </si>
  <si>
    <t>tube, tubes</t>
  </si>
  <si>
    <t>being|n</t>
  </si>
  <si>
    <t>being</t>
  </si>
  <si>
    <t>being, beings</t>
  </si>
  <si>
    <t>damn|n</t>
  </si>
  <si>
    <t>damn, damns</t>
  </si>
  <si>
    <t>experiment|n</t>
  </si>
  <si>
    <t>experiment</t>
  </si>
  <si>
    <t>experiment, experiments</t>
  </si>
  <si>
    <t>fellow|j</t>
  </si>
  <si>
    <t>fellow</t>
  </si>
  <si>
    <t>German|K</t>
  </si>
  <si>
    <t>German</t>
  </si>
  <si>
    <t>German, Germans</t>
  </si>
  <si>
    <t>jar|n</t>
  </si>
  <si>
    <t>jar</t>
  </si>
  <si>
    <t>jar, jars</t>
  </si>
  <si>
    <t>mint|n</t>
  </si>
  <si>
    <t>mint</t>
  </si>
  <si>
    <t>mint, mints</t>
  </si>
  <si>
    <t>physical|j</t>
  </si>
  <si>
    <t>physical</t>
  </si>
  <si>
    <t>punish|v</t>
  </si>
  <si>
    <t>punish</t>
  </si>
  <si>
    <t>punish, punished, punishes, punishing</t>
  </si>
  <si>
    <t>remote|n</t>
  </si>
  <si>
    <t>remote</t>
  </si>
  <si>
    <t>remote, remotes</t>
  </si>
  <si>
    <t>slut|n</t>
  </si>
  <si>
    <t>slut</t>
  </si>
  <si>
    <t>slut, sluts</t>
  </si>
  <si>
    <t>twist|v</t>
  </si>
  <si>
    <t>twist</t>
  </si>
  <si>
    <t>twist, twisted, twisting, twists</t>
  </si>
  <si>
    <t>cap|n</t>
  </si>
  <si>
    <t>cap</t>
  </si>
  <si>
    <t>cap, caps</t>
  </si>
  <si>
    <t>criminal|n</t>
  </si>
  <si>
    <t>criminal</t>
  </si>
  <si>
    <t>criminal, criminals</t>
  </si>
  <si>
    <t>eight hundred|m</t>
  </si>
  <si>
    <t>eight hundred</t>
  </si>
  <si>
    <t>inspire|v</t>
  </si>
  <si>
    <t>inspire</t>
  </si>
  <si>
    <t>inspire, inspired, inspires, inspiring</t>
  </si>
  <si>
    <t>main|j</t>
  </si>
  <si>
    <t>main</t>
  </si>
  <si>
    <t>panda|n</t>
  </si>
  <si>
    <t>panda</t>
  </si>
  <si>
    <t>panda, pandas</t>
  </si>
  <si>
    <t>sink|v</t>
  </si>
  <si>
    <t>sink</t>
  </si>
  <si>
    <t>sink, sank, sinking, sinks, sunk, sunken</t>
  </si>
  <si>
    <t>smooth|j</t>
  </si>
  <si>
    <t>smooth</t>
  </si>
  <si>
    <t>smooth, smoother, smoothest</t>
  </si>
  <si>
    <t>snap|v</t>
  </si>
  <si>
    <t>snap</t>
  </si>
  <si>
    <t>snap, snapped, snapping, snaps</t>
  </si>
  <si>
    <t>thumb|n</t>
  </si>
  <si>
    <t>thumb</t>
  </si>
  <si>
    <t>thumb, thumbs</t>
  </si>
  <si>
    <t>witness|n</t>
  </si>
  <si>
    <t>witness</t>
  </si>
  <si>
    <t>witness, witnesses</t>
  </si>
  <si>
    <t>abandon|v</t>
  </si>
  <si>
    <t>abandon</t>
  </si>
  <si>
    <t>abandon, abandoned, abandoning, abandons</t>
  </si>
  <si>
    <t>affect|v</t>
  </si>
  <si>
    <t>affect</t>
  </si>
  <si>
    <t>affect, affected, affecting, affects</t>
  </si>
  <si>
    <t>beard|n</t>
  </si>
  <si>
    <t>beard</t>
  </si>
  <si>
    <t>beard, beards</t>
  </si>
  <si>
    <t>bucket|n</t>
  </si>
  <si>
    <t>bucket</t>
  </si>
  <si>
    <t>bucket, buckets</t>
  </si>
  <si>
    <t>county|n</t>
  </si>
  <si>
    <t>county</t>
  </si>
  <si>
    <t>county, counties</t>
  </si>
  <si>
    <t>gain|v</t>
  </si>
  <si>
    <t>gain</t>
  </si>
  <si>
    <t>gain, gained, gaining, gains</t>
  </si>
  <si>
    <t>poem|n</t>
  </si>
  <si>
    <t>poem</t>
  </si>
  <si>
    <t>poem, poems</t>
  </si>
  <si>
    <t>reporter|n</t>
  </si>
  <si>
    <t>reporter</t>
  </si>
  <si>
    <t>reporter, reporters</t>
  </si>
  <si>
    <t>review|n</t>
  </si>
  <si>
    <t>review</t>
  </si>
  <si>
    <t>review, reviews</t>
  </si>
  <si>
    <t>training|n</t>
  </si>
  <si>
    <t>training</t>
  </si>
  <si>
    <t>training, trainings</t>
  </si>
  <si>
    <t>among|fw</t>
  </si>
  <si>
    <t>among</t>
  </si>
  <si>
    <t>among, amongst</t>
  </si>
  <si>
    <t>battery|n</t>
  </si>
  <si>
    <t>battery</t>
  </si>
  <si>
    <t>battery, batteries</t>
  </si>
  <si>
    <t>deny|v</t>
  </si>
  <si>
    <t>deny</t>
  </si>
  <si>
    <t>deny, denied, denies, denying</t>
  </si>
  <si>
    <t>electric|j</t>
  </si>
  <si>
    <t>electric</t>
  </si>
  <si>
    <t>flavor|n</t>
  </si>
  <si>
    <t>flavor</t>
  </si>
  <si>
    <t>flavor, flavors</t>
  </si>
  <si>
    <t>forbid|v</t>
  </si>
  <si>
    <t>forbid</t>
  </si>
  <si>
    <t>forbid, forbad, forbade, forbidden, forbidding, forbids</t>
  </si>
  <si>
    <t>fudge|n</t>
  </si>
  <si>
    <t>fudge</t>
  </si>
  <si>
    <t>fudge, fudges</t>
  </si>
  <si>
    <t>hooray|u</t>
  </si>
  <si>
    <t>hooray</t>
  </si>
  <si>
    <t>obsess|v</t>
  </si>
  <si>
    <t>obsess</t>
  </si>
  <si>
    <t>obsess, obsessed, obsesses, obsessing</t>
  </si>
  <si>
    <t>positive|j</t>
  </si>
  <si>
    <t>positive</t>
  </si>
  <si>
    <t>rob|v</t>
  </si>
  <si>
    <t>rob</t>
  </si>
  <si>
    <t>rob, robbed, robbing, robs</t>
  </si>
  <si>
    <t>signal|n</t>
  </si>
  <si>
    <t>signal</t>
  </si>
  <si>
    <t>signal, signals</t>
  </si>
  <si>
    <t>solid|j</t>
  </si>
  <si>
    <t>solid</t>
  </si>
  <si>
    <t>website|n</t>
  </si>
  <si>
    <t>website</t>
  </si>
  <si>
    <t>website, websites</t>
  </si>
  <si>
    <t>aye|r</t>
  </si>
  <si>
    <t>aye</t>
  </si>
  <si>
    <t>aye, ay</t>
  </si>
  <si>
    <t>century|n</t>
  </si>
  <si>
    <t>century</t>
  </si>
  <si>
    <t>century, centuries</t>
  </si>
  <si>
    <t>click|v</t>
  </si>
  <si>
    <t>click</t>
  </si>
  <si>
    <t>click, clicked, clicking, clicks</t>
  </si>
  <si>
    <t>cracker|n</t>
  </si>
  <si>
    <t>cracker</t>
  </si>
  <si>
    <t>cracker, crackers</t>
  </si>
  <si>
    <t>dry-cleaning|n</t>
  </si>
  <si>
    <t>dry-cleaning</t>
  </si>
  <si>
    <t>dump|n</t>
  </si>
  <si>
    <t>dump, dumps</t>
  </si>
  <si>
    <t>effort|n</t>
  </si>
  <si>
    <t>effort</t>
  </si>
  <si>
    <t>effort, efforts</t>
  </si>
  <si>
    <t>gate|n</t>
  </si>
  <si>
    <t>gate</t>
  </si>
  <si>
    <t>gate, gates</t>
  </si>
  <si>
    <t>hooker|n</t>
  </si>
  <si>
    <t>hooker</t>
  </si>
  <si>
    <t>hooker, hookers</t>
  </si>
  <si>
    <t>impression|n</t>
  </si>
  <si>
    <t>impression</t>
  </si>
  <si>
    <t>impression, impressions</t>
  </si>
  <si>
    <t>inappropriate|j</t>
  </si>
  <si>
    <t>inappropriate</t>
  </si>
  <si>
    <t>inspector|n</t>
  </si>
  <si>
    <t>inspector</t>
  </si>
  <si>
    <t>inspector, inspectors</t>
  </si>
  <si>
    <t>statement|n</t>
  </si>
  <si>
    <t>statement</t>
  </si>
  <si>
    <t>statement, statements</t>
  </si>
  <si>
    <t>thrill|v</t>
  </si>
  <si>
    <t>thrill</t>
  </si>
  <si>
    <t>thrill, thrilled, thrilling, thrills</t>
  </si>
  <si>
    <t>wiener|n</t>
  </si>
  <si>
    <t>wiener</t>
  </si>
  <si>
    <t>wiener, wieners</t>
  </si>
  <si>
    <t>bond|v</t>
  </si>
  <si>
    <t>bond</t>
  </si>
  <si>
    <t>bond, bonded, bonding, bonds</t>
  </si>
  <si>
    <t>challenge|n</t>
  </si>
  <si>
    <t>challenge, challenges</t>
  </si>
  <si>
    <t>filthy|j</t>
  </si>
  <si>
    <t>filthy</t>
  </si>
  <si>
    <t>filthy, filthier, filthiest</t>
  </si>
  <si>
    <t>grandfather|n</t>
  </si>
  <si>
    <t>grandfather</t>
  </si>
  <si>
    <t>grandfather, grandfathers</t>
  </si>
  <si>
    <t>host|n</t>
  </si>
  <si>
    <t>host</t>
  </si>
  <si>
    <t>host, hosts</t>
  </si>
  <si>
    <t>producer|n</t>
  </si>
  <si>
    <t>producer</t>
  </si>
  <si>
    <t>producer, producers</t>
  </si>
  <si>
    <t>witch|n</t>
  </si>
  <si>
    <t>witch</t>
  </si>
  <si>
    <t>witch, witches</t>
  </si>
  <si>
    <t>appropriate|j</t>
  </si>
  <si>
    <t>appropriate</t>
  </si>
  <si>
    <t>coincidence|n</t>
  </si>
  <si>
    <t>coincidence</t>
  </si>
  <si>
    <t>coincidence, coincidences</t>
  </si>
  <si>
    <t>furniture|n</t>
  </si>
  <si>
    <t>furniture</t>
  </si>
  <si>
    <t>laugh|n</t>
  </si>
  <si>
    <t>laugh, laughs</t>
  </si>
  <si>
    <t>lemon|n</t>
  </si>
  <si>
    <t>lemon</t>
  </si>
  <si>
    <t>lemon, lemons</t>
  </si>
  <si>
    <t>load|v</t>
  </si>
  <si>
    <t>load</t>
  </si>
  <si>
    <t>load, loaded, loading, loads</t>
  </si>
  <si>
    <t>mock|v</t>
  </si>
  <si>
    <t>mock</t>
  </si>
  <si>
    <t>mock, mocked, mocking, mocks</t>
  </si>
  <si>
    <t>normally|r</t>
  </si>
  <si>
    <t>normally</t>
  </si>
  <si>
    <t>physics|n</t>
  </si>
  <si>
    <t>physics</t>
  </si>
  <si>
    <t>sack|n</t>
  </si>
  <si>
    <t>sack</t>
  </si>
  <si>
    <t>sack, sacks</t>
  </si>
  <si>
    <t>stock|n</t>
  </si>
  <si>
    <t>stock</t>
  </si>
  <si>
    <t>stock, stocks</t>
  </si>
  <si>
    <t>storm|n</t>
  </si>
  <si>
    <t>storm</t>
  </si>
  <si>
    <t>storm, storms</t>
  </si>
  <si>
    <t>wheelchair|n</t>
  </si>
  <si>
    <t>wheelchair</t>
  </si>
  <si>
    <t>wheelchair, wheelchairs</t>
  </si>
  <si>
    <t>announce|v</t>
  </si>
  <si>
    <t>announce</t>
  </si>
  <si>
    <t>announce, announced, announces, announcing</t>
  </si>
  <si>
    <t>bagel|n</t>
  </si>
  <si>
    <t>bagel</t>
  </si>
  <si>
    <t>bagel, bagels</t>
  </si>
  <si>
    <t>cocktail|n</t>
  </si>
  <si>
    <t>cocktail</t>
  </si>
  <si>
    <t>cocktail, cocktails</t>
  </si>
  <si>
    <t>committee|n</t>
  </si>
  <si>
    <t>committee</t>
  </si>
  <si>
    <t>committee, committees</t>
  </si>
  <si>
    <t>crew|n</t>
  </si>
  <si>
    <t>crew</t>
  </si>
  <si>
    <t>crew, crews</t>
  </si>
  <si>
    <t>defense|n</t>
  </si>
  <si>
    <t>defense</t>
  </si>
  <si>
    <t>defense, defenses</t>
  </si>
  <si>
    <t>extremely|r</t>
  </si>
  <si>
    <t>extremely</t>
  </si>
  <si>
    <t>file|n</t>
  </si>
  <si>
    <t>file</t>
  </si>
  <si>
    <t>file, files</t>
  </si>
  <si>
    <t>haircut|n</t>
  </si>
  <si>
    <t>haircut</t>
  </si>
  <si>
    <t>haircut, haircuts</t>
  </si>
  <si>
    <t>loss|n</t>
  </si>
  <si>
    <t>loss</t>
  </si>
  <si>
    <t>loss, losses</t>
  </si>
  <si>
    <t>mark|n</t>
  </si>
  <si>
    <t>mark, marks</t>
  </si>
  <si>
    <t>proof|n</t>
  </si>
  <si>
    <t>proof</t>
  </si>
  <si>
    <t>proof, proofs</t>
  </si>
  <si>
    <t>salt|n</t>
  </si>
  <si>
    <t>salt</t>
  </si>
  <si>
    <t>salt, salts</t>
  </si>
  <si>
    <t>score|v</t>
  </si>
  <si>
    <t>score, scored, scores, scoring</t>
  </si>
  <si>
    <t>spare|v</t>
  </si>
  <si>
    <t>spare</t>
  </si>
  <si>
    <t>spare, spared, spares, sparing</t>
  </si>
  <si>
    <t>tape|v</t>
  </si>
  <si>
    <t>tape, taped, tapes, taping</t>
  </si>
  <si>
    <t>ex|n</t>
  </si>
  <si>
    <t>ex</t>
  </si>
  <si>
    <t>ex, exes</t>
  </si>
  <si>
    <t>fairy|n</t>
  </si>
  <si>
    <t>fairy</t>
  </si>
  <si>
    <t>fairy, fairies</t>
  </si>
  <si>
    <t>fort|n</t>
  </si>
  <si>
    <t>fort</t>
  </si>
  <si>
    <t>fort, forts</t>
  </si>
  <si>
    <t>grape|n</t>
  </si>
  <si>
    <t>grape</t>
  </si>
  <si>
    <t>grape, grapes</t>
  </si>
  <si>
    <t>including|fw</t>
  </si>
  <si>
    <t>including</t>
  </si>
  <si>
    <t>makeup|n</t>
  </si>
  <si>
    <t>makeup</t>
  </si>
  <si>
    <t>makeup, makeups, make-up, make-ups</t>
  </si>
  <si>
    <t>nation|n</t>
  </si>
  <si>
    <t>nation</t>
  </si>
  <si>
    <t>nation, nations</t>
  </si>
  <si>
    <t>six hundred|m</t>
  </si>
  <si>
    <t>six hundred</t>
  </si>
  <si>
    <t>block|v</t>
  </si>
  <si>
    <t>block, blocked, blocking, blocks</t>
  </si>
  <si>
    <t>childhood|n</t>
  </si>
  <si>
    <t>childhood</t>
  </si>
  <si>
    <t>childhood, childhoods</t>
  </si>
  <si>
    <t>cut|n</t>
  </si>
  <si>
    <t>cut, cuts</t>
  </si>
  <si>
    <t>develop|v</t>
  </si>
  <si>
    <t>develop</t>
  </si>
  <si>
    <t>develop, developed, developing, develops</t>
  </si>
  <si>
    <t>race|v</t>
  </si>
  <si>
    <t>race, raced, races, racing</t>
  </si>
  <si>
    <t>reference|n</t>
  </si>
  <si>
    <t>reference</t>
  </si>
  <si>
    <t>reference, references</t>
  </si>
  <si>
    <t>shorts|n</t>
  </si>
  <si>
    <t>shorts</t>
  </si>
  <si>
    <t>talk|n</t>
  </si>
  <si>
    <t>talk, talks</t>
  </si>
  <si>
    <t>therapist|n</t>
  </si>
  <si>
    <t>therapist</t>
  </si>
  <si>
    <t>therapist, therapists</t>
  </si>
  <si>
    <t>tip|v</t>
  </si>
  <si>
    <t>tip, tipped, tipping, tips</t>
  </si>
  <si>
    <t>tone|n</t>
  </si>
  <si>
    <t>tone</t>
  </si>
  <si>
    <t>tone, tones</t>
  </si>
  <si>
    <t>warm|v</t>
  </si>
  <si>
    <t>warm, warmed, warming, warms</t>
  </si>
  <si>
    <t>accent|n</t>
  </si>
  <si>
    <t>accent</t>
  </si>
  <si>
    <t>accent, accents</t>
  </si>
  <si>
    <t>avenue|n</t>
  </si>
  <si>
    <t>avenue</t>
  </si>
  <si>
    <t>avenue, avenues</t>
  </si>
  <si>
    <t>below|fw</t>
  </si>
  <si>
    <t>below</t>
  </si>
  <si>
    <t>cloud|n</t>
  </si>
  <si>
    <t>cloud</t>
  </si>
  <si>
    <t>cloud, clouds</t>
  </si>
  <si>
    <t>concern|n</t>
  </si>
  <si>
    <t>concern, concerns</t>
  </si>
  <si>
    <t>distance|n</t>
  </si>
  <si>
    <t>distance</t>
  </si>
  <si>
    <t>distance, distances</t>
  </si>
  <si>
    <t>doubt|v</t>
  </si>
  <si>
    <t>doubt, doubted, doubting, doubts</t>
  </si>
  <si>
    <t>exhaust|v</t>
  </si>
  <si>
    <t>exhaust</t>
  </si>
  <si>
    <t>exhaust, exhausted, exhausting, exhausts</t>
  </si>
  <si>
    <t>goal|n</t>
  </si>
  <si>
    <t>goal</t>
  </si>
  <si>
    <t>goal, goals</t>
  </si>
  <si>
    <t>roll|n</t>
  </si>
  <si>
    <t>roll, rolls</t>
  </si>
  <si>
    <t>suggestion|n</t>
  </si>
  <si>
    <t>suggestion</t>
  </si>
  <si>
    <t>suggestion, suggestions</t>
  </si>
  <si>
    <t>grocery|n</t>
  </si>
  <si>
    <t>grocery</t>
  </si>
  <si>
    <t>grocery, groceries</t>
  </si>
  <si>
    <t>belief|n</t>
  </si>
  <si>
    <t>belief</t>
  </si>
  <si>
    <t>belief, beliefs</t>
  </si>
  <si>
    <t>bump|v</t>
  </si>
  <si>
    <t>bump</t>
  </si>
  <si>
    <t>bump, bumped, bumping, bumps</t>
  </si>
  <si>
    <t>inch|n</t>
  </si>
  <si>
    <t>inch</t>
  </si>
  <si>
    <t>inch, inches</t>
  </si>
  <si>
    <t>jury|n</t>
  </si>
  <si>
    <t>jury</t>
  </si>
  <si>
    <t>jury, juries</t>
  </si>
  <si>
    <t>neat|j</t>
  </si>
  <si>
    <t>neat</t>
  </si>
  <si>
    <t>neat, neater, neatest</t>
  </si>
  <si>
    <t>odds|n</t>
  </si>
  <si>
    <t>odds</t>
  </si>
  <si>
    <t>reservation|n</t>
  </si>
  <si>
    <t>reservation</t>
  </si>
  <si>
    <t>reservation, reservations</t>
  </si>
  <si>
    <t>rush|v</t>
  </si>
  <si>
    <t>rush</t>
  </si>
  <si>
    <t>rush, rushed, rushes, rushing</t>
  </si>
  <si>
    <t>spider|n</t>
  </si>
  <si>
    <t>spider</t>
  </si>
  <si>
    <t>spider, spiders</t>
  </si>
  <si>
    <t>squirrel|n</t>
  </si>
  <si>
    <t>squirrel</t>
  </si>
  <si>
    <t>squirrel, squirrels</t>
  </si>
  <si>
    <t>topic|n</t>
  </si>
  <si>
    <t>topic</t>
  </si>
  <si>
    <t>topic, topics</t>
  </si>
  <si>
    <t>toss|v</t>
  </si>
  <si>
    <t>toss</t>
  </si>
  <si>
    <t>toss, tossed, tosses, tossing</t>
  </si>
  <si>
    <t>uniform|n</t>
  </si>
  <si>
    <t>uniform</t>
  </si>
  <si>
    <t>uniform, uniforms</t>
  </si>
  <si>
    <t>violence|n</t>
  </si>
  <si>
    <t>violence</t>
  </si>
  <si>
    <t>violence, violences</t>
  </si>
  <si>
    <t>wide|j</t>
  </si>
  <si>
    <t>wide</t>
  </si>
  <si>
    <t>wide, wider, widest</t>
  </si>
  <si>
    <t>zoo|n</t>
  </si>
  <si>
    <t>zoo</t>
  </si>
  <si>
    <t>zoo, zoos</t>
  </si>
  <si>
    <t>boo|u</t>
  </si>
  <si>
    <t>boo</t>
  </si>
  <si>
    <t>bullshit|n</t>
  </si>
  <si>
    <t>bullshit</t>
  </si>
  <si>
    <t>bullshit, bullshits</t>
  </si>
  <si>
    <t>cruel|j</t>
  </si>
  <si>
    <t>cruel</t>
  </si>
  <si>
    <t>cruel, crueler, crueller, cruelest, cruellest</t>
  </si>
  <si>
    <t>dial|v</t>
  </si>
  <si>
    <t>dial</t>
  </si>
  <si>
    <t>dial, dialed, dialing, dials</t>
  </si>
  <si>
    <t>jeans|n</t>
  </si>
  <si>
    <t>jeans</t>
  </si>
  <si>
    <t>pile|n</t>
  </si>
  <si>
    <t>pile</t>
  </si>
  <si>
    <t>pile, piles</t>
  </si>
  <si>
    <t>poison|n</t>
  </si>
  <si>
    <t>poison</t>
  </si>
  <si>
    <t>poison, poisons</t>
  </si>
  <si>
    <t>pure|j</t>
  </si>
  <si>
    <t>pure</t>
  </si>
  <si>
    <t>pure, purer, purest</t>
  </si>
  <si>
    <t>romance|n</t>
  </si>
  <si>
    <t>romance</t>
  </si>
  <si>
    <t>romance, romances</t>
  </si>
  <si>
    <t>slave|n</t>
  </si>
  <si>
    <t>slave</t>
  </si>
  <si>
    <t>slave, slaves</t>
  </si>
  <si>
    <t>slowly|r</t>
  </si>
  <si>
    <t>slowly</t>
  </si>
  <si>
    <t>slowly, slowlier, slowliest</t>
  </si>
  <si>
    <t>awake|j</t>
  </si>
  <si>
    <t>awake</t>
  </si>
  <si>
    <t>belly|n</t>
  </si>
  <si>
    <t>belly</t>
  </si>
  <si>
    <t>belly, bellies</t>
  </si>
  <si>
    <t>booth|n</t>
  </si>
  <si>
    <t>booth</t>
  </si>
  <si>
    <t>booth, booths</t>
  </si>
  <si>
    <t>gentle|j</t>
  </si>
  <si>
    <t>gentle</t>
  </si>
  <si>
    <t>gentle, gentler, gentlest</t>
  </si>
  <si>
    <t>opera|n</t>
  </si>
  <si>
    <t>opera</t>
  </si>
  <si>
    <t>opera, operas, opere</t>
  </si>
  <si>
    <t>pipe|n</t>
  </si>
  <si>
    <t>pipe</t>
  </si>
  <si>
    <t>pipe, pipes</t>
  </si>
  <si>
    <t>poster|n</t>
  </si>
  <si>
    <t>poster</t>
  </si>
  <si>
    <t>poster, posters</t>
  </si>
  <si>
    <t>Russian|K</t>
  </si>
  <si>
    <t>Russian</t>
  </si>
  <si>
    <t>Russian, Russians</t>
  </si>
  <si>
    <t>sweep|v</t>
  </si>
  <si>
    <t>sweep</t>
  </si>
  <si>
    <t>sweep, sweeping, sweeps, swept</t>
  </si>
  <si>
    <t>sword|n</t>
  </si>
  <si>
    <t>sword</t>
  </si>
  <si>
    <t>sword, swords</t>
  </si>
  <si>
    <t>ultimate|j</t>
  </si>
  <si>
    <t>ultimate</t>
  </si>
  <si>
    <t>debate|n</t>
  </si>
  <si>
    <t>debate</t>
  </si>
  <si>
    <t>debate, debates</t>
  </si>
  <si>
    <t>explode|v</t>
  </si>
  <si>
    <t>explode</t>
  </si>
  <si>
    <t>explode, exploded, explodes, exploding</t>
  </si>
  <si>
    <t>float|v</t>
  </si>
  <si>
    <t>float</t>
  </si>
  <si>
    <t>float, floated, floating, floats</t>
  </si>
  <si>
    <t>justice|n</t>
  </si>
  <si>
    <t>justice</t>
  </si>
  <si>
    <t>kick|n</t>
  </si>
  <si>
    <t>kick, kicks</t>
  </si>
  <si>
    <t>poker|n</t>
  </si>
  <si>
    <t>poker</t>
  </si>
  <si>
    <t>poker, pokers</t>
  </si>
  <si>
    <t>pride|n</t>
  </si>
  <si>
    <t>pride</t>
  </si>
  <si>
    <t>pride, prides</t>
  </si>
  <si>
    <t>psych|v</t>
  </si>
  <si>
    <t>psych</t>
  </si>
  <si>
    <t>psych, psyched, psyching, psychs</t>
  </si>
  <si>
    <t>rain|v</t>
  </si>
  <si>
    <t>rain, rained, raining, rains</t>
  </si>
  <si>
    <t>rare|j</t>
  </si>
  <si>
    <t>rare</t>
  </si>
  <si>
    <t>rare, rarer, rarest</t>
  </si>
  <si>
    <t>rumor|n</t>
  </si>
  <si>
    <t>rumor</t>
  </si>
  <si>
    <t>rumor, rumors</t>
  </si>
  <si>
    <t>title|n</t>
  </si>
  <si>
    <t>title</t>
  </si>
  <si>
    <t>title, titles</t>
  </si>
  <si>
    <t>vision|n</t>
  </si>
  <si>
    <t>vision</t>
  </si>
  <si>
    <t>vision, visions</t>
  </si>
  <si>
    <t>wrestle|v</t>
  </si>
  <si>
    <t>wrestle</t>
  </si>
  <si>
    <t>wrestle, wrestled, wrestles, wrestling</t>
  </si>
  <si>
    <t>column|n</t>
  </si>
  <si>
    <t>column</t>
  </si>
  <si>
    <t>column, columns</t>
  </si>
  <si>
    <t>connect|v</t>
  </si>
  <si>
    <t>connect</t>
  </si>
  <si>
    <t>connect, connected, connecting, connects</t>
  </si>
  <si>
    <t>hockey|n</t>
  </si>
  <si>
    <t>hockey</t>
  </si>
  <si>
    <t>hook|n</t>
  </si>
  <si>
    <t>hook, hooks</t>
  </si>
  <si>
    <t>kidnap|v</t>
  </si>
  <si>
    <t>kidnap</t>
  </si>
  <si>
    <t>kidnap, kidnaped, kidnaping, kidnapped, kidnapping, kidnaps</t>
  </si>
  <si>
    <t>limo|n</t>
  </si>
  <si>
    <t>limo</t>
  </si>
  <si>
    <t>limo, limos</t>
  </si>
  <si>
    <t>painful|j</t>
  </si>
  <si>
    <t>painful</t>
  </si>
  <si>
    <t>painful, painfuller, painfullest</t>
  </si>
  <si>
    <t>path|n</t>
  </si>
  <si>
    <t>path</t>
  </si>
  <si>
    <t>path, paths</t>
  </si>
  <si>
    <t>permission|n</t>
  </si>
  <si>
    <t>permission</t>
  </si>
  <si>
    <t>permission, permissions</t>
  </si>
  <si>
    <t>prince|n</t>
  </si>
  <si>
    <t>prince</t>
  </si>
  <si>
    <t>prince, princes</t>
  </si>
  <si>
    <t>process|n</t>
  </si>
  <si>
    <t>process</t>
  </si>
  <si>
    <t>process, processes</t>
  </si>
  <si>
    <t>senator|n</t>
  </si>
  <si>
    <t>senator</t>
  </si>
  <si>
    <t>senator, senators</t>
  </si>
  <si>
    <t>smash|v</t>
  </si>
  <si>
    <t>smash</t>
  </si>
  <si>
    <t>smash, smashed, smashes, smashing</t>
  </si>
  <si>
    <t>mean|j</t>
  </si>
  <si>
    <t>mean, meaner, meanest</t>
  </si>
  <si>
    <t>anytime|r</t>
  </si>
  <si>
    <t>anytime</t>
  </si>
  <si>
    <t>back|j</t>
  </si>
  <si>
    <t>bat|n</t>
  </si>
  <si>
    <t>bat</t>
  </si>
  <si>
    <t>bat, bats</t>
  </si>
  <si>
    <t>ceremony|n</t>
  </si>
  <si>
    <t>ceremony</t>
  </si>
  <si>
    <t>ceremony, ceremonies</t>
  </si>
  <si>
    <t>declare|v</t>
  </si>
  <si>
    <t>declare</t>
  </si>
  <si>
    <t>declare, declared, declares, declaring</t>
  </si>
  <si>
    <t>helpful|j</t>
  </si>
  <si>
    <t>helpful</t>
  </si>
  <si>
    <t>iron|n</t>
  </si>
  <si>
    <t>iron</t>
  </si>
  <si>
    <t>iron, irons</t>
  </si>
  <si>
    <t>picture|v</t>
  </si>
  <si>
    <t>picture, pictured, pictures, picturing</t>
  </si>
  <si>
    <t>print|v</t>
  </si>
  <si>
    <t>print</t>
  </si>
  <si>
    <t>print, printed, printing, prints</t>
  </si>
  <si>
    <t>rope|n</t>
  </si>
  <si>
    <t>rope</t>
  </si>
  <si>
    <t>rope, ropes</t>
  </si>
  <si>
    <t>sail|v</t>
  </si>
  <si>
    <t>sail</t>
  </si>
  <si>
    <t>sail, sailed, sailing, sails</t>
  </si>
  <si>
    <t>sleep|n</t>
  </si>
  <si>
    <t>sleep, sleeps</t>
  </si>
  <si>
    <t>attend|v</t>
  </si>
  <si>
    <t>attend</t>
  </si>
  <si>
    <t>attend, attended, attending, attends</t>
  </si>
  <si>
    <t>doom|v</t>
  </si>
  <si>
    <t>doom</t>
  </si>
  <si>
    <t>doom, doomed, dooming, dooms</t>
  </si>
  <si>
    <t>education|n</t>
  </si>
  <si>
    <t>education</t>
  </si>
  <si>
    <t>education, educations</t>
  </si>
  <si>
    <t>flush|v</t>
  </si>
  <si>
    <t>flush</t>
  </si>
  <si>
    <t>flush, flushed, flushes, flushing</t>
  </si>
  <si>
    <t>fry|n</t>
  </si>
  <si>
    <t>fry</t>
  </si>
  <si>
    <t>fry, fries</t>
  </si>
  <si>
    <t>melt|v</t>
  </si>
  <si>
    <t>melt</t>
  </si>
  <si>
    <t>melt, melted, melting, melts</t>
  </si>
  <si>
    <t>pardon|v</t>
  </si>
  <si>
    <t>pardon</t>
  </si>
  <si>
    <t>pardon, pardoned, pardoning, pardons</t>
  </si>
  <si>
    <t>passion|n</t>
  </si>
  <si>
    <t>passion</t>
  </si>
  <si>
    <t>passion, passions</t>
  </si>
  <si>
    <t>personally|r</t>
  </si>
  <si>
    <t>personally</t>
  </si>
  <si>
    <t>poop|v</t>
  </si>
  <si>
    <t>poop, pooped, pooping, poops</t>
  </si>
  <si>
    <t>popcorn|n</t>
  </si>
  <si>
    <t>popcorn</t>
  </si>
  <si>
    <t>pussy|n</t>
  </si>
  <si>
    <t>pussy</t>
  </si>
  <si>
    <t>pussy, pussies</t>
  </si>
  <si>
    <t>trick|v</t>
  </si>
  <si>
    <t>trick, tricked, tricking, tricks</t>
  </si>
  <si>
    <t>zombie|n</t>
  </si>
  <si>
    <t>zombie</t>
  </si>
  <si>
    <t>zombie, zombi, zombies, zombis</t>
  </si>
  <si>
    <t>ankle|n</t>
  </si>
  <si>
    <t>ankle</t>
  </si>
  <si>
    <t>ankle, ankles</t>
  </si>
  <si>
    <t>bail|v</t>
  </si>
  <si>
    <t>bail</t>
  </si>
  <si>
    <t>bail, bailed, bailing, bails</t>
  </si>
  <si>
    <t>bowling|n</t>
  </si>
  <si>
    <t>bowling</t>
  </si>
  <si>
    <t>discount|n</t>
  </si>
  <si>
    <t>discount</t>
  </si>
  <si>
    <t>discount, discounts</t>
  </si>
  <si>
    <t>entertainment|n</t>
  </si>
  <si>
    <t>entertainment</t>
  </si>
  <si>
    <t>entertainment, entertainments</t>
  </si>
  <si>
    <t>excuse|n</t>
  </si>
  <si>
    <t>excuse, excuses</t>
  </si>
  <si>
    <t>jazz|n</t>
  </si>
  <si>
    <t>jazz</t>
  </si>
  <si>
    <t>kind|j</t>
  </si>
  <si>
    <t>kind, kinder, kindest</t>
  </si>
  <si>
    <t>lion|n</t>
  </si>
  <si>
    <t>lion</t>
  </si>
  <si>
    <t>lion, lions</t>
  </si>
  <si>
    <t>match|v</t>
  </si>
  <si>
    <t>match, matched, matches, matching</t>
  </si>
  <si>
    <t>prayer|n</t>
  </si>
  <si>
    <t>prayer</t>
  </si>
  <si>
    <t>prayer, prayers</t>
  </si>
  <si>
    <t>stamp|n</t>
  </si>
  <si>
    <t>stamp</t>
  </si>
  <si>
    <t>stamp, stamps</t>
  </si>
  <si>
    <t>betray|v</t>
  </si>
  <si>
    <t>betray</t>
  </si>
  <si>
    <t>betray, betrayed, betraying, betrays</t>
  </si>
  <si>
    <t>bracelet|n</t>
  </si>
  <si>
    <t>bracelet</t>
  </si>
  <si>
    <t>bracelet, bracelets</t>
  </si>
  <si>
    <t>brownie|n</t>
  </si>
  <si>
    <t>brownie</t>
  </si>
  <si>
    <t>brownie, brownies</t>
  </si>
  <si>
    <t>creative|j</t>
  </si>
  <si>
    <t>creative</t>
  </si>
  <si>
    <t>expression|n</t>
  </si>
  <si>
    <t>expression</t>
  </si>
  <si>
    <t>expression, expressions</t>
  </si>
  <si>
    <t>lock|n</t>
  </si>
  <si>
    <t>lock, locks</t>
  </si>
  <si>
    <t>negative|j</t>
  </si>
  <si>
    <t>negative</t>
  </si>
  <si>
    <t>pickle|n</t>
  </si>
  <si>
    <t>pickle</t>
  </si>
  <si>
    <t>pickle, pickles</t>
  </si>
  <si>
    <t>puzzle|n</t>
  </si>
  <si>
    <t>puzzle</t>
  </si>
  <si>
    <t>puzzle, puzzles</t>
  </si>
  <si>
    <t>recipe|n</t>
  </si>
  <si>
    <t>recipe</t>
  </si>
  <si>
    <t>recipe, recipes</t>
  </si>
  <si>
    <t>stab|v</t>
  </si>
  <si>
    <t>stab</t>
  </si>
  <si>
    <t>stab, stabbed, stabbing, stabs</t>
  </si>
  <si>
    <t>toward|fw</t>
  </si>
  <si>
    <t>toward</t>
  </si>
  <si>
    <t>toward, towards</t>
  </si>
  <si>
    <t>wave|v</t>
  </si>
  <si>
    <t>wave</t>
  </si>
  <si>
    <t>wave, waved, waves, waving</t>
  </si>
  <si>
    <t>wherever|fw</t>
  </si>
  <si>
    <t>wherever</t>
  </si>
  <si>
    <t>article|n</t>
  </si>
  <si>
    <t>article</t>
  </si>
  <si>
    <t>article, articles</t>
  </si>
  <si>
    <t>backwards|r</t>
  </si>
  <si>
    <t>backwards</t>
  </si>
  <si>
    <t>central|j</t>
  </si>
  <si>
    <t>central</t>
  </si>
  <si>
    <t>hamburger|n</t>
  </si>
  <si>
    <t>hamburger</t>
  </si>
  <si>
    <t>hamburger, hamburgers</t>
  </si>
  <si>
    <t>mustache|n</t>
  </si>
  <si>
    <t>mustache</t>
  </si>
  <si>
    <t>mustache, moustache, moustaches, mustaches</t>
  </si>
  <si>
    <t>pudding|n</t>
  </si>
  <si>
    <t>pudding</t>
  </si>
  <si>
    <t>pudding, puddings</t>
  </si>
  <si>
    <t>seek|v</t>
  </si>
  <si>
    <t>seek</t>
  </si>
  <si>
    <t>seek, seeking, seeks, sought</t>
  </si>
  <si>
    <t>slide|v</t>
  </si>
  <si>
    <t>slide</t>
  </si>
  <si>
    <t>slide, slid, slides, sliding</t>
  </si>
  <si>
    <t>tit|n</t>
  </si>
  <si>
    <t>tit</t>
  </si>
  <si>
    <t>tit, tits</t>
  </si>
  <si>
    <t>trial|n</t>
  </si>
  <si>
    <t>trial</t>
  </si>
  <si>
    <t>trial, trials</t>
  </si>
  <si>
    <t>trophy|n</t>
  </si>
  <si>
    <t>trophy</t>
  </si>
  <si>
    <t>trophy, trophies</t>
  </si>
  <si>
    <t>best|n</t>
  </si>
  <si>
    <t>best</t>
  </si>
  <si>
    <t>best, bests</t>
  </si>
  <si>
    <t>damage|n</t>
  </si>
  <si>
    <t>damage</t>
  </si>
  <si>
    <t>damage, damages</t>
  </si>
  <si>
    <t>decent|j</t>
  </si>
  <si>
    <t>decent</t>
  </si>
  <si>
    <t>easily|r</t>
  </si>
  <si>
    <t>easily</t>
  </si>
  <si>
    <t>engine|n</t>
  </si>
  <si>
    <t>engine</t>
  </si>
  <si>
    <t>engine, engines</t>
  </si>
  <si>
    <t>journey|n</t>
  </si>
  <si>
    <t>journey</t>
  </si>
  <si>
    <t>journey, journeys</t>
  </si>
  <si>
    <t>ketchup|n</t>
  </si>
  <si>
    <t>ketchup</t>
  </si>
  <si>
    <t>ketchup, catchup, catchups, catsup, catsups, ketchups</t>
  </si>
  <si>
    <t>lawn|n</t>
  </si>
  <si>
    <t>lawn</t>
  </si>
  <si>
    <t>lawn, lawns</t>
  </si>
  <si>
    <t>place|v</t>
  </si>
  <si>
    <t>place, placed, places, placing</t>
  </si>
  <si>
    <t>pretzel|n</t>
  </si>
  <si>
    <t>pretzel</t>
  </si>
  <si>
    <t>pretzel, pretzels</t>
  </si>
  <si>
    <t>routine|n</t>
  </si>
  <si>
    <t>routine</t>
  </si>
  <si>
    <t>routine, routines</t>
  </si>
  <si>
    <t>sand|n</t>
  </si>
  <si>
    <t>sand</t>
  </si>
  <si>
    <t>sand, sands</t>
  </si>
  <si>
    <t>someplace|r</t>
  </si>
  <si>
    <t>someplace</t>
  </si>
  <si>
    <t>stretch|v</t>
  </si>
  <si>
    <t>stretch</t>
  </si>
  <si>
    <t>stretch, stretched, stretches, stretching</t>
  </si>
  <si>
    <t>whack|v</t>
  </si>
  <si>
    <t>whack</t>
  </si>
  <si>
    <t>whack, whacked, whacking, whacks</t>
  </si>
  <si>
    <t>bloody|j</t>
  </si>
  <si>
    <t>bloody</t>
  </si>
  <si>
    <t>bloody, bloodier, bloodiest</t>
  </si>
  <si>
    <t>brand|n</t>
  </si>
  <si>
    <t>brand</t>
  </si>
  <si>
    <t>brand, brands</t>
  </si>
  <si>
    <t>British|K</t>
  </si>
  <si>
    <t>British</t>
  </si>
  <si>
    <t>budget|n</t>
  </si>
  <si>
    <t>budget</t>
  </si>
  <si>
    <t>budget, budgets</t>
  </si>
  <si>
    <t>cabin|n</t>
  </si>
  <si>
    <t>cabin</t>
  </si>
  <si>
    <t>cabin, cabins</t>
  </si>
  <si>
    <t>determine|v</t>
  </si>
  <si>
    <t>determine</t>
  </si>
  <si>
    <t>determine, determined, determines, determining</t>
  </si>
  <si>
    <t>doggie|n</t>
  </si>
  <si>
    <t>doggie</t>
  </si>
  <si>
    <t>doggie, doggy, doggies</t>
  </si>
  <si>
    <t>entertain|v</t>
  </si>
  <si>
    <t>entertain</t>
  </si>
  <si>
    <t>entertain, entertained, entertaining, entertains</t>
  </si>
  <si>
    <t>helmet|n</t>
  </si>
  <si>
    <t>helmet</t>
  </si>
  <si>
    <t>helmet, helmets</t>
  </si>
  <si>
    <t>jackass|n</t>
  </si>
  <si>
    <t>jackass</t>
  </si>
  <si>
    <t>jackass, jackasses</t>
  </si>
  <si>
    <t>media|n</t>
  </si>
  <si>
    <t>media</t>
  </si>
  <si>
    <t>motion|n</t>
  </si>
  <si>
    <t>motion</t>
  </si>
  <si>
    <t>motion, motions</t>
  </si>
  <si>
    <t>poke|v</t>
  </si>
  <si>
    <t>poke</t>
  </si>
  <si>
    <t>poke, poked, pokes, poking</t>
  </si>
  <si>
    <t>practically|r</t>
  </si>
  <si>
    <t>practically</t>
  </si>
  <si>
    <t>rule|v</t>
  </si>
  <si>
    <t>rule, ruled, rules, ruling</t>
  </si>
  <si>
    <t>scotch|n</t>
  </si>
  <si>
    <t>scotch</t>
  </si>
  <si>
    <t>scotch, scotches</t>
  </si>
  <si>
    <t>source|n</t>
  </si>
  <si>
    <t>source</t>
  </si>
  <si>
    <t>source, sources</t>
  </si>
  <si>
    <t>spoil|v</t>
  </si>
  <si>
    <t>spoil</t>
  </si>
  <si>
    <t>spoil, spoiled, spoiling, spoils, spoilt</t>
  </si>
  <si>
    <t>teenager|n</t>
  </si>
  <si>
    <t>teenager</t>
  </si>
  <si>
    <t>teenager, teenagers, teen, teens</t>
  </si>
  <si>
    <t>turtle|n</t>
  </si>
  <si>
    <t>turtle</t>
  </si>
  <si>
    <t>turtle, turtles</t>
  </si>
  <si>
    <t>visit|n</t>
  </si>
  <si>
    <t>visit, visits</t>
  </si>
  <si>
    <t>authority|n</t>
  </si>
  <si>
    <t>authority</t>
  </si>
  <si>
    <t>authority, authorities</t>
  </si>
  <si>
    <t>bleed|v</t>
  </si>
  <si>
    <t>bleed</t>
  </si>
  <si>
    <t>bleed, bled, bleeding, bleeds</t>
  </si>
  <si>
    <t>comment|n</t>
  </si>
  <si>
    <t>comment</t>
  </si>
  <si>
    <t>comment, comments</t>
  </si>
  <si>
    <t>compete|v</t>
  </si>
  <si>
    <t>compete</t>
  </si>
  <si>
    <t>compete, competed, competes, competing</t>
  </si>
  <si>
    <t>confidence|n</t>
  </si>
  <si>
    <t>confidence</t>
  </si>
  <si>
    <t>convention|n</t>
  </si>
  <si>
    <t>convention</t>
  </si>
  <si>
    <t>convention, conventions</t>
  </si>
  <si>
    <t>defend|v</t>
  </si>
  <si>
    <t>defend</t>
  </si>
  <si>
    <t>defend, defended, defending, defends</t>
  </si>
  <si>
    <t>flash|n</t>
  </si>
  <si>
    <t>flash</t>
  </si>
  <si>
    <t>flash, flashes</t>
  </si>
  <si>
    <t>heal|v</t>
  </si>
  <si>
    <t>heal</t>
  </si>
  <si>
    <t>heal, healed, healing, heals</t>
  </si>
  <si>
    <t>hippie|n</t>
  </si>
  <si>
    <t>hippie</t>
  </si>
  <si>
    <t>hippie, hippies, hippy</t>
  </si>
  <si>
    <t>inside|n</t>
  </si>
  <si>
    <t>inside, insides</t>
  </si>
  <si>
    <t>past|j</t>
  </si>
  <si>
    <t>phase|n</t>
  </si>
  <si>
    <t>phase</t>
  </si>
  <si>
    <t>phase, phases</t>
  </si>
  <si>
    <t>puppet|n</t>
  </si>
  <si>
    <t>puppet</t>
  </si>
  <si>
    <t>puppet, puppets</t>
  </si>
  <si>
    <t>respond|v</t>
  </si>
  <si>
    <t>respond</t>
  </si>
  <si>
    <t>respond, responded, responding, responds</t>
  </si>
  <si>
    <t>reveal|v</t>
  </si>
  <si>
    <t>reveal</t>
  </si>
  <si>
    <t>reveal, revealed, revealing, reveals</t>
  </si>
  <si>
    <t>sharp|j</t>
  </si>
  <si>
    <t>sharp</t>
  </si>
  <si>
    <t>sharp, sharper, sharpest</t>
  </si>
  <si>
    <t>transfer|v</t>
  </si>
  <si>
    <t>transfer</t>
  </si>
  <si>
    <t>transfer, transferred, transferring, transfers</t>
  </si>
  <si>
    <t>wig|n</t>
  </si>
  <si>
    <t>wig</t>
  </si>
  <si>
    <t>wig, wigs</t>
  </si>
  <si>
    <t>aisle|n</t>
  </si>
  <si>
    <t>aisle</t>
  </si>
  <si>
    <t>aisle, aisles</t>
  </si>
  <si>
    <t>command|n</t>
  </si>
  <si>
    <t>command</t>
  </si>
  <si>
    <t>command, commands</t>
  </si>
  <si>
    <t>detective|n</t>
  </si>
  <si>
    <t>detective</t>
  </si>
  <si>
    <t>detective, detectives</t>
  </si>
  <si>
    <t>dolphin|n</t>
  </si>
  <si>
    <t>dolphin</t>
  </si>
  <si>
    <t>dolphin, dolphins</t>
  </si>
  <si>
    <t>exit|n</t>
  </si>
  <si>
    <t>exit</t>
  </si>
  <si>
    <t>exit, exits</t>
  </si>
  <si>
    <t>expert|n</t>
  </si>
  <si>
    <t>expert</t>
  </si>
  <si>
    <t>expert, experts</t>
  </si>
  <si>
    <t>grand|j</t>
  </si>
  <si>
    <t>grand</t>
  </si>
  <si>
    <t>grand, grander, grandest</t>
  </si>
  <si>
    <t>heat|v</t>
  </si>
  <si>
    <t>heat, heated, heating, heats</t>
  </si>
  <si>
    <t>industry|n</t>
  </si>
  <si>
    <t>industry</t>
  </si>
  <si>
    <t>industry, industries</t>
  </si>
  <si>
    <t>label|n</t>
  </si>
  <si>
    <t>label</t>
  </si>
  <si>
    <t>label, labels</t>
  </si>
  <si>
    <t>limit|n</t>
  </si>
  <si>
    <t>limit</t>
  </si>
  <si>
    <t>limit, limits</t>
  </si>
  <si>
    <t>mature|j</t>
  </si>
  <si>
    <t>mature</t>
  </si>
  <si>
    <t>mature, maturer, maturest</t>
  </si>
  <si>
    <t>pitch|v</t>
  </si>
  <si>
    <t>pitch</t>
  </si>
  <si>
    <t>pitch, pitched, pitches, pitching</t>
  </si>
  <si>
    <t>pump|v</t>
  </si>
  <si>
    <t>pump</t>
  </si>
  <si>
    <t>pump, pumped, pumping, pumps</t>
  </si>
  <si>
    <t>racist|j</t>
  </si>
  <si>
    <t>racist</t>
  </si>
  <si>
    <t>swing|n</t>
  </si>
  <si>
    <t>swing, swings</t>
  </si>
  <si>
    <t>whom|fw</t>
  </si>
  <si>
    <t>whom</t>
  </si>
  <si>
    <t>comedian|n</t>
  </si>
  <si>
    <t>comedian</t>
  </si>
  <si>
    <t>comedian, comedians, comedienne, comediennes</t>
  </si>
  <si>
    <t>compliment|n</t>
  </si>
  <si>
    <t>compliment</t>
  </si>
  <si>
    <t>compliment, compliments</t>
  </si>
  <si>
    <t>fork|n</t>
  </si>
  <si>
    <t>fork</t>
  </si>
  <si>
    <t>fork, forks</t>
  </si>
  <si>
    <t>guarantee|v</t>
  </si>
  <si>
    <t>guarantee</t>
  </si>
  <si>
    <t>guarantee, guaranteed, guaranteeing, guarantees</t>
  </si>
  <si>
    <t>magician|n</t>
  </si>
  <si>
    <t>magician</t>
  </si>
  <si>
    <t>magician, magicians</t>
  </si>
  <si>
    <t>murderer|n</t>
  </si>
  <si>
    <t>murderer</t>
  </si>
  <si>
    <t>murderer, murderers</t>
  </si>
  <si>
    <t>occur|v</t>
  </si>
  <si>
    <t>occur</t>
  </si>
  <si>
    <t>occur, occurred, occurring, occurs</t>
  </si>
  <si>
    <t>pork|n</t>
  </si>
  <si>
    <t>pork</t>
  </si>
  <si>
    <t>soccer|n</t>
  </si>
  <si>
    <t>soccer</t>
  </si>
  <si>
    <t>wave|n</t>
  </si>
  <si>
    <t>wave, waves</t>
  </si>
  <si>
    <t>access|n</t>
  </si>
  <si>
    <t>access</t>
  </si>
  <si>
    <t>access, accesses</t>
  </si>
  <si>
    <t>actress|n</t>
  </si>
  <si>
    <t>actress</t>
  </si>
  <si>
    <t>actress, actresses</t>
  </si>
  <si>
    <t>backup|n</t>
  </si>
  <si>
    <t>backup</t>
  </si>
  <si>
    <t>backup, backups</t>
  </si>
  <si>
    <t>bam|u</t>
  </si>
  <si>
    <t>bam</t>
  </si>
  <si>
    <t>behave|v</t>
  </si>
  <si>
    <t>behave</t>
  </si>
  <si>
    <t>behave, behaved, behaves, behaving</t>
  </si>
  <si>
    <t>encourage|v</t>
  </si>
  <si>
    <t>encourage</t>
  </si>
  <si>
    <t>encourage, encouraged, encourages, encouraging</t>
  </si>
  <si>
    <t>estate|n</t>
  </si>
  <si>
    <t>estate</t>
  </si>
  <si>
    <t>estate, estates</t>
  </si>
  <si>
    <t>fellow|n</t>
  </si>
  <si>
    <t>fellow, fellows</t>
  </si>
  <si>
    <t>flirt|v</t>
  </si>
  <si>
    <t>flirt</t>
  </si>
  <si>
    <t>flirt, flirted, flirting, flirts</t>
  </si>
  <si>
    <t>handicap|n</t>
  </si>
  <si>
    <t>handicap</t>
  </si>
  <si>
    <t>handicap, handicaps</t>
  </si>
  <si>
    <t>hose|n</t>
  </si>
  <si>
    <t>hose</t>
  </si>
  <si>
    <t>hose, hoses</t>
  </si>
  <si>
    <t>incident|n</t>
  </si>
  <si>
    <t>incident</t>
  </si>
  <si>
    <t>incident, incidents</t>
  </si>
  <si>
    <t>lost|j</t>
  </si>
  <si>
    <t>lost</t>
  </si>
  <si>
    <t>occasion|n</t>
  </si>
  <si>
    <t>occasion</t>
  </si>
  <si>
    <t>occasion, occasions</t>
  </si>
  <si>
    <t>route|n</t>
  </si>
  <si>
    <t>route</t>
  </si>
  <si>
    <t>route, routes</t>
  </si>
  <si>
    <t>secretary|n</t>
  </si>
  <si>
    <t>secretary</t>
  </si>
  <si>
    <t>secretary, secretaries</t>
  </si>
  <si>
    <t>classy|j</t>
  </si>
  <si>
    <t>classy</t>
  </si>
  <si>
    <t>classy, classier, classiest</t>
  </si>
  <si>
    <t>confess|v</t>
  </si>
  <si>
    <t>confess</t>
  </si>
  <si>
    <t>confess, confessed, confesses, confessing</t>
  </si>
  <si>
    <t>drown|v</t>
  </si>
  <si>
    <t>drown</t>
  </si>
  <si>
    <t>drown, drowned, drowning, drowns</t>
  </si>
  <si>
    <t>duh|u</t>
  </si>
  <si>
    <t>duh</t>
  </si>
  <si>
    <t>environment|n</t>
  </si>
  <si>
    <t>environment</t>
  </si>
  <si>
    <t>environment, environments</t>
  </si>
  <si>
    <t>false|j</t>
  </si>
  <si>
    <t>false</t>
  </si>
  <si>
    <t>false, falser, falsest</t>
  </si>
  <si>
    <t>highly|r</t>
  </si>
  <si>
    <t>highly</t>
  </si>
  <si>
    <t>legend|n</t>
  </si>
  <si>
    <t>legend</t>
  </si>
  <si>
    <t>legend, legends</t>
  </si>
  <si>
    <t>production|n</t>
  </si>
  <si>
    <t>production</t>
  </si>
  <si>
    <t>production, productions</t>
  </si>
  <si>
    <t>tale|n</t>
  </si>
  <si>
    <t>tale</t>
  </si>
  <si>
    <t>tale, tales</t>
  </si>
  <si>
    <t>talented|j</t>
  </si>
  <si>
    <t>talented</t>
  </si>
  <si>
    <t>threat|n</t>
  </si>
  <si>
    <t>threat</t>
  </si>
  <si>
    <t>threat, threats</t>
  </si>
  <si>
    <t>vegetable|n</t>
  </si>
  <si>
    <t>vegetable</t>
  </si>
  <si>
    <t>vegetable, vegetables</t>
  </si>
  <si>
    <t>amen|u</t>
  </si>
  <si>
    <t>amen</t>
  </si>
  <si>
    <t>capital|n</t>
  </si>
  <si>
    <t>capital</t>
  </si>
  <si>
    <t>capital, capitals</t>
  </si>
  <si>
    <t>cruise|n</t>
  </si>
  <si>
    <t>cruise</t>
  </si>
  <si>
    <t>cruise, cruises</t>
  </si>
  <si>
    <t>experience|v</t>
  </si>
  <si>
    <t>experience, experienced, experiences, experiencing</t>
  </si>
  <si>
    <t>forth|r</t>
  </si>
  <si>
    <t>forth</t>
  </si>
  <si>
    <t>judgment|n</t>
  </si>
  <si>
    <t>judgment</t>
  </si>
  <si>
    <t>judgment, judgement, judgements, judgments</t>
  </si>
  <si>
    <t>nonsense|n</t>
  </si>
  <si>
    <t>nonsense</t>
  </si>
  <si>
    <t>offend|v</t>
  </si>
  <si>
    <t>offend</t>
  </si>
  <si>
    <t>offend, offended, offending, offends</t>
  </si>
  <si>
    <t>pepper|n</t>
  </si>
  <si>
    <t>pepper</t>
  </si>
  <si>
    <t>pepper, peppers</t>
  </si>
  <si>
    <t>phrase|n</t>
  </si>
  <si>
    <t>phrase</t>
  </si>
  <si>
    <t>phrase, phrases</t>
  </si>
  <si>
    <t>picnic|n</t>
  </si>
  <si>
    <t>picnic</t>
  </si>
  <si>
    <t>picnic, picnics</t>
  </si>
  <si>
    <t>privacy|n</t>
  </si>
  <si>
    <t>privacy</t>
  </si>
  <si>
    <t>self|n</t>
  </si>
  <si>
    <t>self</t>
  </si>
  <si>
    <t>self, selves</t>
  </si>
  <si>
    <t>shitty|j</t>
  </si>
  <si>
    <t>shitty</t>
  </si>
  <si>
    <t>shitty, shittier, shittiest</t>
  </si>
  <si>
    <t>smell|n</t>
  </si>
  <si>
    <t>smell, smells</t>
  </si>
  <si>
    <t>attach|v</t>
  </si>
  <si>
    <t>attach</t>
  </si>
  <si>
    <t>attach, attached, attaches, attaching</t>
  </si>
  <si>
    <t>billion|m</t>
  </si>
  <si>
    <t>billion</t>
  </si>
  <si>
    <t>billion, billions</t>
  </si>
  <si>
    <t>cheers|u</t>
  </si>
  <si>
    <t>cheers</t>
  </si>
  <si>
    <t>coma|n</t>
  </si>
  <si>
    <t>coma</t>
  </si>
  <si>
    <t>coma, comas</t>
  </si>
  <si>
    <t>contain|v</t>
  </si>
  <si>
    <t>contain</t>
  </si>
  <si>
    <t>contain, contained, containing, contains</t>
  </si>
  <si>
    <t>earring|n</t>
  </si>
  <si>
    <t>earring</t>
  </si>
  <si>
    <t>earring, earrings</t>
  </si>
  <si>
    <t>fascinating|j</t>
  </si>
  <si>
    <t>fascinating</t>
  </si>
  <si>
    <t>fear|v</t>
  </si>
  <si>
    <t>fear, feared, fearing, fears</t>
  </si>
  <si>
    <t>gal|n</t>
  </si>
  <si>
    <t>gal</t>
  </si>
  <si>
    <t>gal, gals</t>
  </si>
  <si>
    <t>ham|n</t>
  </si>
  <si>
    <t>ham</t>
  </si>
  <si>
    <t>ham, hams</t>
  </si>
  <si>
    <t>pronounce|v</t>
  </si>
  <si>
    <t>pronounce</t>
  </si>
  <si>
    <t>pronounce, pronounced, pronounces, pronouncing</t>
  </si>
  <si>
    <t>sample|n</t>
  </si>
  <si>
    <t>sample</t>
  </si>
  <si>
    <t>sample, samples</t>
  </si>
  <si>
    <t>victory|n</t>
  </si>
  <si>
    <t>victory</t>
  </si>
  <si>
    <t>victory, victories</t>
  </si>
  <si>
    <t>behold|u</t>
  </si>
  <si>
    <t>behold</t>
  </si>
  <si>
    <t>cereal|n</t>
  </si>
  <si>
    <t>cereal</t>
  </si>
  <si>
    <t>cereal, cereals</t>
  </si>
  <si>
    <t>concentrate|v</t>
  </si>
  <si>
    <t>concentrate</t>
  </si>
  <si>
    <t>concentrate, concentrated, concentrates, concentrating</t>
  </si>
  <si>
    <t>depressed|j</t>
  </si>
  <si>
    <t>depressed</t>
  </si>
  <si>
    <t>drama|n</t>
  </si>
  <si>
    <t>drama</t>
  </si>
  <si>
    <t>drama, dramas</t>
  </si>
  <si>
    <t>explanation|n</t>
  </si>
  <si>
    <t>explanation</t>
  </si>
  <si>
    <t>explanation, explanations</t>
  </si>
  <si>
    <t>fate|n</t>
  </si>
  <si>
    <t>fate</t>
  </si>
  <si>
    <t>fate, fates</t>
  </si>
  <si>
    <t>hallway|n</t>
  </si>
  <si>
    <t>hallway</t>
  </si>
  <si>
    <t>hallway, hallways</t>
  </si>
  <si>
    <t>ninety|m</t>
  </si>
  <si>
    <t>ninety</t>
  </si>
  <si>
    <t>ninety, nineties</t>
  </si>
  <si>
    <t>particular|j</t>
  </si>
  <si>
    <t>particular</t>
  </si>
  <si>
    <t>pleased|j</t>
  </si>
  <si>
    <t>pleased</t>
  </si>
  <si>
    <t>response|n</t>
  </si>
  <si>
    <t>response</t>
  </si>
  <si>
    <t>response, responses</t>
  </si>
  <si>
    <t>search|v</t>
  </si>
  <si>
    <t>search, searched, searches, searching</t>
  </si>
  <si>
    <t>cold|n</t>
  </si>
  <si>
    <t>cold, colds</t>
  </si>
  <si>
    <t>ground|v</t>
  </si>
  <si>
    <t>ground, grounds, grounding, grounded</t>
  </si>
  <si>
    <t>liquor|n</t>
  </si>
  <si>
    <t>liquor</t>
  </si>
  <si>
    <t>liquor, liquors</t>
  </si>
  <si>
    <t>lower|v</t>
  </si>
  <si>
    <t>lower</t>
  </si>
  <si>
    <t>lower, lowers, lowering, lowered</t>
  </si>
  <si>
    <t>miserable|j</t>
  </si>
  <si>
    <t>miserable</t>
  </si>
  <si>
    <t>miserable, miserabler, miserablest</t>
  </si>
  <si>
    <t>pin|n</t>
  </si>
  <si>
    <t>pin</t>
  </si>
  <si>
    <t>pin, pins</t>
  </si>
  <si>
    <t>purchase|v</t>
  </si>
  <si>
    <t>purchase</t>
  </si>
  <si>
    <t>purchase, purchased, purchases, purchasing</t>
  </si>
  <si>
    <t>satisfy|v</t>
  </si>
  <si>
    <t>satisfy</t>
  </si>
  <si>
    <t>satisfy, satisfied, satisfies, satisfying</t>
  </si>
  <si>
    <t>sexually|r</t>
  </si>
  <si>
    <t>sexually</t>
  </si>
  <si>
    <t>shout|v</t>
  </si>
  <si>
    <t>shout</t>
  </si>
  <si>
    <t>shout, shouted, shouting, shouts</t>
  </si>
  <si>
    <t>site|n</t>
  </si>
  <si>
    <t>site</t>
  </si>
  <si>
    <t>site, sites</t>
  </si>
  <si>
    <t>thee|fw</t>
  </si>
  <si>
    <t>thee</t>
  </si>
  <si>
    <t>tonight|n</t>
  </si>
  <si>
    <t>unit|n</t>
  </si>
  <si>
    <t>unit</t>
  </si>
  <si>
    <t>unit, units</t>
  </si>
  <si>
    <t>complaint|n</t>
  </si>
  <si>
    <t>complaint</t>
  </si>
  <si>
    <t>complaint, complaints</t>
  </si>
  <si>
    <t>condo|n</t>
  </si>
  <si>
    <t>condo</t>
  </si>
  <si>
    <t>condo, condoes, condos</t>
  </si>
  <si>
    <t>cool|v</t>
  </si>
  <si>
    <t>cool, cooled, cooling, cools</t>
  </si>
  <si>
    <t>donate|v</t>
  </si>
  <si>
    <t>donate</t>
  </si>
  <si>
    <t>donate, donated, donates, donating</t>
  </si>
  <si>
    <t>fur|n</t>
  </si>
  <si>
    <t>fur</t>
  </si>
  <si>
    <t>fur, furs</t>
  </si>
  <si>
    <t>good-looking|j</t>
  </si>
  <si>
    <t>good-looking</t>
  </si>
  <si>
    <t>gravy|n</t>
  </si>
  <si>
    <t>gravy</t>
  </si>
  <si>
    <t>gravy, gravies</t>
  </si>
  <si>
    <t>imaginary|j</t>
  </si>
  <si>
    <t>imaginary</t>
  </si>
  <si>
    <t>lemonade|n</t>
  </si>
  <si>
    <t>lemonade</t>
  </si>
  <si>
    <t>lemonade, lemonades</t>
  </si>
  <si>
    <t>muscle|n</t>
  </si>
  <si>
    <t>muscle</t>
  </si>
  <si>
    <t>muscle, muscles</t>
  </si>
  <si>
    <t>nearly|r</t>
  </si>
  <si>
    <t>nearly</t>
  </si>
  <si>
    <t>opposite|n</t>
  </si>
  <si>
    <t>opposite</t>
  </si>
  <si>
    <t>opposite, opposites</t>
  </si>
  <si>
    <t>rent|n</t>
  </si>
  <si>
    <t>rent, rents</t>
  </si>
  <si>
    <t>sweat|v</t>
  </si>
  <si>
    <t>sweat</t>
  </si>
  <si>
    <t>sweat, sweated, sweating, sweats</t>
  </si>
  <si>
    <t>tiger|n</t>
  </si>
  <si>
    <t>tiger</t>
  </si>
  <si>
    <t>tiger, tigers</t>
  </si>
  <si>
    <t>valuable|j</t>
  </si>
  <si>
    <t>valuable</t>
  </si>
  <si>
    <t>alcoholic|n</t>
  </si>
  <si>
    <t>alcoholic</t>
  </si>
  <si>
    <t>alcoholic, alcoholics</t>
  </si>
  <si>
    <t>arrest|n</t>
  </si>
  <si>
    <t>arrest, arrests</t>
  </si>
  <si>
    <t>counselor|n</t>
  </si>
  <si>
    <t>counselor</t>
  </si>
  <si>
    <t>counselor, counselors</t>
  </si>
  <si>
    <t>failure|n</t>
  </si>
  <si>
    <t>failure</t>
  </si>
  <si>
    <t>failure, failures</t>
  </si>
  <si>
    <t>farmer|n</t>
  </si>
  <si>
    <t>farmer</t>
  </si>
  <si>
    <t>farmer, farmers</t>
  </si>
  <si>
    <t>horn|n</t>
  </si>
  <si>
    <t>horn</t>
  </si>
  <si>
    <t>horn, horns</t>
  </si>
  <si>
    <t>human|n</t>
  </si>
  <si>
    <t>human, humans</t>
  </si>
  <si>
    <t>lamp|n</t>
  </si>
  <si>
    <t>lamp</t>
  </si>
  <si>
    <t>lamp, lamps</t>
  </si>
  <si>
    <t>orange|j</t>
  </si>
  <si>
    <t>orange</t>
  </si>
  <si>
    <t>peach|n</t>
  </si>
  <si>
    <t>peach</t>
  </si>
  <si>
    <t>peach, peaches</t>
  </si>
  <si>
    <t>roller|n</t>
  </si>
  <si>
    <t>roller</t>
  </si>
  <si>
    <t>roller, rollers</t>
  </si>
  <si>
    <t>staff|n</t>
  </si>
  <si>
    <t>staff</t>
  </si>
  <si>
    <t>staff, staffs, staves</t>
  </si>
  <si>
    <t>text|n</t>
  </si>
  <si>
    <t>text, texts</t>
  </si>
  <si>
    <t>thief|n</t>
  </si>
  <si>
    <t>thief</t>
  </si>
  <si>
    <t>thief, thieves</t>
  </si>
  <si>
    <t>force|n</t>
  </si>
  <si>
    <t>force, forces</t>
  </si>
  <si>
    <t>secret|j</t>
  </si>
  <si>
    <t>approve|v</t>
  </si>
  <si>
    <t>approve</t>
  </si>
  <si>
    <t>approve, approved, approves, approving</t>
  </si>
  <si>
    <t>campus|n</t>
  </si>
  <si>
    <t>campus</t>
  </si>
  <si>
    <t>campus, campuses</t>
  </si>
  <si>
    <t>coast|n</t>
  </si>
  <si>
    <t>coast</t>
  </si>
  <si>
    <t>coast, coasts</t>
  </si>
  <si>
    <t>cure|n</t>
  </si>
  <si>
    <t>cure</t>
  </si>
  <si>
    <t>cure, cures</t>
  </si>
  <si>
    <t>dinosaur|n</t>
  </si>
  <si>
    <t>dinosaur</t>
  </si>
  <si>
    <t>dinosaur, dinosaurs</t>
  </si>
  <si>
    <t>directly|r</t>
  </si>
  <si>
    <t>directly</t>
  </si>
  <si>
    <t>dry|v</t>
  </si>
  <si>
    <t>dry, dried, dries, drying</t>
  </si>
  <si>
    <t>haunt|v</t>
  </si>
  <si>
    <t>haunt</t>
  </si>
  <si>
    <t>haunt, haunted, haunting, haunts</t>
  </si>
  <si>
    <t>location|n</t>
  </si>
  <si>
    <t>location</t>
  </si>
  <si>
    <t>location, locations</t>
  </si>
  <si>
    <t>open|j</t>
  </si>
  <si>
    <t>owner|n</t>
  </si>
  <si>
    <t>owner</t>
  </si>
  <si>
    <t>owner, owners</t>
  </si>
  <si>
    <t>patch|n</t>
  </si>
  <si>
    <t>patch</t>
  </si>
  <si>
    <t>patch, patches</t>
  </si>
  <si>
    <t>treatment|n</t>
  </si>
  <si>
    <t>treatment</t>
  </si>
  <si>
    <t>treatment, treatments</t>
  </si>
  <si>
    <t>trunk|n</t>
  </si>
  <si>
    <t>trunk</t>
  </si>
  <si>
    <t>trunk, trunks</t>
  </si>
  <si>
    <t>abortion|n</t>
  </si>
  <si>
    <t>abortion</t>
  </si>
  <si>
    <t>abortion, abortions</t>
  </si>
  <si>
    <t>bark|v</t>
  </si>
  <si>
    <t>bark</t>
  </si>
  <si>
    <t>bark, barked, barking, barks</t>
  </si>
  <si>
    <t>bartender|n</t>
  </si>
  <si>
    <t>bartender</t>
  </si>
  <si>
    <t>bartender, bartenders</t>
  </si>
  <si>
    <t>brunch|n</t>
  </si>
  <si>
    <t>brunch</t>
  </si>
  <si>
    <t>brunch, brunches</t>
  </si>
  <si>
    <t>casual|j</t>
  </si>
  <si>
    <t>casual</t>
  </si>
  <si>
    <t>chaos|n</t>
  </si>
  <si>
    <t>chaos</t>
  </si>
  <si>
    <t>chief|n</t>
  </si>
  <si>
    <t>chief</t>
  </si>
  <si>
    <t>chief, chiefs</t>
  </si>
  <si>
    <t>chop|n</t>
  </si>
  <si>
    <t>chop</t>
  </si>
  <si>
    <t>chop, chops</t>
  </si>
  <si>
    <t>dust|n</t>
  </si>
  <si>
    <t>dust</t>
  </si>
  <si>
    <t>dust, dusts</t>
  </si>
  <si>
    <t>intend|v</t>
  </si>
  <si>
    <t>intend</t>
  </si>
  <si>
    <t>intend, intended, intending, intends</t>
  </si>
  <si>
    <t>lottery|n</t>
  </si>
  <si>
    <t>lottery</t>
  </si>
  <si>
    <t>lottery, lotteries</t>
  </si>
  <si>
    <t>musical|j</t>
  </si>
  <si>
    <t>musical</t>
  </si>
  <si>
    <t>opening|n</t>
  </si>
  <si>
    <t>opening</t>
  </si>
  <si>
    <t>opening, openings</t>
  </si>
  <si>
    <t>personality|n</t>
  </si>
  <si>
    <t>personality</t>
  </si>
  <si>
    <t>personality, personalities</t>
  </si>
  <si>
    <t>publish|v</t>
  </si>
  <si>
    <t>publish</t>
  </si>
  <si>
    <t>publish, published, publishes, publishing</t>
  </si>
  <si>
    <t>sausage|n</t>
  </si>
  <si>
    <t>sausage</t>
  </si>
  <si>
    <t>sausage, sausages</t>
  </si>
  <si>
    <t>spot|v</t>
  </si>
  <si>
    <t>spot, spots, spotted, spotting</t>
  </si>
  <si>
    <t>underneath|fw</t>
  </si>
  <si>
    <t>underneath</t>
  </si>
  <si>
    <t>unfair|j</t>
  </si>
  <si>
    <t>unfair</t>
  </si>
  <si>
    <t>unfair, unfairer, unfairest</t>
  </si>
  <si>
    <t>violent|j</t>
  </si>
  <si>
    <t>violent</t>
  </si>
  <si>
    <t>violent, violenter, violentest</t>
  </si>
  <si>
    <t>wizard|n</t>
  </si>
  <si>
    <t>wizard</t>
  </si>
  <si>
    <t>wizard, wizards</t>
  </si>
  <si>
    <t>aboard|r</t>
  </si>
  <si>
    <t>aboard</t>
  </si>
  <si>
    <t>argue|v</t>
  </si>
  <si>
    <t>argue</t>
  </si>
  <si>
    <t>argue, argued, argues, arguing</t>
  </si>
  <si>
    <t>attempt|v</t>
  </si>
  <si>
    <t>attempt</t>
  </si>
  <si>
    <t>attempt, attempted, attempting, attempts</t>
  </si>
  <si>
    <t>badly|r</t>
  </si>
  <si>
    <t>badly</t>
  </si>
  <si>
    <t>bush|n</t>
  </si>
  <si>
    <t>bush</t>
  </si>
  <si>
    <t>bush, bushes</t>
  </si>
  <si>
    <t>fold|v</t>
  </si>
  <si>
    <t>fold</t>
  </si>
  <si>
    <t>fold, folded, folding, folds</t>
  </si>
  <si>
    <t>footage|n</t>
  </si>
  <si>
    <t>footage</t>
  </si>
  <si>
    <t>height|n</t>
  </si>
  <si>
    <t>height</t>
  </si>
  <si>
    <t>height, heights</t>
  </si>
  <si>
    <t>labor|n</t>
  </si>
  <si>
    <t>labor</t>
  </si>
  <si>
    <t>labor, labors</t>
  </si>
  <si>
    <t>nephew|n</t>
  </si>
  <si>
    <t>nephew</t>
  </si>
  <si>
    <t>nephew, nephews</t>
  </si>
  <si>
    <t>pass|n</t>
  </si>
  <si>
    <t>pass, passes</t>
  </si>
  <si>
    <t>punk|n</t>
  </si>
  <si>
    <t>punk</t>
  </si>
  <si>
    <t>punk, punks</t>
  </si>
  <si>
    <t>reaction|n</t>
  </si>
  <si>
    <t>reaction</t>
  </si>
  <si>
    <t>reaction, reactions</t>
  </si>
  <si>
    <t>shy|j</t>
  </si>
  <si>
    <t>shy</t>
  </si>
  <si>
    <t>shy, shier, shyer, shiest, shyest</t>
  </si>
  <si>
    <t>cage|n</t>
  </si>
  <si>
    <t>cage</t>
  </si>
  <si>
    <t>cage, cages</t>
  </si>
  <si>
    <t>civil|j</t>
  </si>
  <si>
    <t>civil</t>
  </si>
  <si>
    <t>colonel|n</t>
  </si>
  <si>
    <t>colonel</t>
  </si>
  <si>
    <t>colonel, colonels</t>
  </si>
  <si>
    <t>courage|n</t>
  </si>
  <si>
    <t>courage</t>
  </si>
  <si>
    <t>cure|v</t>
  </si>
  <si>
    <t>cure, cured, cures, curing</t>
  </si>
  <si>
    <t>delightful|j</t>
  </si>
  <si>
    <t>delightful</t>
  </si>
  <si>
    <t>emotion|n</t>
  </si>
  <si>
    <t>emotion</t>
  </si>
  <si>
    <t>emotion, emotions</t>
  </si>
  <si>
    <t>expose|v</t>
  </si>
  <si>
    <t>expose</t>
  </si>
  <si>
    <t>expose, exposed, exposes, exposing</t>
  </si>
  <si>
    <t>fence|n</t>
  </si>
  <si>
    <t>fence</t>
  </si>
  <si>
    <t>fence, fences</t>
  </si>
  <si>
    <t>glue|n</t>
  </si>
  <si>
    <t>glue</t>
  </si>
  <si>
    <t>glue, glues</t>
  </si>
  <si>
    <t>noodle|n</t>
  </si>
  <si>
    <t>noodle</t>
  </si>
  <si>
    <t>noodle, noodles</t>
  </si>
  <si>
    <t>organ|n</t>
  </si>
  <si>
    <t>organ</t>
  </si>
  <si>
    <t>organ, organs</t>
  </si>
  <si>
    <t>pole|n</t>
  </si>
  <si>
    <t>pole</t>
  </si>
  <si>
    <t>pole, poles</t>
  </si>
  <si>
    <t>refrigerator|n</t>
  </si>
  <si>
    <t>refrigerator</t>
  </si>
  <si>
    <t>refrigerator, refrigerators</t>
  </si>
  <si>
    <t>skull|n</t>
  </si>
  <si>
    <t>skull</t>
  </si>
  <si>
    <t>skull, skulls</t>
  </si>
  <si>
    <t>taxi|n</t>
  </si>
  <si>
    <t>taxi</t>
  </si>
  <si>
    <t>taxi, taxies, taxis</t>
  </si>
  <si>
    <t>touch|n</t>
  </si>
  <si>
    <t>touch, touches</t>
  </si>
  <si>
    <t>airline|n</t>
  </si>
  <si>
    <t>airline</t>
  </si>
  <si>
    <t>airline, airlines</t>
  </si>
  <si>
    <t>background|n</t>
  </si>
  <si>
    <t>background</t>
  </si>
  <si>
    <t>background, backgrounds</t>
  </si>
  <si>
    <t>bravo|u</t>
  </si>
  <si>
    <t>bravo</t>
  </si>
  <si>
    <t>cheek|n</t>
  </si>
  <si>
    <t>cheek</t>
  </si>
  <si>
    <t>cheek, cheeks</t>
  </si>
  <si>
    <t>count|n</t>
  </si>
  <si>
    <t>count, counts</t>
  </si>
  <si>
    <t>expense|n</t>
  </si>
  <si>
    <t>expense</t>
  </si>
  <si>
    <t>expense, expenses</t>
  </si>
  <si>
    <t>Irish|K</t>
  </si>
  <si>
    <t>Irish</t>
  </si>
  <si>
    <t>ladder|n</t>
  </si>
  <si>
    <t>ladder</t>
  </si>
  <si>
    <t>ladder, ladders</t>
  </si>
  <si>
    <t>mug|n</t>
  </si>
  <si>
    <t>mug</t>
  </si>
  <si>
    <t>mug, mugs</t>
  </si>
  <si>
    <t>nickname|n</t>
  </si>
  <si>
    <t>nickname</t>
  </si>
  <si>
    <t>nickname, nicknames</t>
  </si>
  <si>
    <t>pea|n</t>
  </si>
  <si>
    <t>pea</t>
  </si>
  <si>
    <t>pea, peas</t>
  </si>
  <si>
    <t>principal|n</t>
  </si>
  <si>
    <t>principal</t>
  </si>
  <si>
    <t>principal, principals</t>
  </si>
  <si>
    <t>rack|n</t>
  </si>
  <si>
    <t>rack</t>
  </si>
  <si>
    <t>rack, racks</t>
  </si>
  <si>
    <t>session|n</t>
  </si>
  <si>
    <t>session</t>
  </si>
  <si>
    <t>session, sessions</t>
  </si>
  <si>
    <t>soldier|n</t>
  </si>
  <si>
    <t>soldier</t>
  </si>
  <si>
    <t>soldier, soldiers</t>
  </si>
  <si>
    <t>urine|n</t>
  </si>
  <si>
    <t>urine</t>
  </si>
  <si>
    <t>virgin|n</t>
  </si>
  <si>
    <t>virgin</t>
  </si>
  <si>
    <t>virgin, virgins</t>
  </si>
  <si>
    <t>wander|v</t>
  </si>
  <si>
    <t>wander</t>
  </si>
  <si>
    <t>wander, wandered, wandering, wanders</t>
  </si>
  <si>
    <t>bump|n</t>
  </si>
  <si>
    <t>bump, bumps</t>
  </si>
  <si>
    <t>carrot|n</t>
  </si>
  <si>
    <t>carrot</t>
  </si>
  <si>
    <t>carrot, carrots</t>
  </si>
  <si>
    <t>chili|n</t>
  </si>
  <si>
    <t>chili</t>
  </si>
  <si>
    <t>chili, chilis, chile, chiles, chilies, chilli, chillies</t>
  </si>
  <si>
    <t>circus|n</t>
  </si>
  <si>
    <t>circus</t>
  </si>
  <si>
    <t>circus, circuses</t>
  </si>
  <si>
    <t>former|j</t>
  </si>
  <si>
    <t>former</t>
  </si>
  <si>
    <t>generous|j</t>
  </si>
  <si>
    <t>generous</t>
  </si>
  <si>
    <t>gesture|n</t>
  </si>
  <si>
    <t>gesture</t>
  </si>
  <si>
    <t>gesture, gestures</t>
  </si>
  <si>
    <t>halfway|r</t>
  </si>
  <si>
    <t>halfway</t>
  </si>
  <si>
    <t>inside|j</t>
  </si>
  <si>
    <t>ninja|n</t>
  </si>
  <si>
    <t>ninja</t>
  </si>
  <si>
    <t>ninja, ninjas</t>
  </si>
  <si>
    <t>o'clock|r</t>
  </si>
  <si>
    <t>o'clock</t>
  </si>
  <si>
    <t>promise|n</t>
  </si>
  <si>
    <t>promise, promises</t>
  </si>
  <si>
    <t>prostitute|n</t>
  </si>
  <si>
    <t>prostitute</t>
  </si>
  <si>
    <t>prostitute, prostitutes</t>
  </si>
  <si>
    <t>round|r</t>
  </si>
  <si>
    <t>shelter|n</t>
  </si>
  <si>
    <t>shelter</t>
  </si>
  <si>
    <t>shelter, shelters</t>
  </si>
  <si>
    <t>sperm|n</t>
  </si>
  <si>
    <t>sperm</t>
  </si>
  <si>
    <t>sperm, sperms</t>
  </si>
  <si>
    <t>technology|n</t>
  </si>
  <si>
    <t>technology</t>
  </si>
  <si>
    <t>technology, technologies</t>
  </si>
  <si>
    <t>thanks|n</t>
  </si>
  <si>
    <t>agent|n</t>
  </si>
  <si>
    <t>agent</t>
  </si>
  <si>
    <t>agent, agents</t>
  </si>
  <si>
    <t>ability|n</t>
  </si>
  <si>
    <t>ability</t>
  </si>
  <si>
    <t>ability, abilities</t>
  </si>
  <si>
    <t>awfully|r</t>
  </si>
  <si>
    <t>awfully</t>
  </si>
  <si>
    <t>cherry|n</t>
  </si>
  <si>
    <t>cherry</t>
  </si>
  <si>
    <t>cherry, cherries</t>
  </si>
  <si>
    <t>discussion|n</t>
  </si>
  <si>
    <t>discussion</t>
  </si>
  <si>
    <t>discussion, discussions</t>
  </si>
  <si>
    <t>documentary|n</t>
  </si>
  <si>
    <t>documentary</t>
  </si>
  <si>
    <t>documentary, documentaries</t>
  </si>
  <si>
    <t>invest|v</t>
  </si>
  <si>
    <t>invest</t>
  </si>
  <si>
    <t>invest, invested, investing, invests</t>
  </si>
  <si>
    <t>jet|n</t>
  </si>
  <si>
    <t>jet</t>
  </si>
  <si>
    <t>jet, jets</t>
  </si>
  <si>
    <t>knowledge|n</t>
  </si>
  <si>
    <t>knowledge</t>
  </si>
  <si>
    <t>load|n</t>
  </si>
  <si>
    <t>load, loads</t>
  </si>
  <si>
    <t>minister|n</t>
  </si>
  <si>
    <t>minister</t>
  </si>
  <si>
    <t>minister, ministers</t>
  </si>
  <si>
    <t>motherfucker|n</t>
  </si>
  <si>
    <t>motherfucker</t>
  </si>
  <si>
    <t>motherfucker, motherfuckers</t>
  </si>
  <si>
    <t>offensive|j</t>
  </si>
  <si>
    <t>offensive</t>
  </si>
  <si>
    <t>promote|v</t>
  </si>
  <si>
    <t>promote</t>
  </si>
  <si>
    <t>promote, promoted, promotes, promoting</t>
  </si>
  <si>
    <t>retire|v</t>
  </si>
  <si>
    <t>retire</t>
  </si>
  <si>
    <t>retire, retired, retires, retiring</t>
  </si>
  <si>
    <t>singer|n</t>
  </si>
  <si>
    <t>singer</t>
  </si>
  <si>
    <t>singer, singers</t>
  </si>
  <si>
    <t>specific|j</t>
  </si>
  <si>
    <t>specific</t>
  </si>
  <si>
    <t>sudden|n</t>
  </si>
  <si>
    <t>sudden</t>
  </si>
  <si>
    <t>tuck|v</t>
  </si>
  <si>
    <t>tuck</t>
  </si>
  <si>
    <t>tuck, tucked, tucking, tucks</t>
  </si>
  <si>
    <t>sin|n</t>
  </si>
  <si>
    <t>sin</t>
  </si>
  <si>
    <t>sin, sins</t>
  </si>
  <si>
    <t>chart|n</t>
  </si>
  <si>
    <t>chart</t>
  </si>
  <si>
    <t>chart, charts</t>
  </si>
  <si>
    <t>grader|n</t>
  </si>
  <si>
    <t>grader</t>
  </si>
  <si>
    <t>grader, graders</t>
  </si>
  <si>
    <t>ant|n</t>
  </si>
  <si>
    <t>ant</t>
  </si>
  <si>
    <t>ant, ants</t>
  </si>
  <si>
    <t>bull|n</t>
  </si>
  <si>
    <t>bull</t>
  </si>
  <si>
    <t>bull, bulls</t>
  </si>
  <si>
    <t>carefully|r</t>
  </si>
  <si>
    <t>carefully</t>
  </si>
  <si>
    <t>cleaning|n</t>
  </si>
  <si>
    <t>cleaning</t>
  </si>
  <si>
    <t>cleaning, cleanings</t>
  </si>
  <si>
    <t>dork|n</t>
  </si>
  <si>
    <t>dork</t>
  </si>
  <si>
    <t>dork, dorks</t>
  </si>
  <si>
    <t>dummy|n</t>
  </si>
  <si>
    <t>dummy</t>
  </si>
  <si>
    <t>dummy, dummies</t>
  </si>
  <si>
    <t>exam|n</t>
  </si>
  <si>
    <t>exam</t>
  </si>
  <si>
    <t>exam, exams</t>
  </si>
  <si>
    <t>helicopter|n</t>
  </si>
  <si>
    <t>helicopter</t>
  </si>
  <si>
    <t>helicopter, helicopters</t>
  </si>
  <si>
    <t>moustache|n</t>
  </si>
  <si>
    <t>moustache</t>
  </si>
  <si>
    <t>moustache, moustaches</t>
  </si>
  <si>
    <t>rate|n</t>
  </si>
  <si>
    <t>rate</t>
  </si>
  <si>
    <t>rate, rates</t>
  </si>
  <si>
    <t>recall|v</t>
  </si>
  <si>
    <t>recall</t>
  </si>
  <si>
    <t>recall, recalled, recalling, recalls</t>
  </si>
  <si>
    <t>reject|v</t>
  </si>
  <si>
    <t>reject</t>
  </si>
  <si>
    <t>reject, rejected, rejecting, rejects</t>
  </si>
  <si>
    <t>ski|v</t>
  </si>
  <si>
    <t>ski</t>
  </si>
  <si>
    <t>ski, skied, skiing, skis</t>
  </si>
  <si>
    <t>spy|v</t>
  </si>
  <si>
    <t>spy</t>
  </si>
  <si>
    <t>spy, spied, spies, spying</t>
  </si>
  <si>
    <t>stress|n</t>
  </si>
  <si>
    <t>stress</t>
  </si>
  <si>
    <t>stress, stresses</t>
  </si>
  <si>
    <t>therapy|n</t>
  </si>
  <si>
    <t>therapy</t>
  </si>
  <si>
    <t>therapy, therapies</t>
  </si>
  <si>
    <t>travel|n</t>
  </si>
  <si>
    <t>travel, travels</t>
  </si>
  <si>
    <t>upper|j</t>
  </si>
  <si>
    <t>upper</t>
  </si>
  <si>
    <t>very|j</t>
  </si>
  <si>
    <t>sponge|n</t>
  </si>
  <si>
    <t>sponge</t>
  </si>
  <si>
    <t>sponge, sponges</t>
  </si>
  <si>
    <t>profit|n</t>
  </si>
  <si>
    <t>profit</t>
  </si>
  <si>
    <t>profit, profits</t>
  </si>
  <si>
    <t>assignment|n</t>
  </si>
  <si>
    <t>assignment</t>
  </si>
  <si>
    <t>assignment, assignments</t>
  </si>
  <si>
    <t>bounce|v</t>
  </si>
  <si>
    <t>bounce</t>
  </si>
  <si>
    <t>bounce, bounced, bounces, bouncing</t>
  </si>
  <si>
    <t>branch|n</t>
  </si>
  <si>
    <t>branch</t>
  </si>
  <si>
    <t>branch, branches</t>
  </si>
  <si>
    <t>CD|abbr</t>
  </si>
  <si>
    <t>CD</t>
  </si>
  <si>
    <t>CD, CDs</t>
  </si>
  <si>
    <t>daily|j</t>
  </si>
  <si>
    <t>daily</t>
  </si>
  <si>
    <t>dice|n</t>
  </si>
  <si>
    <t>dice</t>
  </si>
  <si>
    <t>dice, dices</t>
  </si>
  <si>
    <t>dignity|n</t>
  </si>
  <si>
    <t>dignity</t>
  </si>
  <si>
    <t>dignity, dignities</t>
  </si>
  <si>
    <t>entirely|r</t>
  </si>
  <si>
    <t>entirely</t>
  </si>
  <si>
    <t>flatter|v</t>
  </si>
  <si>
    <t>flatter</t>
  </si>
  <si>
    <t>flatter, flatters, flattered, flattering</t>
  </si>
  <si>
    <t>form|v</t>
  </si>
  <si>
    <t>form, formed, forming, forms</t>
  </si>
  <si>
    <t>fraud|n</t>
  </si>
  <si>
    <t>fraud</t>
  </si>
  <si>
    <t>fraud, frauds</t>
  </si>
  <si>
    <t>offer|n</t>
  </si>
  <si>
    <t>offer, offers</t>
  </si>
  <si>
    <t>pit|n</t>
  </si>
  <si>
    <t>pit</t>
  </si>
  <si>
    <t>pit, pits</t>
  </si>
  <si>
    <t>slow|r</t>
  </si>
  <si>
    <t>status|n</t>
  </si>
  <si>
    <t>status</t>
  </si>
  <si>
    <t>status, statuses</t>
  </si>
  <si>
    <t>stroke|n</t>
  </si>
  <si>
    <t>stroke</t>
  </si>
  <si>
    <t>stroke, strokes</t>
  </si>
  <si>
    <t>terrify|v</t>
  </si>
  <si>
    <t>terrify</t>
  </si>
  <si>
    <t>terrify, terrified, terrifies, terrifying</t>
  </si>
  <si>
    <t>thirty-five|m</t>
  </si>
  <si>
    <t>thirty-five</t>
  </si>
  <si>
    <t>yogurt|n</t>
  </si>
  <si>
    <t>yogurt</t>
  </si>
  <si>
    <t>yogurt, yoghourt, yoghourts, yoghurt, yoghurts, yogurts</t>
  </si>
  <si>
    <t>random|j</t>
  </si>
  <si>
    <t>random</t>
  </si>
  <si>
    <t>blond|j</t>
  </si>
  <si>
    <t>blond</t>
  </si>
  <si>
    <t>blond, blonde, blonder, blondest</t>
  </si>
  <si>
    <t>cube|n</t>
  </si>
  <si>
    <t>cube</t>
  </si>
  <si>
    <t>cube, cubes</t>
  </si>
  <si>
    <t>alley|n</t>
  </si>
  <si>
    <t>alley</t>
  </si>
  <si>
    <t>alley, alleys</t>
  </si>
  <si>
    <t>arrange|v</t>
  </si>
  <si>
    <t>arrange</t>
  </si>
  <si>
    <t>arrange, arranged, arranges, arranging</t>
  </si>
  <si>
    <t>coupon|n</t>
  </si>
  <si>
    <t>coupon</t>
  </si>
  <si>
    <t>coupon, coupons</t>
  </si>
  <si>
    <t>ditch|v</t>
  </si>
  <si>
    <t>ditch</t>
  </si>
  <si>
    <t>ditch, ditched, ditches, ditching</t>
  </si>
  <si>
    <t>drunk|j</t>
  </si>
  <si>
    <t>drunk</t>
  </si>
  <si>
    <t>drunk, drunker, drunkest</t>
  </si>
  <si>
    <t>edge|n</t>
  </si>
  <si>
    <t>edge</t>
  </si>
  <si>
    <t>edge, edges</t>
  </si>
  <si>
    <t>gamble|v</t>
  </si>
  <si>
    <t>gamble</t>
  </si>
  <si>
    <t>gamble, gambled, gambles, gambling</t>
  </si>
  <si>
    <t>gray|j</t>
  </si>
  <si>
    <t>gray</t>
  </si>
  <si>
    <t>gray, grayer, grayest, grey, greyer, greyest</t>
  </si>
  <si>
    <t>hostage|n</t>
  </si>
  <si>
    <t>hostage</t>
  </si>
  <si>
    <t>hostage, hostages</t>
  </si>
  <si>
    <t>inform|v</t>
  </si>
  <si>
    <t>inform</t>
  </si>
  <si>
    <t>inform, informed, informing, informs</t>
  </si>
  <si>
    <t>likely|j</t>
  </si>
  <si>
    <t>likely</t>
  </si>
  <si>
    <t>likely, likelier, likeliest</t>
  </si>
  <si>
    <t>mask|n</t>
  </si>
  <si>
    <t>mask</t>
  </si>
  <si>
    <t>mask, masks</t>
  </si>
  <si>
    <t>nasty|j</t>
  </si>
  <si>
    <t>nasty</t>
  </si>
  <si>
    <t>nasty, nastier, nastiest</t>
  </si>
  <si>
    <t>Olympics|K</t>
  </si>
  <si>
    <t>Olympics</t>
  </si>
  <si>
    <t>panties|n</t>
  </si>
  <si>
    <t>panties</t>
  </si>
  <si>
    <t>priest|n</t>
  </si>
  <si>
    <t>priest</t>
  </si>
  <si>
    <t>priest, priests</t>
  </si>
  <si>
    <t>rock|j</t>
  </si>
  <si>
    <t>shine|v</t>
  </si>
  <si>
    <t>shine</t>
  </si>
  <si>
    <t>shine, shined, shines, shining, shone</t>
  </si>
  <si>
    <t>shower|v</t>
  </si>
  <si>
    <t>shower, showered, showering, showers</t>
  </si>
  <si>
    <t>left|r</t>
  </si>
  <si>
    <t>capable|j</t>
  </si>
  <si>
    <t>capable</t>
  </si>
  <si>
    <t>corporation|n</t>
  </si>
  <si>
    <t>corporation</t>
  </si>
  <si>
    <t>corporation, corporations</t>
  </si>
  <si>
    <t>delete|v</t>
  </si>
  <si>
    <t>delete</t>
  </si>
  <si>
    <t>delete, deleted, deletes, deleting</t>
  </si>
  <si>
    <t>dental|j</t>
  </si>
  <si>
    <t>dental</t>
  </si>
  <si>
    <t>engagement|n</t>
  </si>
  <si>
    <t>engagement</t>
  </si>
  <si>
    <t>engagement, engagements</t>
  </si>
  <si>
    <t>entitle|v</t>
  </si>
  <si>
    <t>entitle</t>
  </si>
  <si>
    <t>entitle, entitled, entitles, entitling</t>
  </si>
  <si>
    <t>howdy|u</t>
  </si>
  <si>
    <t>howdy</t>
  </si>
  <si>
    <t>ironic|j</t>
  </si>
  <si>
    <t>ironic</t>
  </si>
  <si>
    <t>movement|n</t>
  </si>
  <si>
    <t>movement</t>
  </si>
  <si>
    <t>movement, movements</t>
  </si>
  <si>
    <t>piano|n</t>
  </si>
  <si>
    <t>piano</t>
  </si>
  <si>
    <t>piano, pianos</t>
  </si>
  <si>
    <t>scooter|n</t>
  </si>
  <si>
    <t>scooter</t>
  </si>
  <si>
    <t>scooter, scooters</t>
  </si>
  <si>
    <t>silver|n</t>
  </si>
  <si>
    <t>silver</t>
  </si>
  <si>
    <t>silver, silvers</t>
  </si>
  <si>
    <t>slightly|r</t>
  </si>
  <si>
    <t>slightly</t>
  </si>
  <si>
    <t>sort|v</t>
  </si>
  <si>
    <t>sort, sorted, sorting, sorts</t>
  </si>
  <si>
    <t>tragic|j</t>
  </si>
  <si>
    <t>tragic</t>
  </si>
  <si>
    <t>underpants|n</t>
  </si>
  <si>
    <t>underpants</t>
  </si>
  <si>
    <t>cabinet|n</t>
  </si>
  <si>
    <t>cabinet</t>
  </si>
  <si>
    <t>cabinet, cabinets</t>
  </si>
  <si>
    <t>debt|n</t>
  </si>
  <si>
    <t>debt</t>
  </si>
  <si>
    <t>debt, debts</t>
  </si>
  <si>
    <t>global|j</t>
  </si>
  <si>
    <t>global</t>
  </si>
  <si>
    <t>hereby|r</t>
  </si>
  <si>
    <t>hereby</t>
  </si>
  <si>
    <t>kindergarten|n</t>
  </si>
  <si>
    <t>kindergarten</t>
  </si>
  <si>
    <t>kindergarten, kindergartens</t>
  </si>
  <si>
    <t>mustard|n</t>
  </si>
  <si>
    <t>mustard</t>
  </si>
  <si>
    <t>old-fashioned|j</t>
  </si>
  <si>
    <t>old-fashioned</t>
  </si>
  <si>
    <t>procedure|n</t>
  </si>
  <si>
    <t>procedure</t>
  </si>
  <si>
    <t>procedure, procedures</t>
  </si>
  <si>
    <t>progress|n</t>
  </si>
  <si>
    <t>progress</t>
  </si>
  <si>
    <t>progress, progresses</t>
  </si>
  <si>
    <t>scale|n</t>
  </si>
  <si>
    <t>scale</t>
  </si>
  <si>
    <t>scale, scales</t>
  </si>
  <si>
    <t>select|v</t>
  </si>
  <si>
    <t>select</t>
  </si>
  <si>
    <t>select, selected, selecting, selects</t>
  </si>
  <si>
    <t>rib|n</t>
  </si>
  <si>
    <t>rib</t>
  </si>
  <si>
    <t>rib, ribs</t>
  </si>
  <si>
    <t>armed|j</t>
  </si>
  <si>
    <t>armed</t>
  </si>
  <si>
    <t>astronaut|n</t>
  </si>
  <si>
    <t>astronaut</t>
  </si>
  <si>
    <t>astronaut, astronauts</t>
  </si>
  <si>
    <t>backyard|n</t>
  </si>
  <si>
    <t>backyard</t>
  </si>
  <si>
    <t>backyard, backyards</t>
  </si>
  <si>
    <t>camp|v</t>
  </si>
  <si>
    <t>camp, camped, camping, camps</t>
  </si>
  <si>
    <t>capture|v</t>
  </si>
  <si>
    <t>capture</t>
  </si>
  <si>
    <t>capture, captured, captures, capturing</t>
  </si>
  <si>
    <t>cart|n</t>
  </si>
  <si>
    <t>cart</t>
  </si>
  <si>
    <t>cart, carts</t>
  </si>
  <si>
    <t>casino|n</t>
  </si>
  <si>
    <t>casino</t>
  </si>
  <si>
    <t>casino, casinos</t>
  </si>
  <si>
    <t>Catholic|K</t>
  </si>
  <si>
    <t>Catholic</t>
  </si>
  <si>
    <t>chop|v</t>
  </si>
  <si>
    <t>chop, chopped, chopping, chops</t>
  </si>
  <si>
    <t>cleaner|n</t>
  </si>
  <si>
    <t>cleaner</t>
  </si>
  <si>
    <t>cleaner, cleaners</t>
  </si>
  <si>
    <t>desert|n</t>
  </si>
  <si>
    <t>desert</t>
  </si>
  <si>
    <t>desert, deserts</t>
  </si>
  <si>
    <t>ex-boyfriend|n</t>
  </si>
  <si>
    <t>ex-boyfriend</t>
  </si>
  <si>
    <t>ex-boyfriend, ex-boyfriends</t>
  </si>
  <si>
    <t>executive|n</t>
  </si>
  <si>
    <t>executive</t>
  </si>
  <si>
    <t>executive, executives</t>
  </si>
  <si>
    <t>foreign|j</t>
  </si>
  <si>
    <t>foreign</t>
  </si>
  <si>
    <t>fully|r</t>
  </si>
  <si>
    <t>fully</t>
  </si>
  <si>
    <t>interview|v</t>
  </si>
  <si>
    <t>interview, interviewed, interviewing, interviews</t>
  </si>
  <si>
    <t>lean|v</t>
  </si>
  <si>
    <t>lean</t>
  </si>
  <si>
    <t>lean, leaned, leaning, leans</t>
  </si>
  <si>
    <t>louse|n</t>
  </si>
  <si>
    <t>louse</t>
  </si>
  <si>
    <t>louse, lice, louses</t>
  </si>
  <si>
    <t>march|v</t>
  </si>
  <si>
    <t>march</t>
  </si>
  <si>
    <t>march, marched, marches, marching</t>
  </si>
  <si>
    <t>novel|n</t>
  </si>
  <si>
    <t>novel</t>
  </si>
  <si>
    <t>novel, novels</t>
  </si>
  <si>
    <t>one thousand|m</t>
  </si>
  <si>
    <t>one thousand</t>
  </si>
  <si>
    <t>orange|n</t>
  </si>
  <si>
    <t>orange, oranges</t>
  </si>
  <si>
    <t>sense|v</t>
  </si>
  <si>
    <t>sense, sensed, senses, sensing</t>
  </si>
  <si>
    <t>slice|n</t>
  </si>
  <si>
    <t>slice</t>
  </si>
  <si>
    <t>slice, slices</t>
  </si>
  <si>
    <t>species|n</t>
  </si>
  <si>
    <t>species</t>
  </si>
  <si>
    <t>strip-club|n</t>
  </si>
  <si>
    <t>strip-club</t>
  </si>
  <si>
    <t>weigh|v</t>
  </si>
  <si>
    <t>weigh</t>
  </si>
  <si>
    <t>weigh, weighed, weighing, weighs</t>
  </si>
  <si>
    <t>weirdo|n</t>
  </si>
  <si>
    <t>weirdo</t>
  </si>
  <si>
    <t>weirdo, weirdos</t>
  </si>
  <si>
    <t>shadow|n</t>
  </si>
  <si>
    <t>shadow</t>
  </si>
  <si>
    <t>shadow, shadows</t>
  </si>
  <si>
    <t>accomplish|v</t>
  </si>
  <si>
    <t>accomplish</t>
  </si>
  <si>
    <t>accomplish, accomplished, accomplishes, accomplishing</t>
  </si>
  <si>
    <t>barbecue|n</t>
  </si>
  <si>
    <t>barbecue</t>
  </si>
  <si>
    <t>barbecue, barbecues, barbeque, barbeques, BBQ</t>
  </si>
  <si>
    <t>cast|v</t>
  </si>
  <si>
    <t>cast</t>
  </si>
  <si>
    <t>cast, casting, casts</t>
  </si>
  <si>
    <t>curse|n</t>
  </si>
  <si>
    <t>curse</t>
  </si>
  <si>
    <t>curse, curses</t>
  </si>
  <si>
    <t>define|v</t>
  </si>
  <si>
    <t>define</t>
  </si>
  <si>
    <t>define, defined, defines, defining</t>
  </si>
  <si>
    <t>double|v</t>
  </si>
  <si>
    <t>double, doubled, doubles, doubling</t>
  </si>
  <si>
    <t>equipment|n</t>
  </si>
  <si>
    <t>equipment</t>
  </si>
  <si>
    <t>fever|n</t>
  </si>
  <si>
    <t>fever</t>
  </si>
  <si>
    <t>fever, fevers</t>
  </si>
  <si>
    <t>front|j</t>
  </si>
  <si>
    <t>gig|n</t>
  </si>
  <si>
    <t>gig</t>
  </si>
  <si>
    <t>gig, gigs</t>
  </si>
  <si>
    <t>harassment|n</t>
  </si>
  <si>
    <t>harassment</t>
  </si>
  <si>
    <t>harassment, harassments</t>
  </si>
  <si>
    <t>intelligent|j</t>
  </si>
  <si>
    <t>intelligent</t>
  </si>
  <si>
    <t>karate|n</t>
  </si>
  <si>
    <t>karate</t>
  </si>
  <si>
    <t>manner|n</t>
  </si>
  <si>
    <t>manner</t>
  </si>
  <si>
    <t>manner, manners</t>
  </si>
  <si>
    <t>marijuana|n</t>
  </si>
  <si>
    <t>marijuana</t>
  </si>
  <si>
    <t>marijuana, marihuana</t>
  </si>
  <si>
    <t>operate|v</t>
  </si>
  <si>
    <t>operate</t>
  </si>
  <si>
    <t>operate, operated, operates, operating</t>
  </si>
  <si>
    <t>post|v</t>
  </si>
  <si>
    <t>post</t>
  </si>
  <si>
    <t>post, posted, posting, posts</t>
  </si>
  <si>
    <t>quest|n</t>
  </si>
  <si>
    <t>quest</t>
  </si>
  <si>
    <t>quest, quests</t>
  </si>
  <si>
    <t>raise|n</t>
  </si>
  <si>
    <t>raise, raises</t>
  </si>
  <si>
    <t>raisin|n</t>
  </si>
  <si>
    <t>raisin</t>
  </si>
  <si>
    <t>raisin, raisins</t>
  </si>
  <si>
    <t>record|v</t>
  </si>
  <si>
    <t>record, recorded, recording, records</t>
  </si>
  <si>
    <t>religious|j</t>
  </si>
  <si>
    <t>religious</t>
  </si>
  <si>
    <t>skinny|j</t>
  </si>
  <si>
    <t>skinny</t>
  </si>
  <si>
    <t>skinny, skinnier, skinniest</t>
  </si>
  <si>
    <t>slide|n</t>
  </si>
  <si>
    <t>slide, slides</t>
  </si>
  <si>
    <t>stinky|j</t>
  </si>
  <si>
    <t>stinky</t>
  </si>
  <si>
    <t>stinky, stinkier, stinkiest</t>
  </si>
  <si>
    <t>sushi|n</t>
  </si>
  <si>
    <t>sushi</t>
  </si>
  <si>
    <t>thy|fw</t>
  </si>
  <si>
    <t>thy</t>
  </si>
  <si>
    <t>thy, thine</t>
  </si>
  <si>
    <t>whew|u</t>
  </si>
  <si>
    <t>whew</t>
  </si>
  <si>
    <t>adult|j</t>
  </si>
  <si>
    <t>allergic|j</t>
  </si>
  <si>
    <t>allergic</t>
  </si>
  <si>
    <t>appearance|n</t>
  </si>
  <si>
    <t>appearance</t>
  </si>
  <si>
    <t>appearance, appearances</t>
  </si>
  <si>
    <t>cave|n</t>
  </si>
  <si>
    <t>cave</t>
  </si>
  <si>
    <t>cave, caves</t>
  </si>
  <si>
    <t>drunken|j</t>
  </si>
  <si>
    <t>drunken</t>
  </si>
  <si>
    <t>fireman|n</t>
  </si>
  <si>
    <t>fireman</t>
  </si>
  <si>
    <t>fireman, firemen</t>
  </si>
  <si>
    <t>frame|n</t>
  </si>
  <si>
    <t>frame</t>
  </si>
  <si>
    <t>frame, frames</t>
  </si>
  <si>
    <t>graduate|v</t>
  </si>
  <si>
    <t>graduate</t>
  </si>
  <si>
    <t>graduate, graduated, graduates, graduating</t>
  </si>
  <si>
    <t>hammer|n</t>
  </si>
  <si>
    <t>hammer</t>
  </si>
  <si>
    <t>hammer, hammers</t>
  </si>
  <si>
    <t>naughty|j</t>
  </si>
  <si>
    <t>naughty</t>
  </si>
  <si>
    <t>naughty, naughtier, naughtiest</t>
  </si>
  <si>
    <t>nine hundred|m</t>
  </si>
  <si>
    <t>nine hundred</t>
  </si>
  <si>
    <t>salary|n</t>
  </si>
  <si>
    <t>salary</t>
  </si>
  <si>
    <t>salary, salaries</t>
  </si>
  <si>
    <t>signature|n</t>
  </si>
  <si>
    <t>signature</t>
  </si>
  <si>
    <t>signature, signatures</t>
  </si>
  <si>
    <t>slap|n</t>
  </si>
  <si>
    <t>slap, slaps</t>
  </si>
  <si>
    <t>special|n</t>
  </si>
  <si>
    <t>special, specials</t>
  </si>
  <si>
    <t>bowl|v</t>
  </si>
  <si>
    <t>bowl, bowled, bowling, bowls</t>
  </si>
  <si>
    <t>border|n</t>
  </si>
  <si>
    <t>border</t>
  </si>
  <si>
    <t>border, borders</t>
  </si>
  <si>
    <t>afterwards|r</t>
  </si>
  <si>
    <t>afterwards</t>
  </si>
  <si>
    <t>curtain|n</t>
  </si>
  <si>
    <t>curtain</t>
  </si>
  <si>
    <t>curtain, curtains</t>
  </si>
  <si>
    <t>defeat|v</t>
  </si>
  <si>
    <t>defeat</t>
  </si>
  <si>
    <t>defeat, defeated, defeating, defeats</t>
  </si>
  <si>
    <t>desire|n</t>
  </si>
  <si>
    <t>desire</t>
  </si>
  <si>
    <t>desire, desires</t>
  </si>
  <si>
    <t>ex-wife|n</t>
  </si>
  <si>
    <t>ex-wife</t>
  </si>
  <si>
    <t>ex-wife, ex-wives</t>
  </si>
  <si>
    <t>firework|n</t>
  </si>
  <si>
    <t>firework</t>
  </si>
  <si>
    <t>firework, fireworks</t>
  </si>
  <si>
    <t>habit|n</t>
  </si>
  <si>
    <t>habit</t>
  </si>
  <si>
    <t>habit, habits</t>
  </si>
  <si>
    <t>lane|n</t>
  </si>
  <si>
    <t>lane</t>
  </si>
  <si>
    <t>lane, lanes</t>
  </si>
  <si>
    <t>late|r</t>
  </si>
  <si>
    <t>management|n</t>
  </si>
  <si>
    <t>management</t>
  </si>
  <si>
    <t>management, managements</t>
  </si>
  <si>
    <t>mighty|j</t>
  </si>
  <si>
    <t>mighty</t>
  </si>
  <si>
    <t>mighty, mightier, mightiest</t>
  </si>
  <si>
    <t>Muslim|K</t>
  </si>
  <si>
    <t>Muslim</t>
  </si>
  <si>
    <t>Muslim, Muslims</t>
  </si>
  <si>
    <t>nanny|n</t>
  </si>
  <si>
    <t>nanny</t>
  </si>
  <si>
    <t>nanny, nannies</t>
  </si>
  <si>
    <t>nicely|r</t>
  </si>
  <si>
    <t>nicely</t>
  </si>
  <si>
    <t>polite|j</t>
  </si>
  <si>
    <t>polite</t>
  </si>
  <si>
    <t>polite, politer, politest</t>
  </si>
  <si>
    <t>political|j</t>
  </si>
  <si>
    <t>political</t>
  </si>
  <si>
    <t>political, politically</t>
  </si>
  <si>
    <t>rage|n</t>
  </si>
  <si>
    <t>rage</t>
  </si>
  <si>
    <t>rage, rages</t>
  </si>
  <si>
    <t>rainbow|n</t>
  </si>
  <si>
    <t>rainbow</t>
  </si>
  <si>
    <t>rainbow, rainbows</t>
  </si>
  <si>
    <t>smelly|j</t>
  </si>
  <si>
    <t>smelly</t>
  </si>
  <si>
    <t>smelly, smellier, smelliest</t>
  </si>
  <si>
    <t>tissue|n</t>
  </si>
  <si>
    <t>tissue</t>
  </si>
  <si>
    <t>tissue, tissues</t>
  </si>
  <si>
    <t>triangle|n</t>
  </si>
  <si>
    <t>triangle</t>
  </si>
  <si>
    <t>triangle, triangles</t>
  </si>
  <si>
    <t>useless|j</t>
  </si>
  <si>
    <t>useless</t>
  </si>
  <si>
    <t>visitor|n</t>
  </si>
  <si>
    <t>visitor</t>
  </si>
  <si>
    <t>visitor, visitors</t>
  </si>
  <si>
    <t>vodka|n</t>
  </si>
  <si>
    <t>vodka</t>
  </si>
  <si>
    <t>vodka, vodkas</t>
  </si>
  <si>
    <t>angle|n</t>
  </si>
  <si>
    <t>angle</t>
  </si>
  <si>
    <t>angle, angles</t>
  </si>
  <si>
    <t>anonymous|j</t>
  </si>
  <si>
    <t>anonymous</t>
  </si>
  <si>
    <t>calendar|n</t>
  </si>
  <si>
    <t>calendar</t>
  </si>
  <si>
    <t>calendar, calendars</t>
  </si>
  <si>
    <t>comic|n</t>
  </si>
  <si>
    <t>comic, comics</t>
  </si>
  <si>
    <t>dibs|n</t>
  </si>
  <si>
    <t>dibs</t>
  </si>
  <si>
    <t>dip|n</t>
  </si>
  <si>
    <t>dip</t>
  </si>
  <si>
    <t>dip, dips</t>
  </si>
  <si>
    <t>financial|j</t>
  </si>
  <si>
    <t>financial</t>
  </si>
  <si>
    <t>flat|j</t>
  </si>
  <si>
    <t>flat</t>
  </si>
  <si>
    <t>flat, flatter, flattest</t>
  </si>
  <si>
    <t>grand|n</t>
  </si>
  <si>
    <t>grand, grands</t>
  </si>
  <si>
    <t>identity|n</t>
  </si>
  <si>
    <t>identity</t>
  </si>
  <si>
    <t>identity, identities</t>
  </si>
  <si>
    <t>light|j</t>
  </si>
  <si>
    <t>light, lighter, lightest</t>
  </si>
  <si>
    <t>living|j</t>
  </si>
  <si>
    <t>living</t>
  </si>
  <si>
    <t>register|v</t>
  </si>
  <si>
    <t>register</t>
  </si>
  <si>
    <t>register, registered, registering, registers</t>
  </si>
  <si>
    <t>shocking|j</t>
  </si>
  <si>
    <t>shocking</t>
  </si>
  <si>
    <t>shopping|n</t>
  </si>
  <si>
    <t>shopping</t>
  </si>
  <si>
    <t>sixth|m</t>
  </si>
  <si>
    <t>sixth</t>
  </si>
  <si>
    <t>sixth, sixths</t>
  </si>
  <si>
    <t>spoon|n</t>
  </si>
  <si>
    <t>spoon</t>
  </si>
  <si>
    <t>spoon, spoons</t>
  </si>
  <si>
    <t>stop|n</t>
  </si>
  <si>
    <t>stop, stops</t>
  </si>
  <si>
    <t>strawberry|n</t>
  </si>
  <si>
    <t>strawberry</t>
  </si>
  <si>
    <t>strawberry, strawberries</t>
  </si>
  <si>
    <t>target|n</t>
  </si>
  <si>
    <t>target</t>
  </si>
  <si>
    <t>target, targets</t>
  </si>
  <si>
    <t>teenage|j</t>
  </si>
  <si>
    <t>teenage</t>
  </si>
  <si>
    <t>thick|j</t>
  </si>
  <si>
    <t>thick</t>
  </si>
  <si>
    <t>thick, thicker, thickest</t>
  </si>
  <si>
    <t>Web|K</t>
  </si>
  <si>
    <t>Web</t>
  </si>
  <si>
    <t>whoops|u</t>
  </si>
  <si>
    <t>whoops</t>
  </si>
  <si>
    <t>counter|n</t>
  </si>
  <si>
    <t>counter</t>
  </si>
  <si>
    <t>counter, counters</t>
  </si>
  <si>
    <t>agency|n</t>
  </si>
  <si>
    <t>agency</t>
  </si>
  <si>
    <t>agency, agencies</t>
  </si>
  <si>
    <t>carnival|n</t>
  </si>
  <si>
    <t>carnival</t>
  </si>
  <si>
    <t>carnival, carnivals</t>
  </si>
  <si>
    <t>confirm|v</t>
  </si>
  <si>
    <t>confirm</t>
  </si>
  <si>
    <t>confirm, confirmed, confirming, confirms</t>
  </si>
  <si>
    <t>corpse|n</t>
  </si>
  <si>
    <t>corpse</t>
  </si>
  <si>
    <t>corpse, corpses</t>
  </si>
  <si>
    <t>disagree|v</t>
  </si>
  <si>
    <t>disagree</t>
  </si>
  <si>
    <t>disagree, disagreed, disagreeing, disagrees</t>
  </si>
  <si>
    <t>feature|n</t>
  </si>
  <si>
    <t>feature</t>
  </si>
  <si>
    <t>feature, features</t>
  </si>
  <si>
    <t>firm|n</t>
  </si>
  <si>
    <t>firm</t>
  </si>
  <si>
    <t>firm, firms</t>
  </si>
  <si>
    <t>fit|n</t>
  </si>
  <si>
    <t>fit, fits</t>
  </si>
  <si>
    <t>hill|n</t>
  </si>
  <si>
    <t>hill</t>
  </si>
  <si>
    <t>hill, hills</t>
  </si>
  <si>
    <t>hopefully|r</t>
  </si>
  <si>
    <t>hopefully</t>
  </si>
  <si>
    <t>jam|n</t>
  </si>
  <si>
    <t>jam</t>
  </si>
  <si>
    <t>jam, jams</t>
  </si>
  <si>
    <t>lamb|n</t>
  </si>
  <si>
    <t>lamb</t>
  </si>
  <si>
    <t>lamb, lambs</t>
  </si>
  <si>
    <t>local|n</t>
  </si>
  <si>
    <t>local, locals</t>
  </si>
  <si>
    <t>log|n</t>
  </si>
  <si>
    <t>log</t>
  </si>
  <si>
    <t>log, logs</t>
  </si>
  <si>
    <t>party|v</t>
  </si>
  <si>
    <t>party, partied, parties, partying</t>
  </si>
  <si>
    <t>printer|n</t>
  </si>
  <si>
    <t>printer</t>
  </si>
  <si>
    <t>printer, printers</t>
  </si>
  <si>
    <t>sketch|n</t>
  </si>
  <si>
    <t>sketch</t>
  </si>
  <si>
    <t>sketch, sketches</t>
  </si>
  <si>
    <t>ski|n</t>
  </si>
  <si>
    <t>ski, skis</t>
  </si>
  <si>
    <t>steam|n</t>
  </si>
  <si>
    <t>steam</t>
  </si>
  <si>
    <t>steam, steams</t>
  </si>
  <si>
    <t>superhero|n</t>
  </si>
  <si>
    <t>superhero</t>
  </si>
  <si>
    <t>superhero, superheroes</t>
  </si>
  <si>
    <t>terribly|r</t>
  </si>
  <si>
    <t>terribly</t>
  </si>
  <si>
    <t>toothbrush|n</t>
  </si>
  <si>
    <t>toothbrush</t>
  </si>
  <si>
    <t>toothbrush, toothbrushes</t>
  </si>
  <si>
    <t>top|v</t>
  </si>
  <si>
    <t>top, topped, topping, tops</t>
  </si>
  <si>
    <t>council|n</t>
  </si>
  <si>
    <t>council</t>
  </si>
  <si>
    <t>council, councils</t>
  </si>
  <si>
    <t>deck|n</t>
  </si>
  <si>
    <t>deck</t>
  </si>
  <si>
    <t>deck, decks</t>
  </si>
  <si>
    <t>dragon|n</t>
  </si>
  <si>
    <t>dragon</t>
  </si>
  <si>
    <t>dragon, dragons</t>
  </si>
  <si>
    <t>election|n</t>
  </si>
  <si>
    <t>election</t>
  </si>
  <si>
    <t>election, elections</t>
  </si>
  <si>
    <t>hah|u</t>
  </si>
  <si>
    <t>hah</t>
  </si>
  <si>
    <t>lack|n</t>
  </si>
  <si>
    <t>lack</t>
  </si>
  <si>
    <t>lack, lacks</t>
  </si>
  <si>
    <t>lawsuit|n</t>
  </si>
  <si>
    <t>lawsuit</t>
  </si>
  <si>
    <t>lawsuit, lawsuits</t>
  </si>
  <si>
    <t>lecture|n</t>
  </si>
  <si>
    <t>lecture</t>
  </si>
  <si>
    <t>lecture, lectures</t>
  </si>
  <si>
    <t>mysterious|j</t>
  </si>
  <si>
    <t>mysterious</t>
  </si>
  <si>
    <t>pleasant|j</t>
  </si>
  <si>
    <t>pleasant</t>
  </si>
  <si>
    <t>pleasant, pleasanter, pleasantest</t>
  </si>
  <si>
    <t>pregnancy|n</t>
  </si>
  <si>
    <t>pregnancy</t>
  </si>
  <si>
    <t>pregnancy, pregnancies</t>
  </si>
  <si>
    <t>professional|n</t>
  </si>
  <si>
    <t>professional, professionals</t>
  </si>
  <si>
    <t>reward|n</t>
  </si>
  <si>
    <t>reward</t>
  </si>
  <si>
    <t>reward, rewards</t>
  </si>
  <si>
    <t>risk|v</t>
  </si>
  <si>
    <t>risk, risked, risking, risks</t>
  </si>
  <si>
    <t>rose|n</t>
  </si>
  <si>
    <t>rose</t>
  </si>
  <si>
    <t>rose, roses</t>
  </si>
  <si>
    <t>scientific|j</t>
  </si>
  <si>
    <t>scientific</t>
  </si>
  <si>
    <t>specifically|r</t>
  </si>
  <si>
    <t>specifically</t>
  </si>
  <si>
    <t>tune|n</t>
  </si>
  <si>
    <t>tune</t>
  </si>
  <si>
    <t>tune, tunes</t>
  </si>
  <si>
    <t>acid|n</t>
  </si>
  <si>
    <t>acid</t>
  </si>
  <si>
    <t>acid, acids</t>
  </si>
  <si>
    <t>argh|u</t>
  </si>
  <si>
    <t>argh</t>
  </si>
  <si>
    <t>candidate|n</t>
  </si>
  <si>
    <t>candidate</t>
  </si>
  <si>
    <t>candidate, candidates</t>
  </si>
  <si>
    <t>differently|r</t>
  </si>
  <si>
    <t>differently</t>
  </si>
  <si>
    <t>economy|n</t>
  </si>
  <si>
    <t>economy</t>
  </si>
  <si>
    <t>economy, economies</t>
  </si>
  <si>
    <t>eighty|m</t>
  </si>
  <si>
    <t>eighty</t>
  </si>
  <si>
    <t>eighty, eighties</t>
  </si>
  <si>
    <t>fee|n</t>
  </si>
  <si>
    <t>fee</t>
  </si>
  <si>
    <t>fee, fees</t>
  </si>
  <si>
    <t>flame|n</t>
  </si>
  <si>
    <t>flame</t>
  </si>
  <si>
    <t>flame, flames</t>
  </si>
  <si>
    <t>foundation|n</t>
  </si>
  <si>
    <t>foundation</t>
  </si>
  <si>
    <t>foundation, foundations</t>
  </si>
  <si>
    <t>joint|n</t>
  </si>
  <si>
    <t>joint</t>
  </si>
  <si>
    <t>joint, joints</t>
  </si>
  <si>
    <t>oy|u</t>
  </si>
  <si>
    <t>oy</t>
  </si>
  <si>
    <t>punishment|n</t>
  </si>
  <si>
    <t>punishment</t>
  </si>
  <si>
    <t>punishment, punishments</t>
  </si>
  <si>
    <t>rally|n</t>
  </si>
  <si>
    <t>rally</t>
  </si>
  <si>
    <t>rally, rallies</t>
  </si>
  <si>
    <t>reception|n</t>
  </si>
  <si>
    <t>reception</t>
  </si>
  <si>
    <t>reception, receptions</t>
  </si>
  <si>
    <t>request|n</t>
  </si>
  <si>
    <t>request</t>
  </si>
  <si>
    <t>request, requests</t>
  </si>
  <si>
    <t>resist|v</t>
  </si>
  <si>
    <t>resist</t>
  </si>
  <si>
    <t>resist, resisted, resisting, resists</t>
  </si>
  <si>
    <t>schedule|v</t>
  </si>
  <si>
    <t>schedule, scheduled, schedules, scheduling</t>
  </si>
  <si>
    <t>seven hundred|m</t>
  </si>
  <si>
    <t>seven hundred</t>
  </si>
  <si>
    <t>shock|n</t>
  </si>
  <si>
    <t>shock</t>
  </si>
  <si>
    <t>shock, shocks</t>
  </si>
  <si>
    <t>sore|j</t>
  </si>
  <si>
    <t>sore</t>
  </si>
  <si>
    <t>sore, sorer, sorest</t>
  </si>
  <si>
    <t>suspect|v</t>
  </si>
  <si>
    <t>suspect</t>
  </si>
  <si>
    <t>suspect, suspected, suspecting, suspects</t>
  </si>
  <si>
    <t>union|n</t>
  </si>
  <si>
    <t>union</t>
  </si>
  <si>
    <t>union, unions</t>
  </si>
  <si>
    <t>telephone|n</t>
  </si>
  <si>
    <t>telephone</t>
  </si>
  <si>
    <t>telephone, telephones</t>
  </si>
  <si>
    <t>extra|r</t>
  </si>
  <si>
    <t>accuse|v</t>
  </si>
  <si>
    <t>accuse</t>
  </si>
  <si>
    <t>accuse, accused, accuses, accusing</t>
  </si>
  <si>
    <t>ape|n</t>
  </si>
  <si>
    <t>ape</t>
  </si>
  <si>
    <t>ape, apes</t>
  </si>
  <si>
    <t>badge|n</t>
  </si>
  <si>
    <t>badge</t>
  </si>
  <si>
    <t>badge, badges</t>
  </si>
  <si>
    <t>barn|n</t>
  </si>
  <si>
    <t>barn</t>
  </si>
  <si>
    <t>barn, barns</t>
  </si>
  <si>
    <t>buck|n</t>
  </si>
  <si>
    <t>buck</t>
  </si>
  <si>
    <t>buck, bucks</t>
  </si>
  <si>
    <t>catch|n</t>
  </si>
  <si>
    <t>catch, catches</t>
  </si>
  <si>
    <t>divide|v</t>
  </si>
  <si>
    <t>divide</t>
  </si>
  <si>
    <t>divide, divided, divides, dividing</t>
  </si>
  <si>
    <t>eternity|n</t>
  </si>
  <si>
    <t>eternity</t>
  </si>
  <si>
    <t>eternity, eternities</t>
  </si>
  <si>
    <t>hopeless|j</t>
  </si>
  <si>
    <t>hopeless</t>
  </si>
  <si>
    <t>intervention|n</t>
  </si>
  <si>
    <t>intervention</t>
  </si>
  <si>
    <t>intervention, interventions</t>
  </si>
  <si>
    <t>jam|v</t>
  </si>
  <si>
    <t>jam, jammed, jamming, jams</t>
  </si>
  <si>
    <t>knock|u</t>
  </si>
  <si>
    <t>mattress|n</t>
  </si>
  <si>
    <t>mattress</t>
  </si>
  <si>
    <t>mattress, mattresses</t>
  </si>
  <si>
    <t>millionaire|n</t>
  </si>
  <si>
    <t>millionaire</t>
  </si>
  <si>
    <t>millionaire, millionaires, millionnaire, millionnaires</t>
  </si>
  <si>
    <t>observe|v</t>
  </si>
  <si>
    <t>observe</t>
  </si>
  <si>
    <t>observe, observed, observes, observing</t>
  </si>
  <si>
    <t>react|v</t>
  </si>
  <si>
    <t>react</t>
  </si>
  <si>
    <t>react, reacted, reacting, reacts</t>
  </si>
  <si>
    <t>speaker|n</t>
  </si>
  <si>
    <t>speaker</t>
  </si>
  <si>
    <t>speaker, speakers</t>
  </si>
  <si>
    <t>spicy|j</t>
  </si>
  <si>
    <t>spicy</t>
  </si>
  <si>
    <t>spicy, spicier, spiciest</t>
  </si>
  <si>
    <t>stadium|n</t>
  </si>
  <si>
    <t>stadium</t>
  </si>
  <si>
    <t>stadium, stadia, stadiums</t>
  </si>
  <si>
    <t>standard|n</t>
  </si>
  <si>
    <t>standard</t>
  </si>
  <si>
    <t>standard, standards</t>
  </si>
  <si>
    <t>syndrome|n</t>
  </si>
  <si>
    <t>syndrome</t>
  </si>
  <si>
    <t>syndrome, syndromes</t>
  </si>
  <si>
    <t>unhappy|j</t>
  </si>
  <si>
    <t>unhappy</t>
  </si>
  <si>
    <t>unhappy, unhappier, unhappiest</t>
  </si>
  <si>
    <t>vow|n</t>
  </si>
  <si>
    <t>vow</t>
  </si>
  <si>
    <t>vow, vows</t>
  </si>
  <si>
    <t>will|n</t>
  </si>
  <si>
    <t>will, wills</t>
  </si>
  <si>
    <t>youth|n</t>
  </si>
  <si>
    <t>youth</t>
  </si>
  <si>
    <t>youth, youths</t>
  </si>
  <si>
    <t>admire|v</t>
  </si>
  <si>
    <t>admire</t>
  </si>
  <si>
    <t>admire, admired, admires, admiring</t>
  </si>
  <si>
    <t>ambulance|n</t>
  </si>
  <si>
    <t>ambulance</t>
  </si>
  <si>
    <t>ambulance, ambulances</t>
  </si>
  <si>
    <t>bonus|n</t>
  </si>
  <si>
    <t>bonus</t>
  </si>
  <si>
    <t>bonus, bonuses</t>
  </si>
  <si>
    <t>commission|n</t>
  </si>
  <si>
    <t>commission</t>
  </si>
  <si>
    <t>commission, commissions</t>
  </si>
  <si>
    <t>crotch|n</t>
  </si>
  <si>
    <t>crotch</t>
  </si>
  <si>
    <t>crotch, crotches</t>
  </si>
  <si>
    <t>deer|n</t>
  </si>
  <si>
    <t>deer</t>
  </si>
  <si>
    <t>deer, deers</t>
  </si>
  <si>
    <t>fountain|n</t>
  </si>
  <si>
    <t>fountain</t>
  </si>
  <si>
    <t>fountain, fountains</t>
  </si>
  <si>
    <t>grease|n</t>
  </si>
  <si>
    <t>grease</t>
  </si>
  <si>
    <t>grease, greases</t>
  </si>
  <si>
    <t>immigrant|n</t>
  </si>
  <si>
    <t>immigrant</t>
  </si>
  <si>
    <t>immigrant, immigrants</t>
  </si>
  <si>
    <t>injury|n</t>
  </si>
  <si>
    <t>injury</t>
  </si>
  <si>
    <t>injury, injuries</t>
  </si>
  <si>
    <t>intense|j</t>
  </si>
  <si>
    <t>intense</t>
  </si>
  <si>
    <t>intense, intenser, intensest</t>
  </si>
  <si>
    <t>journal|n</t>
  </si>
  <si>
    <t>journal</t>
  </si>
  <si>
    <t>journal, journals</t>
  </si>
  <si>
    <t>launch|v</t>
  </si>
  <si>
    <t>launch</t>
  </si>
  <si>
    <t>launch, launched, launches, launching</t>
  </si>
  <si>
    <t>medal|n</t>
  </si>
  <si>
    <t>medal</t>
  </si>
  <si>
    <t>medal, medals</t>
  </si>
  <si>
    <t>mile|n</t>
  </si>
  <si>
    <t>mile</t>
  </si>
  <si>
    <t>mile, miles</t>
  </si>
  <si>
    <t>plant|v</t>
  </si>
  <si>
    <t>plant, planted, planting, plants</t>
  </si>
  <si>
    <t>rescue|v</t>
  </si>
  <si>
    <t>rescue</t>
  </si>
  <si>
    <t>rescue, rescued, rescues, rescuing</t>
  </si>
  <si>
    <t>semester|n</t>
  </si>
  <si>
    <t>semester</t>
  </si>
  <si>
    <t>semester, semesters</t>
  </si>
  <si>
    <t>tire|n</t>
  </si>
  <si>
    <t>tire</t>
  </si>
  <si>
    <t>tire, tires</t>
  </si>
  <si>
    <t>worship|v</t>
  </si>
  <si>
    <t>worship</t>
  </si>
  <si>
    <t>worship, worshiped, worshiping, worships</t>
  </si>
  <si>
    <t>seed|n</t>
  </si>
  <si>
    <t>seed</t>
  </si>
  <si>
    <t>seed, seeds</t>
  </si>
  <si>
    <t>dot|n</t>
  </si>
  <si>
    <t>dot</t>
  </si>
  <si>
    <t>dot, dots</t>
  </si>
  <si>
    <t>a.m.|abbr</t>
  </si>
  <si>
    <t>a.m.</t>
  </si>
  <si>
    <t>a.m., am, AM, A.M.</t>
  </si>
  <si>
    <t>alert|n</t>
  </si>
  <si>
    <t>alert</t>
  </si>
  <si>
    <t>alert, alerts</t>
  </si>
  <si>
    <t>confident|j</t>
  </si>
  <si>
    <t>confident</t>
  </si>
  <si>
    <t>currently|r</t>
  </si>
  <si>
    <t>currently</t>
  </si>
  <si>
    <t>disco|n</t>
  </si>
  <si>
    <t>disco</t>
  </si>
  <si>
    <t>disco, discos</t>
  </si>
  <si>
    <t>escape|n</t>
  </si>
  <si>
    <t>escape, escapes</t>
  </si>
  <si>
    <t>film|v</t>
  </si>
  <si>
    <t>film, filmed, filming, films</t>
  </si>
  <si>
    <t>found|v</t>
  </si>
  <si>
    <t>found</t>
  </si>
  <si>
    <t>found, founds, founding, founded</t>
  </si>
  <si>
    <t>frustrate|v</t>
  </si>
  <si>
    <t>frustrate</t>
  </si>
  <si>
    <t>frustrate, frustrated, frustrates, frustrating</t>
  </si>
  <si>
    <t>improve|v</t>
  </si>
  <si>
    <t>improve</t>
  </si>
  <si>
    <t>improve, improved, improves, improving</t>
  </si>
  <si>
    <t>intercourse|n</t>
  </si>
  <si>
    <t>intercourse</t>
  </si>
  <si>
    <t>intercourse, intercourses</t>
  </si>
  <si>
    <t>investment|n</t>
  </si>
  <si>
    <t>investment</t>
  </si>
  <si>
    <t>investment, investments</t>
  </si>
  <si>
    <t>jelly|n</t>
  </si>
  <si>
    <t>jelly</t>
  </si>
  <si>
    <t>jelly, jellies</t>
  </si>
  <si>
    <t>loan|v</t>
  </si>
  <si>
    <t>loan</t>
  </si>
  <si>
    <t>loan, loaned, loaning, loans</t>
  </si>
  <si>
    <t>musical|n</t>
  </si>
  <si>
    <t>musical, musicals</t>
  </si>
  <si>
    <t>protest|v</t>
  </si>
  <si>
    <t>protest</t>
  </si>
  <si>
    <t>protest, protested, protesting, protests</t>
  </si>
  <si>
    <t>seal|v</t>
  </si>
  <si>
    <t>seal</t>
  </si>
  <si>
    <t>seal, sealed, sealing, seals</t>
  </si>
  <si>
    <t>shock|v</t>
  </si>
  <si>
    <t>shock, shocked, shocking, shocks</t>
  </si>
  <si>
    <t>silent|j</t>
  </si>
  <si>
    <t>silent</t>
  </si>
  <si>
    <t>silent, silenter, silentest</t>
  </si>
  <si>
    <t>temperature|n</t>
  </si>
  <si>
    <t>temperature</t>
  </si>
  <si>
    <t>temperature, temperatures</t>
  </si>
  <si>
    <t>testicle|n</t>
  </si>
  <si>
    <t>testicle</t>
  </si>
  <si>
    <t>testicle, testicles</t>
  </si>
  <si>
    <t>typical|j</t>
  </si>
  <si>
    <t>typical</t>
  </si>
  <si>
    <t>unusual|j</t>
  </si>
  <si>
    <t>unusual</t>
  </si>
  <si>
    <t>approach|v</t>
  </si>
  <si>
    <t>approach</t>
  </si>
  <si>
    <t>approach, approached, approaches, approaching</t>
  </si>
  <si>
    <t>April|K</t>
  </si>
  <si>
    <t>April</t>
  </si>
  <si>
    <t>April, Aprils</t>
  </si>
  <si>
    <t>attempt|n</t>
  </si>
  <si>
    <t>attempt, attempts</t>
  </si>
  <si>
    <t>bow|n</t>
  </si>
  <si>
    <t>bow</t>
  </si>
  <si>
    <t>bow, bows</t>
  </si>
  <si>
    <t>castle|n</t>
  </si>
  <si>
    <t>castle</t>
  </si>
  <si>
    <t>castle, castles</t>
  </si>
  <si>
    <t>dine|v</t>
  </si>
  <si>
    <t>dine</t>
  </si>
  <si>
    <t>dine, dined, dines, dining</t>
  </si>
  <si>
    <t>fiance|n</t>
  </si>
  <si>
    <t>fiance</t>
  </si>
  <si>
    <t>fiance, fiances</t>
  </si>
  <si>
    <t>goo|n</t>
  </si>
  <si>
    <t>goo</t>
  </si>
  <si>
    <t>governor|n</t>
  </si>
  <si>
    <t>governor</t>
  </si>
  <si>
    <t>governor, governors</t>
  </si>
  <si>
    <t>lotion|n</t>
  </si>
  <si>
    <t>lotion</t>
  </si>
  <si>
    <t>lotion, lotions</t>
  </si>
  <si>
    <t>measure|v</t>
  </si>
  <si>
    <t>measure</t>
  </si>
  <si>
    <t>measure, measured, measures, measuring</t>
  </si>
  <si>
    <t>modern|j</t>
  </si>
  <si>
    <t>modern</t>
  </si>
  <si>
    <t>necklace|n</t>
  </si>
  <si>
    <t>necklace</t>
  </si>
  <si>
    <t>necklace, necklaces</t>
  </si>
  <si>
    <t>nor|fw</t>
  </si>
  <si>
    <t>nor</t>
  </si>
  <si>
    <t>orgasm|n</t>
  </si>
  <si>
    <t>orgasm</t>
  </si>
  <si>
    <t>orgasm, orgasms</t>
  </si>
  <si>
    <t>poetry|n</t>
  </si>
  <si>
    <t>poetry</t>
  </si>
  <si>
    <t>reasonable|j</t>
  </si>
  <si>
    <t>reasonable</t>
  </si>
  <si>
    <t>run|n</t>
  </si>
  <si>
    <t>run, runs</t>
  </si>
  <si>
    <t>scam|n</t>
  </si>
  <si>
    <t>scam</t>
  </si>
  <si>
    <t>scam, scams</t>
  </si>
  <si>
    <t>shift|n</t>
  </si>
  <si>
    <t>shift</t>
  </si>
  <si>
    <t>shift, shifts</t>
  </si>
  <si>
    <t>sneaker|n</t>
  </si>
  <si>
    <t>sneaker</t>
  </si>
  <si>
    <t>sneaker, sneakers</t>
  </si>
  <si>
    <t>straighten|v</t>
  </si>
  <si>
    <t>straighten</t>
  </si>
  <si>
    <t>straighten, straightened, straightening, straightens</t>
  </si>
  <si>
    <t>tap|v</t>
  </si>
  <si>
    <t>tap</t>
  </si>
  <si>
    <t>tap, tapped, tapping, taps</t>
  </si>
  <si>
    <t>track|v</t>
  </si>
  <si>
    <t>track, tracked, tracking, tracks</t>
  </si>
  <si>
    <t>unlike|fw</t>
  </si>
  <si>
    <t>unlike</t>
  </si>
  <si>
    <t>bench|n</t>
  </si>
  <si>
    <t>bench</t>
  </si>
  <si>
    <t>bench, benches</t>
  </si>
  <si>
    <t>blowjob|n</t>
  </si>
  <si>
    <t>blowjob</t>
  </si>
  <si>
    <t>blowjob, blowjobs</t>
  </si>
  <si>
    <t>championship|n</t>
  </si>
  <si>
    <t>championship</t>
  </si>
  <si>
    <t>championship, championships</t>
  </si>
  <si>
    <t>Coke|K</t>
  </si>
  <si>
    <t>Coke</t>
  </si>
  <si>
    <t>darkness|n</t>
  </si>
  <si>
    <t>darkness</t>
  </si>
  <si>
    <t>darkness, darknesses</t>
  </si>
  <si>
    <t>diary|n</t>
  </si>
  <si>
    <t>diary</t>
  </si>
  <si>
    <t>diary, diaries</t>
  </si>
  <si>
    <t>figure|n</t>
  </si>
  <si>
    <t>figure, figures</t>
  </si>
  <si>
    <t>guilt|n</t>
  </si>
  <si>
    <t>guilt</t>
  </si>
  <si>
    <t>guilt, guilts</t>
  </si>
  <si>
    <t>horny|j</t>
  </si>
  <si>
    <t>horny</t>
  </si>
  <si>
    <t>horny, hornier, horniest</t>
  </si>
  <si>
    <t>intimate|j</t>
  </si>
  <si>
    <t>intimate</t>
  </si>
  <si>
    <t>laughter|n</t>
  </si>
  <si>
    <t>laughter</t>
  </si>
  <si>
    <t>lend|v</t>
  </si>
  <si>
    <t>lend</t>
  </si>
  <si>
    <t>lend, lending, lends, lent</t>
  </si>
  <si>
    <t>organization|n</t>
  </si>
  <si>
    <t>organization</t>
  </si>
  <si>
    <t>organization, organizations</t>
  </si>
  <si>
    <t>outside|n</t>
  </si>
  <si>
    <t>outside, outsides</t>
  </si>
  <si>
    <t>purple|j</t>
  </si>
  <si>
    <t>purple</t>
  </si>
  <si>
    <t>purple, purpler, purplest</t>
  </si>
  <si>
    <t>rice|n</t>
  </si>
  <si>
    <t>rice</t>
  </si>
  <si>
    <t>rice, rices</t>
  </si>
  <si>
    <t>seminar|n</t>
  </si>
  <si>
    <t>seminar</t>
  </si>
  <si>
    <t>seminar, seminars</t>
  </si>
  <si>
    <t>senior|j</t>
  </si>
  <si>
    <t>senior</t>
  </si>
  <si>
    <t>shape|v</t>
  </si>
  <si>
    <t>shape, shaped, shapes, shaping</t>
  </si>
  <si>
    <t>sheep|n</t>
  </si>
  <si>
    <t>sheep</t>
  </si>
  <si>
    <t>sweat|n</t>
  </si>
  <si>
    <t>sweat, sweats</t>
  </si>
  <si>
    <t>upside|n</t>
  </si>
  <si>
    <t>upside</t>
  </si>
  <si>
    <t>upside, upsides</t>
  </si>
  <si>
    <t>vehicle|n</t>
  </si>
  <si>
    <t>vehicle</t>
  </si>
  <si>
    <t>vehicle, vehicles</t>
  </si>
  <si>
    <t>seventy|m</t>
  </si>
  <si>
    <t>seventy</t>
  </si>
  <si>
    <t>seventy, seventies</t>
  </si>
  <si>
    <t>achieve|v</t>
  </si>
  <si>
    <t>achieve</t>
  </si>
  <si>
    <t>achieve, achieved, achieves, achieving</t>
  </si>
  <si>
    <t>addiction|n</t>
  </si>
  <si>
    <t>addiction</t>
  </si>
  <si>
    <t>addiction, addictions</t>
  </si>
  <si>
    <t>architecture|n</t>
  </si>
  <si>
    <t>architecture</t>
  </si>
  <si>
    <t>architecture, architectures</t>
  </si>
  <si>
    <t>certain|j</t>
  </si>
  <si>
    <t>demon|n</t>
  </si>
  <si>
    <t>demon</t>
  </si>
  <si>
    <t>demon, demons</t>
  </si>
  <si>
    <t>dry-cleaner|n</t>
  </si>
  <si>
    <t>dry-cleaner</t>
  </si>
  <si>
    <t>dry-cleaner, dry-cleaners</t>
  </si>
  <si>
    <t>dumbass|n</t>
  </si>
  <si>
    <t>dumbass</t>
  </si>
  <si>
    <t>dumbass, dumbasses</t>
  </si>
  <si>
    <t>freezer|n</t>
  </si>
  <si>
    <t>freezer</t>
  </si>
  <si>
    <t>freezer, freezers</t>
  </si>
  <si>
    <t>guide|n</t>
  </si>
  <si>
    <t>guide</t>
  </si>
  <si>
    <t>guide, guides</t>
  </si>
  <si>
    <t>harm|n</t>
  </si>
  <si>
    <t>harm</t>
  </si>
  <si>
    <t>harm, harms</t>
  </si>
  <si>
    <t>honk|v</t>
  </si>
  <si>
    <t>honk</t>
  </si>
  <si>
    <t>honk, honked, honking, honks</t>
  </si>
  <si>
    <t>install|v</t>
  </si>
  <si>
    <t>install</t>
  </si>
  <si>
    <t>install, installed, installing, installs</t>
  </si>
  <si>
    <t>mascot|n</t>
  </si>
  <si>
    <t>mascot</t>
  </si>
  <si>
    <t>mascot, mascots</t>
  </si>
  <si>
    <t>massive|j</t>
  </si>
  <si>
    <t>massive</t>
  </si>
  <si>
    <t>metal|n</t>
  </si>
  <si>
    <t>metal</t>
  </si>
  <si>
    <t>metal, metals</t>
  </si>
  <si>
    <t>nest|n</t>
  </si>
  <si>
    <t>nest</t>
  </si>
  <si>
    <t>nest, nests</t>
  </si>
  <si>
    <t>nineteen|m</t>
  </si>
  <si>
    <t>nineteen</t>
  </si>
  <si>
    <t>nineteen, nineteens</t>
  </si>
  <si>
    <t>possibility|n</t>
  </si>
  <si>
    <t>possibility</t>
  </si>
  <si>
    <t>possibility, possibilities</t>
  </si>
  <si>
    <t>praise|v</t>
  </si>
  <si>
    <t>praise</t>
  </si>
  <si>
    <t>praise, praised, praises, praising</t>
  </si>
  <si>
    <t>prescription|n</t>
  </si>
  <si>
    <t>prescription</t>
  </si>
  <si>
    <t>prescription, prescriptions</t>
  </si>
  <si>
    <t>produce|v</t>
  </si>
  <si>
    <t>produce</t>
  </si>
  <si>
    <t>produce, produced, produces, producing</t>
  </si>
  <si>
    <t>salmon|n</t>
  </si>
  <si>
    <t>salmon</t>
  </si>
  <si>
    <t>salmon, salmons</t>
  </si>
  <si>
    <t>surround|v</t>
  </si>
  <si>
    <t>surround</t>
  </si>
  <si>
    <t>surround, surrounded, surrounding, surrounds</t>
  </si>
  <si>
    <t>tragedy|n</t>
  </si>
  <si>
    <t>tragedy</t>
  </si>
  <si>
    <t>tragedy, tragedies</t>
  </si>
  <si>
    <t>trip|v</t>
  </si>
  <si>
    <t>trip, tripped, tripping, trips</t>
  </si>
  <si>
    <t>troll|n</t>
  </si>
  <si>
    <t>troll</t>
  </si>
  <si>
    <t>troll, trolls</t>
  </si>
  <si>
    <t>tune|v</t>
  </si>
  <si>
    <t>tune, tuned, tunes, tuning</t>
  </si>
  <si>
    <t>wagon|n</t>
  </si>
  <si>
    <t>wagon</t>
  </si>
  <si>
    <t>wagon, wagons</t>
  </si>
  <si>
    <t>whisper|v</t>
  </si>
  <si>
    <t>whisper</t>
  </si>
  <si>
    <t>whisper, whispered, whispering, whispers</t>
  </si>
  <si>
    <t>yummy|j</t>
  </si>
  <si>
    <t>yummy</t>
  </si>
  <si>
    <t>yummy, yummier, yummiest</t>
  </si>
  <si>
    <t>ban|v</t>
  </si>
  <si>
    <t>ban</t>
  </si>
  <si>
    <t>ban, banned, banning, bans</t>
  </si>
  <si>
    <t>bind|v</t>
  </si>
  <si>
    <t>bind</t>
  </si>
  <si>
    <t>bind, binding, binds, bound</t>
  </si>
  <si>
    <t>brand-new|j</t>
  </si>
  <si>
    <t>brand-new</t>
  </si>
  <si>
    <t>butterfly|n</t>
  </si>
  <si>
    <t>butterfly</t>
  </si>
  <si>
    <t>butterfly, butterflies</t>
  </si>
  <si>
    <t>cast|n</t>
  </si>
  <si>
    <t>cast, casts</t>
  </si>
  <si>
    <t>ceiling|n</t>
  </si>
  <si>
    <t>ceiling</t>
  </si>
  <si>
    <t>ceiling, ceilings</t>
  </si>
  <si>
    <t>constantly|r</t>
  </si>
  <si>
    <t>constantly</t>
  </si>
  <si>
    <t>elbow|n</t>
  </si>
  <si>
    <t>elbow</t>
  </si>
  <si>
    <t>elbow, elbows</t>
  </si>
  <si>
    <t>electricity|n</t>
  </si>
  <si>
    <t>electricity</t>
  </si>
  <si>
    <t>exchange|n</t>
  </si>
  <si>
    <t>exchange</t>
  </si>
  <si>
    <t>exchange, exchanges</t>
  </si>
  <si>
    <t>grass|n</t>
  </si>
  <si>
    <t>grass</t>
  </si>
  <si>
    <t>grass, grasses</t>
  </si>
  <si>
    <t>misunderstanding|n</t>
  </si>
  <si>
    <t>misunderstanding</t>
  </si>
  <si>
    <t>misunderstanding, misunderstandings</t>
  </si>
  <si>
    <t>reunion|n</t>
  </si>
  <si>
    <t>reunion</t>
  </si>
  <si>
    <t>reunion, reunions</t>
  </si>
  <si>
    <t>rush|n</t>
  </si>
  <si>
    <t>rush, rushes</t>
  </si>
  <si>
    <t>sacred|j</t>
  </si>
  <si>
    <t>sacred</t>
  </si>
  <si>
    <t>sergeant|n</t>
  </si>
  <si>
    <t>sergeant</t>
  </si>
  <si>
    <t>sergeant, sergeants</t>
  </si>
  <si>
    <t>solo|n</t>
  </si>
  <si>
    <t>solo</t>
  </si>
  <si>
    <t>solo, soli, solos</t>
  </si>
  <si>
    <t>syrup|n</t>
  </si>
  <si>
    <t>syrup</t>
  </si>
  <si>
    <t>syrup, syrups</t>
  </si>
  <si>
    <t>therefore|fw</t>
  </si>
  <si>
    <t>therefore</t>
  </si>
  <si>
    <t>timing|n</t>
  </si>
  <si>
    <t>timing</t>
  </si>
  <si>
    <t>timing, timings</t>
  </si>
  <si>
    <t>where|fw</t>
  </si>
  <si>
    <t>whistle|n</t>
  </si>
  <si>
    <t>whistle</t>
  </si>
  <si>
    <t>whistle, whistles</t>
  </si>
  <si>
    <t>knight|n</t>
  </si>
  <si>
    <t>knight</t>
  </si>
  <si>
    <t>knight, knights</t>
  </si>
  <si>
    <t>awful|r</t>
  </si>
  <si>
    <t>ballet|n</t>
  </si>
  <si>
    <t>ballet</t>
  </si>
  <si>
    <t>ballet, ballets</t>
  </si>
  <si>
    <t>blade|n</t>
  </si>
  <si>
    <t>blade</t>
  </si>
  <si>
    <t>blade, blades</t>
  </si>
  <si>
    <t>blast|n</t>
  </si>
  <si>
    <t>blast</t>
  </si>
  <si>
    <t>blast, blasts</t>
  </si>
  <si>
    <t>celebration|n</t>
  </si>
  <si>
    <t>celebration</t>
  </si>
  <si>
    <t>celebration, celebrations</t>
  </si>
  <si>
    <t>cheesecake|n</t>
  </si>
  <si>
    <t>cheesecake</t>
  </si>
  <si>
    <t>cheesecake, cheesecakes</t>
  </si>
  <si>
    <t>communicate|v</t>
  </si>
  <si>
    <t>communicate</t>
  </si>
  <si>
    <t>communicate, communicated, communicates, communicating</t>
  </si>
  <si>
    <t>cough|n</t>
  </si>
  <si>
    <t>cough</t>
  </si>
  <si>
    <t>cough, coughs</t>
  </si>
  <si>
    <t>cripple|v</t>
  </si>
  <si>
    <t>cripple</t>
  </si>
  <si>
    <t>cripple, crippled, cripples, crippling</t>
  </si>
  <si>
    <t>dozen|m</t>
  </si>
  <si>
    <t>dozen</t>
  </si>
  <si>
    <t>dozen, dozens</t>
  </si>
  <si>
    <t>fall|n</t>
  </si>
  <si>
    <t>fall, falls</t>
  </si>
  <si>
    <t>following|j</t>
  </si>
  <si>
    <t>following</t>
  </si>
  <si>
    <t>goddamn|u</t>
  </si>
  <si>
    <t>goddamn</t>
  </si>
  <si>
    <t>goddamn, goddam</t>
  </si>
  <si>
    <t>heel|n</t>
  </si>
  <si>
    <t>heel</t>
  </si>
  <si>
    <t>heel, heels</t>
  </si>
  <si>
    <t>hold|n</t>
  </si>
  <si>
    <t>hold, holds</t>
  </si>
  <si>
    <t>lad|n</t>
  </si>
  <si>
    <t>lad</t>
  </si>
  <si>
    <t>lad, lads</t>
  </si>
  <si>
    <t>noon|n</t>
  </si>
  <si>
    <t>noon</t>
  </si>
  <si>
    <t>noon, noons</t>
  </si>
  <si>
    <t>onion|n</t>
  </si>
  <si>
    <t>onion</t>
  </si>
  <si>
    <t>onion, onions</t>
  </si>
  <si>
    <t>pound|v</t>
  </si>
  <si>
    <t>pound, pounded, pounding, pounds</t>
  </si>
  <si>
    <t>relieve|v</t>
  </si>
  <si>
    <t>relieve</t>
  </si>
  <si>
    <t>relieve, relieved, relieves, relieving</t>
  </si>
  <si>
    <t>saving|n</t>
  </si>
  <si>
    <t>saving</t>
  </si>
  <si>
    <t>saving, savings</t>
  </si>
  <si>
    <t>scheme|n</t>
  </si>
  <si>
    <t>scheme</t>
  </si>
  <si>
    <t>scheme, schemes</t>
  </si>
  <si>
    <t>silence|n</t>
  </si>
  <si>
    <t>silence</t>
  </si>
  <si>
    <t>silence, silences</t>
  </si>
  <si>
    <t>skate|v</t>
  </si>
  <si>
    <t>skate</t>
  </si>
  <si>
    <t>skate, skated, skates, skating</t>
  </si>
  <si>
    <t>twenty-two|m</t>
  </si>
  <si>
    <t>twenty-two</t>
  </si>
  <si>
    <t>volunteer|v</t>
  </si>
  <si>
    <t>volunteer</t>
  </si>
  <si>
    <t>volunteer, volunteered, volunteering, volunteers</t>
  </si>
  <si>
    <t>application|n</t>
  </si>
  <si>
    <t>application</t>
  </si>
  <si>
    <t>application, applications</t>
  </si>
  <si>
    <t>cinnamon|n</t>
  </si>
  <si>
    <t>cinnamon</t>
  </si>
  <si>
    <t>cinnamon, cinnamons</t>
  </si>
  <si>
    <t>coconut|n</t>
  </si>
  <si>
    <t>coconut</t>
  </si>
  <si>
    <t>coconut, coconuts</t>
  </si>
  <si>
    <t>construction|n</t>
  </si>
  <si>
    <t>construction</t>
  </si>
  <si>
    <t>construction, constructions</t>
  </si>
  <si>
    <t>curse|v</t>
  </si>
  <si>
    <t>curse, cursed, curses, cursing</t>
  </si>
  <si>
    <t>Easter|K</t>
  </si>
  <si>
    <t>Easter</t>
  </si>
  <si>
    <t>Easter, Easters</t>
  </si>
  <si>
    <t>ex-girlfriend|n</t>
  </si>
  <si>
    <t>ex-girlfriend</t>
  </si>
  <si>
    <t>ex-girlfriend, ex-girlfriends</t>
  </si>
  <si>
    <t>explore|v</t>
  </si>
  <si>
    <t>explore</t>
  </si>
  <si>
    <t>explore, explored, explores, exploring</t>
  </si>
  <si>
    <t>frame|v</t>
  </si>
  <si>
    <t>frame, framed, frames, framing</t>
  </si>
  <si>
    <t>highway|n</t>
  </si>
  <si>
    <t>highway</t>
  </si>
  <si>
    <t>highway, highways</t>
  </si>
  <si>
    <t>imply|v</t>
  </si>
  <si>
    <t>imply</t>
  </si>
  <si>
    <t>imply, implied, implies, implying</t>
  </si>
  <si>
    <t>pottery|n</t>
  </si>
  <si>
    <t>pottery</t>
  </si>
  <si>
    <t>pottery, potteries</t>
  </si>
  <si>
    <t>soak|v</t>
  </si>
  <si>
    <t>soak</t>
  </si>
  <si>
    <t>soak, soaked, soaking, soaks</t>
  </si>
  <si>
    <t>sticker|n</t>
  </si>
  <si>
    <t>sticker</t>
  </si>
  <si>
    <t>sticker, stickers</t>
  </si>
  <si>
    <t>survivor|n</t>
  </si>
  <si>
    <t>survivor</t>
  </si>
  <si>
    <t>survivor, survivors</t>
  </si>
  <si>
    <t>task|n</t>
  </si>
  <si>
    <t>task</t>
  </si>
  <si>
    <t>task, tasks</t>
  </si>
  <si>
    <t>yoga|n</t>
  </si>
  <si>
    <t>yoga</t>
  </si>
  <si>
    <t>beast|n</t>
  </si>
  <si>
    <t>beast</t>
  </si>
  <si>
    <t>beast, beasts</t>
  </si>
  <si>
    <t>biology|n</t>
  </si>
  <si>
    <t>biology</t>
  </si>
  <si>
    <t>biology, biologies</t>
  </si>
  <si>
    <t>carve|v</t>
  </si>
  <si>
    <t>carve</t>
  </si>
  <si>
    <t>carve, carved, carves, carving</t>
  </si>
  <si>
    <t>destiny|n</t>
  </si>
  <si>
    <t>destiny</t>
  </si>
  <si>
    <t>destiny, destinies</t>
  </si>
  <si>
    <t>detention|n</t>
  </si>
  <si>
    <t>detention</t>
  </si>
  <si>
    <t>detention, detentions</t>
  </si>
  <si>
    <t>direct|v</t>
  </si>
  <si>
    <t>direct</t>
  </si>
  <si>
    <t>direct, directed, directing, directs</t>
  </si>
  <si>
    <t>drill|n</t>
  </si>
  <si>
    <t>drill</t>
  </si>
  <si>
    <t>drill, drills</t>
  </si>
  <si>
    <t>firm|j</t>
  </si>
  <si>
    <t>firm, firmer, firmest</t>
  </si>
  <si>
    <t>grill|v</t>
  </si>
  <si>
    <t>grill</t>
  </si>
  <si>
    <t>grill, grilled, grilling, grills</t>
  </si>
  <si>
    <t>potential|j</t>
  </si>
  <si>
    <t>potential</t>
  </si>
  <si>
    <t>rehearsal|n</t>
  </si>
  <si>
    <t>rehearsal</t>
  </si>
  <si>
    <t>rehearsal, rehearsals</t>
  </si>
  <si>
    <t>related|j</t>
  </si>
  <si>
    <t>related</t>
  </si>
  <si>
    <t>ribbon|n</t>
  </si>
  <si>
    <t>ribbon</t>
  </si>
  <si>
    <t>ribbon, ribbons</t>
  </si>
  <si>
    <t>spaghetti|n</t>
  </si>
  <si>
    <t>spaghetti</t>
  </si>
  <si>
    <t>stress|v</t>
  </si>
  <si>
    <t>stress, stressed, stresses, stressing</t>
  </si>
  <si>
    <t>stuffing|n</t>
  </si>
  <si>
    <t>stuffing</t>
  </si>
  <si>
    <t>stuffing, stuffings</t>
  </si>
  <si>
    <t>surely|r</t>
  </si>
  <si>
    <t>surely</t>
  </si>
  <si>
    <t>twenty-three|m</t>
  </si>
  <si>
    <t>twenty-three</t>
  </si>
  <si>
    <t>drum|n</t>
  </si>
  <si>
    <t>drum</t>
  </si>
  <si>
    <t>drum, drums</t>
  </si>
  <si>
    <t>accountant|n</t>
  </si>
  <si>
    <t>accountant</t>
  </si>
  <si>
    <t>accountant, accountants</t>
  </si>
  <si>
    <t>chill|v</t>
  </si>
  <si>
    <t>chill</t>
  </si>
  <si>
    <t>chill, chilled, chilling, chills</t>
  </si>
  <si>
    <t>coaster|n</t>
  </si>
  <si>
    <t>coaster</t>
  </si>
  <si>
    <t>coaster, coasters</t>
  </si>
  <si>
    <t>conditioner|n</t>
  </si>
  <si>
    <t>conditioner</t>
  </si>
  <si>
    <t>conditioner, conditioners</t>
  </si>
  <si>
    <t>cone|n</t>
  </si>
  <si>
    <t>cone</t>
  </si>
  <si>
    <t>cone, cones</t>
  </si>
  <si>
    <t>deaf|j</t>
  </si>
  <si>
    <t>deaf</t>
  </si>
  <si>
    <t>deaf, deafer, deafest</t>
  </si>
  <si>
    <t>dismiss|v</t>
  </si>
  <si>
    <t>dismiss</t>
  </si>
  <si>
    <t>dismiss, dismissed, dismisses, dismissing</t>
  </si>
  <si>
    <t>dive|v</t>
  </si>
  <si>
    <t>dive</t>
  </si>
  <si>
    <t>dive, dived, dives, diving, dove</t>
  </si>
  <si>
    <t>error|n</t>
  </si>
  <si>
    <t>error</t>
  </si>
  <si>
    <t>error, errors</t>
  </si>
  <si>
    <t>file|v</t>
  </si>
  <si>
    <t>file, filed, files, filing</t>
  </si>
  <si>
    <t>fly|n</t>
  </si>
  <si>
    <t>fly, flies</t>
  </si>
  <si>
    <t>hers|fw</t>
  </si>
  <si>
    <t>hers</t>
  </si>
  <si>
    <t>jewelry|n</t>
  </si>
  <si>
    <t>jewelry</t>
  </si>
  <si>
    <t>jewelry, jewelries</t>
  </si>
  <si>
    <t>mercy|n</t>
  </si>
  <si>
    <t>mercy</t>
  </si>
  <si>
    <t>mercy, mercies</t>
  </si>
  <si>
    <t>naturally|r</t>
  </si>
  <si>
    <t>naturally</t>
  </si>
  <si>
    <t>nickel|n</t>
  </si>
  <si>
    <t>nickel</t>
  </si>
  <si>
    <t>nickel, nickels</t>
  </si>
  <si>
    <t>object|n</t>
  </si>
  <si>
    <t>object</t>
  </si>
  <si>
    <t>object, objects</t>
  </si>
  <si>
    <t>scissors|n</t>
  </si>
  <si>
    <t>scissors</t>
  </si>
  <si>
    <t>secretly|r</t>
  </si>
  <si>
    <t>secretly</t>
  </si>
  <si>
    <t>smack|v</t>
  </si>
  <si>
    <t>smack</t>
  </si>
  <si>
    <t>smack, smacked, smacking, smacks</t>
  </si>
  <si>
    <t>supportive|j</t>
  </si>
  <si>
    <t>supportive</t>
  </si>
  <si>
    <t>suspect|n</t>
  </si>
  <si>
    <t>suspect, suspects</t>
  </si>
  <si>
    <t>tick|v</t>
  </si>
  <si>
    <t>tick</t>
  </si>
  <si>
    <t>tick, ticked, ticking, ticks</t>
  </si>
  <si>
    <t>waffle|n</t>
  </si>
  <si>
    <t>waffle</t>
  </si>
  <si>
    <t>waffle, waffles</t>
  </si>
  <si>
    <t>way|r</t>
  </si>
  <si>
    <t>wicked|j</t>
  </si>
  <si>
    <t>wicked</t>
  </si>
  <si>
    <t>wicked, wickeder, wickedest</t>
  </si>
  <si>
    <t>wisdom|n</t>
  </si>
  <si>
    <t>wisdom</t>
  </si>
  <si>
    <t>wisdom, wisdoms</t>
  </si>
  <si>
    <t>woo|u</t>
  </si>
  <si>
    <t>woo</t>
  </si>
  <si>
    <t>essay|n</t>
  </si>
  <si>
    <t>essay</t>
  </si>
  <si>
    <t>essay, essays</t>
  </si>
  <si>
    <t>land|n</t>
  </si>
  <si>
    <t>land, lands</t>
  </si>
  <si>
    <t>audition|v</t>
  </si>
  <si>
    <t>audition, auditioned, auditioning, auditions</t>
  </si>
  <si>
    <t>butler|n</t>
  </si>
  <si>
    <t>butler</t>
  </si>
  <si>
    <t>butler, butlers</t>
  </si>
  <si>
    <t>cash|v</t>
  </si>
  <si>
    <t>cash, cashed, cashes, cashing</t>
  </si>
  <si>
    <t>deadly|j</t>
  </si>
  <si>
    <t>deadly</t>
  </si>
  <si>
    <t>delicate|j</t>
  </si>
  <si>
    <t>delicate</t>
  </si>
  <si>
    <t>document|n</t>
  </si>
  <si>
    <t>document</t>
  </si>
  <si>
    <t>document, documents</t>
  </si>
  <si>
    <t>emotionally|r</t>
  </si>
  <si>
    <t>emotionally</t>
  </si>
  <si>
    <t>establish|v</t>
  </si>
  <si>
    <t>establish</t>
  </si>
  <si>
    <t>establish, established, establishes, establishing</t>
  </si>
  <si>
    <t>flute|n</t>
  </si>
  <si>
    <t>flute</t>
  </si>
  <si>
    <t>flute, flutes</t>
  </si>
  <si>
    <t>gorilla|n</t>
  </si>
  <si>
    <t>gorilla</t>
  </si>
  <si>
    <t>gorilla, gorillas</t>
  </si>
  <si>
    <t>groom|n</t>
  </si>
  <si>
    <t>groom</t>
  </si>
  <si>
    <t>groom, grooms</t>
  </si>
  <si>
    <t>horror|n</t>
  </si>
  <si>
    <t>horror</t>
  </si>
  <si>
    <t>horror, horrors</t>
  </si>
  <si>
    <t>humanity|n</t>
  </si>
  <si>
    <t>humanity</t>
  </si>
  <si>
    <t>humanity, humanities</t>
  </si>
  <si>
    <t>maker|n</t>
  </si>
  <si>
    <t>maker</t>
  </si>
  <si>
    <t>maker, makers</t>
  </si>
  <si>
    <t>martini|n</t>
  </si>
  <si>
    <t>martini</t>
  </si>
  <si>
    <t>martini, martinis</t>
  </si>
  <si>
    <t>mud|n</t>
  </si>
  <si>
    <t>mud</t>
  </si>
  <si>
    <t>mud, muds</t>
  </si>
  <si>
    <t>needy|j</t>
  </si>
  <si>
    <t>needy</t>
  </si>
  <si>
    <t>needy, needier, neediest</t>
  </si>
  <si>
    <t>psychic|n</t>
  </si>
  <si>
    <t>psychic</t>
  </si>
  <si>
    <t>psychic, psychics</t>
  </si>
  <si>
    <t>reduce|v</t>
  </si>
  <si>
    <t>reduce</t>
  </si>
  <si>
    <t>reduce, reduced, reduces, reducing</t>
  </si>
  <si>
    <t>retarded|j</t>
  </si>
  <si>
    <t>retarded</t>
  </si>
  <si>
    <t>return|n</t>
  </si>
  <si>
    <t>return, returns</t>
  </si>
  <si>
    <t>rod|n</t>
  </si>
  <si>
    <t>rod</t>
  </si>
  <si>
    <t>rod, rods</t>
  </si>
  <si>
    <t>rubber|n</t>
  </si>
  <si>
    <t>rubber</t>
  </si>
  <si>
    <t>rubber, rubbers</t>
  </si>
  <si>
    <t>rug|n</t>
  </si>
  <si>
    <t>rug</t>
  </si>
  <si>
    <t>rug, rugs</t>
  </si>
  <si>
    <t>steer|v</t>
  </si>
  <si>
    <t>steer</t>
  </si>
  <si>
    <t>steer, steered, steering, steers</t>
  </si>
  <si>
    <t>symbol|n</t>
  </si>
  <si>
    <t>symbol</t>
  </si>
  <si>
    <t>symbol, symbols</t>
  </si>
  <si>
    <t>testify|v</t>
  </si>
  <si>
    <t>testify</t>
  </si>
  <si>
    <t>testify, testified, testifies, testifying</t>
  </si>
  <si>
    <t>thirsty|j</t>
  </si>
  <si>
    <t>thirsty</t>
  </si>
  <si>
    <t>thirsty, thirstier, thirstiest</t>
  </si>
  <si>
    <t>traditional|j</t>
  </si>
  <si>
    <t>traditional</t>
  </si>
  <si>
    <t>try|n</t>
  </si>
  <si>
    <t>try, tries</t>
  </si>
  <si>
    <t>twin|j</t>
  </si>
  <si>
    <t>succeed|v</t>
  </si>
  <si>
    <t>succeed</t>
  </si>
  <si>
    <t>succeed, succeeded, succeeding, succeeds</t>
  </si>
  <si>
    <t>mob|n</t>
  </si>
  <si>
    <t>mob</t>
  </si>
  <si>
    <t>mob, mobs</t>
  </si>
  <si>
    <t>basic|j</t>
  </si>
  <si>
    <t>basic</t>
  </si>
  <si>
    <t>behalf|n</t>
  </si>
  <si>
    <t>behalf</t>
  </si>
  <si>
    <t>behalf, behalves</t>
  </si>
  <si>
    <t>booty|n</t>
  </si>
  <si>
    <t>booty</t>
  </si>
  <si>
    <t>booty, booties</t>
  </si>
  <si>
    <t>bridesmaid|n</t>
  </si>
  <si>
    <t>bridesmaid</t>
  </si>
  <si>
    <t>bridesmaid, bridesmaids</t>
  </si>
  <si>
    <t>chore|n</t>
  </si>
  <si>
    <t>chore</t>
  </si>
  <si>
    <t>chore, chores</t>
  </si>
  <si>
    <t>coin|n</t>
  </si>
  <si>
    <t>coin</t>
  </si>
  <si>
    <t>coin, coins</t>
  </si>
  <si>
    <t>correct|v</t>
  </si>
  <si>
    <t>correct, corrected, correcting, corrects</t>
  </si>
  <si>
    <t>crowded|j</t>
  </si>
  <si>
    <t>crowded</t>
  </si>
  <si>
    <t>envelope|n</t>
  </si>
  <si>
    <t>envelope</t>
  </si>
  <si>
    <t>envelope, envelopes</t>
  </si>
  <si>
    <t>exciting|j</t>
  </si>
  <si>
    <t>exciting</t>
  </si>
  <si>
    <t>greetings|u</t>
  </si>
  <si>
    <t>greetings</t>
  </si>
  <si>
    <t>living|n</t>
  </si>
  <si>
    <t>living, livings</t>
  </si>
  <si>
    <t>medication|n</t>
  </si>
  <si>
    <t>medication</t>
  </si>
  <si>
    <t>medication, medications</t>
  </si>
  <si>
    <t>necessarily|r</t>
  </si>
  <si>
    <t>necessarily</t>
  </si>
  <si>
    <t>organize|v</t>
  </si>
  <si>
    <t>organize</t>
  </si>
  <si>
    <t>organize, organized, organizes, organizing</t>
  </si>
  <si>
    <t>overreact|v</t>
  </si>
  <si>
    <t>overreact</t>
  </si>
  <si>
    <t>overreact, overreacted, overreacting, overreacts</t>
  </si>
  <si>
    <t>pageant|n</t>
  </si>
  <si>
    <t>pageant</t>
  </si>
  <si>
    <t>pageant, pageants</t>
  </si>
  <si>
    <t>press|n</t>
  </si>
  <si>
    <t>press, presses</t>
  </si>
  <si>
    <t>principle|n</t>
  </si>
  <si>
    <t>principle</t>
  </si>
  <si>
    <t>principle, principles</t>
  </si>
  <si>
    <t>rabbi|n</t>
  </si>
  <si>
    <t>rabbi</t>
  </si>
  <si>
    <t>rabbi, rabbis</t>
  </si>
  <si>
    <t>reward|v</t>
  </si>
  <si>
    <t>reward, rewarded, rewarding, rewards</t>
  </si>
  <si>
    <t>sneeze|v</t>
  </si>
  <si>
    <t>sneeze</t>
  </si>
  <si>
    <t>sneeze, sneezed, sneezes, sneezing</t>
  </si>
  <si>
    <t>tasty|j</t>
  </si>
  <si>
    <t>tasty</t>
  </si>
  <si>
    <t>tasty, tastier, tastiest</t>
  </si>
  <si>
    <t>tobacco|n</t>
  </si>
  <si>
    <t>tobacco</t>
  </si>
  <si>
    <t>tobacco, tobaccoes, tobaccos</t>
  </si>
  <si>
    <t>volunteer|n</t>
  </si>
  <si>
    <t>volunteer, volunteers</t>
  </si>
  <si>
    <t>whee|u</t>
  </si>
  <si>
    <t>whee</t>
  </si>
  <si>
    <t>facility|n</t>
  </si>
  <si>
    <t>facility</t>
  </si>
  <si>
    <t>facility, facilities</t>
  </si>
  <si>
    <t>skirt|n</t>
  </si>
  <si>
    <t>skirt</t>
  </si>
  <si>
    <t>skirt, skirts</t>
  </si>
  <si>
    <t>dedicate|v</t>
  </si>
  <si>
    <t>dedicate</t>
  </si>
  <si>
    <t>dedicate, dedicated, dedicates, dedicating</t>
  </si>
  <si>
    <t>despite|fw</t>
  </si>
  <si>
    <t>despite</t>
  </si>
  <si>
    <t>download|v</t>
  </si>
  <si>
    <t>download</t>
  </si>
  <si>
    <t>download, downloaded, downloading, downloads</t>
  </si>
  <si>
    <t>fetus|n</t>
  </si>
  <si>
    <t>fetus</t>
  </si>
  <si>
    <t>fetus, fetuses</t>
  </si>
  <si>
    <t>frighten|v</t>
  </si>
  <si>
    <t>frighten</t>
  </si>
  <si>
    <t>frighten, frightened, frightening, frightens</t>
  </si>
  <si>
    <t>grateful|j</t>
  </si>
  <si>
    <t>grateful</t>
  </si>
  <si>
    <t>gravity|n</t>
  </si>
  <si>
    <t>gravity</t>
  </si>
  <si>
    <t>gravity, gravities</t>
  </si>
  <si>
    <t>hail|v</t>
  </si>
  <si>
    <t>hail</t>
  </si>
  <si>
    <t>hail, hailed, hailing, hails</t>
  </si>
  <si>
    <t>handle|n</t>
  </si>
  <si>
    <t>handle, handles</t>
  </si>
  <si>
    <t>hay|n</t>
  </si>
  <si>
    <t>hay</t>
  </si>
  <si>
    <t>hay, hays</t>
  </si>
  <si>
    <t>hideous|j</t>
  </si>
  <si>
    <t>hideous</t>
  </si>
  <si>
    <t>hobby|n</t>
  </si>
  <si>
    <t>hobby</t>
  </si>
  <si>
    <t>hobby, hobbies</t>
  </si>
  <si>
    <t>legally|r</t>
  </si>
  <si>
    <t>legally</t>
  </si>
  <si>
    <t>lighting|n</t>
  </si>
  <si>
    <t>lighting</t>
  </si>
  <si>
    <t>lighting, lightings</t>
  </si>
  <si>
    <t>lobby|n</t>
  </si>
  <si>
    <t>lobby</t>
  </si>
  <si>
    <t>lobby, lobbies</t>
  </si>
  <si>
    <t>lung|n</t>
  </si>
  <si>
    <t>lung</t>
  </si>
  <si>
    <t>lung, lungs</t>
  </si>
  <si>
    <t>musician|n</t>
  </si>
  <si>
    <t>musician</t>
  </si>
  <si>
    <t>musician, musicians</t>
  </si>
  <si>
    <t>petty|j</t>
  </si>
  <si>
    <t>petty</t>
  </si>
  <si>
    <t>petty, pettier, pettiest</t>
  </si>
  <si>
    <t>plot|n</t>
  </si>
  <si>
    <t>plot</t>
  </si>
  <si>
    <t>plot, plots</t>
  </si>
  <si>
    <t>poison|v</t>
  </si>
  <si>
    <t>poison, poisoned, poisoning, poisons</t>
  </si>
  <si>
    <t>presence|n</t>
  </si>
  <si>
    <t>presence</t>
  </si>
  <si>
    <t>presence, presences</t>
  </si>
  <si>
    <t>promotion|n</t>
  </si>
  <si>
    <t>promotion</t>
  </si>
  <si>
    <t>promotion, promotions</t>
  </si>
  <si>
    <t>radioactive|j</t>
  </si>
  <si>
    <t>radioactive</t>
  </si>
  <si>
    <t>relief|n</t>
  </si>
  <si>
    <t>relief</t>
  </si>
  <si>
    <t>relief, reliefs</t>
  </si>
  <si>
    <t>resource|n</t>
  </si>
  <si>
    <t>resource</t>
  </si>
  <si>
    <t>resource, resources</t>
  </si>
  <si>
    <t>sailor|n</t>
  </si>
  <si>
    <t>sailor</t>
  </si>
  <si>
    <t>sailor, sailors</t>
  </si>
  <si>
    <t>sober|j</t>
  </si>
  <si>
    <t>sober</t>
  </si>
  <si>
    <t>sober, soberer, soberest</t>
  </si>
  <si>
    <t>sofa|n</t>
  </si>
  <si>
    <t>sofa</t>
  </si>
  <si>
    <t>sofa, sofas</t>
  </si>
  <si>
    <t>switch|n</t>
  </si>
  <si>
    <t>switch, switches</t>
  </si>
  <si>
    <t>tavern|n</t>
  </si>
  <si>
    <t>tavern</t>
  </si>
  <si>
    <t>tavern, taverns</t>
  </si>
  <si>
    <t>toaster|n</t>
  </si>
  <si>
    <t>toaster</t>
  </si>
  <si>
    <t>toaster, toasters</t>
  </si>
  <si>
    <t>annual|j</t>
  </si>
  <si>
    <t>annual</t>
  </si>
  <si>
    <t>bathe|v</t>
  </si>
  <si>
    <t>bathe</t>
  </si>
  <si>
    <t>bathe, bathed, bathes, bathing</t>
  </si>
  <si>
    <t>bully|v</t>
  </si>
  <si>
    <t>bully, bullied, bullies, bullying</t>
  </si>
  <si>
    <t>burrito|n</t>
  </si>
  <si>
    <t>burrito</t>
  </si>
  <si>
    <t>burrito, burritos</t>
  </si>
  <si>
    <t>catalog|n</t>
  </si>
  <si>
    <t>catalog</t>
  </si>
  <si>
    <t>catalog, catalogs, catalogue, catalogues</t>
  </si>
  <si>
    <t>cheerleader|n</t>
  </si>
  <si>
    <t>cheerleader</t>
  </si>
  <si>
    <t>cheerleader, cheerleaders</t>
  </si>
  <si>
    <t>combination|n</t>
  </si>
  <si>
    <t>combination</t>
  </si>
  <si>
    <t>combination, combinations</t>
  </si>
  <si>
    <t>combine|v</t>
  </si>
  <si>
    <t>combine</t>
  </si>
  <si>
    <t>combine, combined, combines, combining</t>
  </si>
  <si>
    <t>complete|v</t>
  </si>
  <si>
    <t>complete, completed, completes, completing</t>
  </si>
  <si>
    <t>conclusion|n</t>
  </si>
  <si>
    <t>conclusion</t>
  </si>
  <si>
    <t>conclusion, conclusions</t>
  </si>
  <si>
    <t>cotton|n</t>
  </si>
  <si>
    <t>cotton</t>
  </si>
  <si>
    <t>cotton, cottons</t>
  </si>
  <si>
    <t>crab|n</t>
  </si>
  <si>
    <t>crab</t>
  </si>
  <si>
    <t>crab, crabs</t>
  </si>
  <si>
    <t>damage|v</t>
  </si>
  <si>
    <t>damage, damaged, damages, damaging</t>
  </si>
  <si>
    <t>erase|v</t>
  </si>
  <si>
    <t>erase</t>
  </si>
  <si>
    <t>erase, erased, erases, erasing</t>
  </si>
  <si>
    <t>fairly|r</t>
  </si>
  <si>
    <t>fairly</t>
  </si>
  <si>
    <t>fund|n</t>
  </si>
  <si>
    <t>fund</t>
  </si>
  <si>
    <t>fund, funds</t>
  </si>
  <si>
    <t>hog|v</t>
  </si>
  <si>
    <t>hog</t>
  </si>
  <si>
    <t>hog, hogged, hogging, hogs</t>
  </si>
  <si>
    <t>hurricane|n</t>
  </si>
  <si>
    <t>hurricane</t>
  </si>
  <si>
    <t>hurricane, hurricanes</t>
  </si>
  <si>
    <t>July|K</t>
  </si>
  <si>
    <t>July</t>
  </si>
  <si>
    <t>July, Julys</t>
  </si>
  <si>
    <t>mansion|n</t>
  </si>
  <si>
    <t>mansion</t>
  </si>
  <si>
    <t>mansion, mansions</t>
  </si>
  <si>
    <t>motorcycle|n</t>
  </si>
  <si>
    <t>motorcycle</t>
  </si>
  <si>
    <t>motorcycle, motorcycles</t>
  </si>
  <si>
    <t>off|r</t>
  </si>
  <si>
    <t>pigeon|n</t>
  </si>
  <si>
    <t>pigeon</t>
  </si>
  <si>
    <t>pigeon, pigeons</t>
  </si>
  <si>
    <t>politics|n</t>
  </si>
  <si>
    <t>politics</t>
  </si>
  <si>
    <t>proper|j</t>
  </si>
  <si>
    <t>proper</t>
  </si>
  <si>
    <t>proper, properer, properest</t>
  </si>
  <si>
    <t>qualify|v</t>
  </si>
  <si>
    <t>qualify</t>
  </si>
  <si>
    <t>qualify, qualified, qualifies, qualifying</t>
  </si>
  <si>
    <t>receptionist|n</t>
  </si>
  <si>
    <t>receptionist</t>
  </si>
  <si>
    <t>receptionist, receptionists</t>
  </si>
  <si>
    <t>recover|v</t>
  </si>
  <si>
    <t>recover</t>
  </si>
  <si>
    <t>recover, recovered, recovering, recovers</t>
  </si>
  <si>
    <t>release|n</t>
  </si>
  <si>
    <t>release, releases</t>
  </si>
  <si>
    <t>sarcasm|n</t>
  </si>
  <si>
    <t>sarcasm</t>
  </si>
  <si>
    <t>sarcasm, sarcasms</t>
  </si>
  <si>
    <t>sheriff|n</t>
  </si>
  <si>
    <t>sheriff</t>
  </si>
  <si>
    <t>sheriff, sheriffs</t>
  </si>
  <si>
    <t>shoo|u</t>
  </si>
  <si>
    <t>shoo</t>
  </si>
  <si>
    <t>soy|n</t>
  </si>
  <si>
    <t>soy</t>
  </si>
  <si>
    <t>soy, soya</t>
  </si>
  <si>
    <t>suspicious|j</t>
  </si>
  <si>
    <t>suspicious</t>
  </si>
  <si>
    <t>sweaty|j</t>
  </si>
  <si>
    <t>sweaty</t>
  </si>
  <si>
    <t>sweaty, sweatier, sweatiest</t>
  </si>
  <si>
    <t>technique|n</t>
  </si>
  <si>
    <t>technique</t>
  </si>
  <si>
    <t>technique, techniques</t>
  </si>
  <si>
    <t>thigh|n</t>
  </si>
  <si>
    <t>thigh</t>
  </si>
  <si>
    <t>thigh, thighs</t>
  </si>
  <si>
    <t>toxic|j</t>
  </si>
  <si>
    <t>toxic</t>
  </si>
  <si>
    <t>twenty-seven|m</t>
  </si>
  <si>
    <t>twenty-seven</t>
  </si>
  <si>
    <t>uh-uh|u</t>
  </si>
  <si>
    <t>uh-uh</t>
  </si>
  <si>
    <t>vest|n</t>
  </si>
  <si>
    <t>vest</t>
  </si>
  <si>
    <t>vest, vests</t>
  </si>
  <si>
    <t>crib|n</t>
  </si>
  <si>
    <t>crib</t>
  </si>
  <si>
    <t>crib, cribs</t>
  </si>
  <si>
    <t>amusement|n</t>
  </si>
  <si>
    <t>amusement</t>
  </si>
  <si>
    <t>amusement, amusements</t>
  </si>
  <si>
    <t>average|n</t>
  </si>
  <si>
    <t>average</t>
  </si>
  <si>
    <t>average, averages</t>
  </si>
  <si>
    <t>backpack|n</t>
  </si>
  <si>
    <t>backpack</t>
  </si>
  <si>
    <t>backpack, backpacks</t>
  </si>
  <si>
    <t>balance|n</t>
  </si>
  <si>
    <t>balance</t>
  </si>
  <si>
    <t>balance, balances</t>
  </si>
  <si>
    <t>beverage|n</t>
  </si>
  <si>
    <t>beverage</t>
  </si>
  <si>
    <t>beverage, beverages</t>
  </si>
  <si>
    <t>boxer|n</t>
  </si>
  <si>
    <t>boxer</t>
  </si>
  <si>
    <t>boxer, boxers</t>
  </si>
  <si>
    <t>confession|n</t>
  </si>
  <si>
    <t>confession</t>
  </si>
  <si>
    <t>confession, confessions</t>
  </si>
  <si>
    <t>deeply|r</t>
  </si>
  <si>
    <t>deeply</t>
  </si>
  <si>
    <t>deeply, deeplier, deepliest</t>
  </si>
  <si>
    <t>fabric|n</t>
  </si>
  <si>
    <t>fabric</t>
  </si>
  <si>
    <t>fabric, fabrics</t>
  </si>
  <si>
    <t>herpes|n</t>
  </si>
  <si>
    <t>herpes</t>
  </si>
  <si>
    <t>herpes, herpeses</t>
  </si>
  <si>
    <t>hobo|n</t>
  </si>
  <si>
    <t>hobo</t>
  </si>
  <si>
    <t>hobo, hoboes, hobos</t>
  </si>
  <si>
    <t>host|v</t>
  </si>
  <si>
    <t>host, hosted, hosting, hosts</t>
  </si>
  <si>
    <t>hybrid|n</t>
  </si>
  <si>
    <t>hybrid</t>
  </si>
  <si>
    <t>hybrid, hybrids</t>
  </si>
  <si>
    <t>increase|v</t>
  </si>
  <si>
    <t>increase</t>
  </si>
  <si>
    <t>increase, increased, increases, increasing</t>
  </si>
  <si>
    <t>meth|n</t>
  </si>
  <si>
    <t>meth</t>
  </si>
  <si>
    <t>meth, meths</t>
  </si>
  <si>
    <t>prevent|v</t>
  </si>
  <si>
    <t>prevent</t>
  </si>
  <si>
    <t>prevent, prevented, preventing, prevents</t>
  </si>
  <si>
    <t>prisoner|n</t>
  </si>
  <si>
    <t>prisoner</t>
  </si>
  <si>
    <t>prisoner, prisoners</t>
  </si>
  <si>
    <t>protection|n</t>
  </si>
  <si>
    <t>protection</t>
  </si>
  <si>
    <t>protection, protections</t>
  </si>
  <si>
    <t>queer|j</t>
  </si>
  <si>
    <t>queer</t>
  </si>
  <si>
    <t>queer, queerer, queerest</t>
  </si>
  <si>
    <t>refresh|v</t>
  </si>
  <si>
    <t>refresh</t>
  </si>
  <si>
    <t>refresh, refreshed, refreshes, refreshing</t>
  </si>
  <si>
    <t>request|v</t>
  </si>
  <si>
    <t>request, requested, requesting, requests</t>
  </si>
  <si>
    <t>shush|u</t>
  </si>
  <si>
    <t>shush</t>
  </si>
  <si>
    <t>standard|j</t>
  </si>
  <si>
    <t>strap|v</t>
  </si>
  <si>
    <t>strap</t>
  </si>
  <si>
    <t>strap, strapped, strapping, straps</t>
  </si>
  <si>
    <t>tray|n</t>
  </si>
  <si>
    <t>tray</t>
  </si>
  <si>
    <t>tray, trays</t>
  </si>
  <si>
    <t>type|v</t>
  </si>
  <si>
    <t>type, typed, types, typing</t>
  </si>
  <si>
    <t>yuck|u</t>
  </si>
  <si>
    <t>yuck</t>
  </si>
  <si>
    <t>vomit|v</t>
  </si>
  <si>
    <t>vomit</t>
  </si>
  <si>
    <t>vomit, vomited, vomiting, vomits</t>
  </si>
  <si>
    <t>academy|n</t>
  </si>
  <si>
    <t>academy</t>
  </si>
  <si>
    <t>academy, academies</t>
  </si>
  <si>
    <t>anus|n</t>
  </si>
  <si>
    <t>anus</t>
  </si>
  <si>
    <t>anus, anuses</t>
  </si>
  <si>
    <t>babysitter|n</t>
  </si>
  <si>
    <t>babysitter</t>
  </si>
  <si>
    <t>babysitter, babysitters</t>
  </si>
  <si>
    <t>banner|n</t>
  </si>
  <si>
    <t>banner</t>
  </si>
  <si>
    <t>banner, banners</t>
  </si>
  <si>
    <t>beneath|fw</t>
  </si>
  <si>
    <t>beneath</t>
  </si>
  <si>
    <t>bid|v</t>
  </si>
  <si>
    <t>bid</t>
  </si>
  <si>
    <t>bid, bade, bidden, bidding, bids</t>
  </si>
  <si>
    <t>bladder|n</t>
  </si>
  <si>
    <t>bladder</t>
  </si>
  <si>
    <t>bladder, bladders</t>
  </si>
  <si>
    <t>cult|n</t>
  </si>
  <si>
    <t>cult</t>
  </si>
  <si>
    <t>cult, cults</t>
  </si>
  <si>
    <t>dealer|n</t>
  </si>
  <si>
    <t>dealer</t>
  </si>
  <si>
    <t>dealer, dealers</t>
  </si>
  <si>
    <t>flesh|n</t>
  </si>
  <si>
    <t>flesh</t>
  </si>
  <si>
    <t>flesh, fleshes</t>
  </si>
  <si>
    <t>fulfill|v</t>
  </si>
  <si>
    <t>fulfill</t>
  </si>
  <si>
    <t>fulfill, fulfilled, fulfilling, fulfills</t>
  </si>
  <si>
    <t>heck|u</t>
  </si>
  <si>
    <t>hint|n</t>
  </si>
  <si>
    <t>hint</t>
  </si>
  <si>
    <t>hint, hints</t>
  </si>
  <si>
    <t>hump|v</t>
  </si>
  <si>
    <t>hump</t>
  </si>
  <si>
    <t>hump, humped, humping, humps</t>
  </si>
  <si>
    <t>identify|v</t>
  </si>
  <si>
    <t>identify</t>
  </si>
  <si>
    <t>identify, identified, identifies, identifying</t>
  </si>
  <si>
    <t>intimidate|v</t>
  </si>
  <si>
    <t>intimidate</t>
  </si>
  <si>
    <t>intimidate, intimidated, intimidates, intimidating</t>
  </si>
  <si>
    <t>leather|n</t>
  </si>
  <si>
    <t>leather</t>
  </si>
  <si>
    <t>leather, leathers</t>
  </si>
  <si>
    <t>list|v</t>
  </si>
  <si>
    <t>list, listed, listing, lists</t>
  </si>
  <si>
    <t>madness|n</t>
  </si>
  <si>
    <t>madness</t>
  </si>
  <si>
    <t>madness, madnesses</t>
  </si>
  <si>
    <t>merely|r</t>
  </si>
  <si>
    <t>merely</t>
  </si>
  <si>
    <t>mole|n</t>
  </si>
  <si>
    <t>mole</t>
  </si>
  <si>
    <t>mole, moles</t>
  </si>
  <si>
    <t>Nazi|K</t>
  </si>
  <si>
    <t>Nazi</t>
  </si>
  <si>
    <t>Nazi, Nazis</t>
  </si>
  <si>
    <t>passionate|j</t>
  </si>
  <si>
    <t>passionate</t>
  </si>
  <si>
    <t>post|n</t>
  </si>
  <si>
    <t>post, posts</t>
  </si>
  <si>
    <t>program|v</t>
  </si>
  <si>
    <t>program, programmed, programming, programs</t>
  </si>
  <si>
    <t>rap|n</t>
  </si>
  <si>
    <t>rap</t>
  </si>
  <si>
    <t>recent|j</t>
  </si>
  <si>
    <t>recent</t>
  </si>
  <si>
    <t>recent, recenter, recentest</t>
  </si>
  <si>
    <t>satellite|n</t>
  </si>
  <si>
    <t>satellite</t>
  </si>
  <si>
    <t>satellite, satellites</t>
  </si>
  <si>
    <t>shampoo|n</t>
  </si>
  <si>
    <t>shampoo</t>
  </si>
  <si>
    <t>shampoo, shampoos</t>
  </si>
  <si>
    <t>share|n</t>
  </si>
  <si>
    <t>share, shares</t>
  </si>
  <si>
    <t>sink|n</t>
  </si>
  <si>
    <t>sink, sinks</t>
  </si>
  <si>
    <t>sleepy|j</t>
  </si>
  <si>
    <t>sleepy</t>
  </si>
  <si>
    <t>sleepy, sleepier, sleepiest</t>
  </si>
  <si>
    <t>smug|j</t>
  </si>
  <si>
    <t>smug</t>
  </si>
  <si>
    <t>smug, smugger, smuggest</t>
  </si>
  <si>
    <t>spray|v</t>
  </si>
  <si>
    <t>spray</t>
  </si>
  <si>
    <t>spray, sprayed, spraying, sprays</t>
  </si>
  <si>
    <t>straw|n</t>
  </si>
  <si>
    <t>straw</t>
  </si>
  <si>
    <t>straw, straws</t>
  </si>
  <si>
    <t>supermarket|n</t>
  </si>
  <si>
    <t>supermarket</t>
  </si>
  <si>
    <t>supermarket, supermarkets</t>
  </si>
  <si>
    <t>tend|v</t>
  </si>
  <si>
    <t>tend</t>
  </si>
  <si>
    <t>tend, tended, tending, tends</t>
  </si>
  <si>
    <t>twenty-one|m</t>
  </si>
  <si>
    <t>twenty-one</t>
  </si>
  <si>
    <t>umbrella|n</t>
  </si>
  <si>
    <t>umbrella</t>
  </si>
  <si>
    <t>umbrella, umbrellas</t>
  </si>
  <si>
    <t>wrestler|n</t>
  </si>
  <si>
    <t>wrestler</t>
  </si>
  <si>
    <t>wrestler, wrestlers</t>
  </si>
  <si>
    <t>bud|n</t>
  </si>
  <si>
    <t>bud</t>
  </si>
  <si>
    <t>bud, buds</t>
  </si>
  <si>
    <t>boner|n</t>
  </si>
  <si>
    <t>boner</t>
  </si>
  <si>
    <t>boner, boners</t>
  </si>
  <si>
    <t>riot|n</t>
  </si>
  <si>
    <t>riot</t>
  </si>
  <si>
    <t>riot, riots</t>
  </si>
  <si>
    <t>blast|v</t>
  </si>
  <si>
    <t>blast, blasted, blasting, blasts</t>
  </si>
  <si>
    <t>chess|n</t>
  </si>
  <si>
    <t>chess</t>
  </si>
  <si>
    <t>chin|n</t>
  </si>
  <si>
    <t>chin</t>
  </si>
  <si>
    <t>chin, chins</t>
  </si>
  <si>
    <t>clip|n</t>
  </si>
  <si>
    <t>clip</t>
  </si>
  <si>
    <t>clip, clips</t>
  </si>
  <si>
    <t>concept|n</t>
  </si>
  <si>
    <t>concept</t>
  </si>
  <si>
    <t>concept, concepts</t>
  </si>
  <si>
    <t>core|n</t>
  </si>
  <si>
    <t>core</t>
  </si>
  <si>
    <t>core, cores</t>
  </si>
  <si>
    <t>deed|n</t>
  </si>
  <si>
    <t>deed</t>
  </si>
  <si>
    <t>deed, deeds</t>
  </si>
  <si>
    <t>destruction|n</t>
  </si>
  <si>
    <t>destruction</t>
  </si>
  <si>
    <t>destruction, destructions</t>
  </si>
  <si>
    <t>display|n</t>
  </si>
  <si>
    <t>display</t>
  </si>
  <si>
    <t>display, displays</t>
  </si>
  <si>
    <t>DNA|abbr</t>
  </si>
  <si>
    <t>DNA</t>
  </si>
  <si>
    <t>eighth|m</t>
  </si>
  <si>
    <t>eighth</t>
  </si>
  <si>
    <t>eighth, eighths</t>
  </si>
  <si>
    <t>eliminate|v</t>
  </si>
  <si>
    <t>eliminate</t>
  </si>
  <si>
    <t>eliminate, eliminated, eliminates, eliminating</t>
  </si>
  <si>
    <t>goose|n</t>
  </si>
  <si>
    <t>goose</t>
  </si>
  <si>
    <t>goose, geese</t>
  </si>
  <si>
    <t>homosexual|n</t>
  </si>
  <si>
    <t>homosexual</t>
  </si>
  <si>
    <t>homosexual, homosexuals</t>
  </si>
  <si>
    <t>invention|n</t>
  </si>
  <si>
    <t>invention</t>
  </si>
  <si>
    <t>invention, inventions</t>
  </si>
  <si>
    <t>marathon|n</t>
  </si>
  <si>
    <t>marathon</t>
  </si>
  <si>
    <t>marathon, marathons</t>
  </si>
  <si>
    <t>meaning|n</t>
  </si>
  <si>
    <t>meaning</t>
  </si>
  <si>
    <t>meaning, meanings</t>
  </si>
  <si>
    <t>minus|fw</t>
  </si>
  <si>
    <t>minus</t>
  </si>
  <si>
    <t>minus, minuses</t>
  </si>
  <si>
    <t>ouch|u</t>
  </si>
  <si>
    <t>ouch</t>
  </si>
  <si>
    <t>paperwork|n</t>
  </si>
  <si>
    <t>paperwork</t>
  </si>
  <si>
    <t>physical|n</t>
  </si>
  <si>
    <t>physical, physicals</t>
  </si>
  <si>
    <t>pilgrim|n</t>
  </si>
  <si>
    <t>pilgrim</t>
  </si>
  <si>
    <t>pilgrim, pilgrims</t>
  </si>
  <si>
    <t>pitch|n</t>
  </si>
  <si>
    <t>pitch, pitches</t>
  </si>
  <si>
    <t>plug|v</t>
  </si>
  <si>
    <t>plug</t>
  </si>
  <si>
    <t>plug, plugged, plugging, plugs</t>
  </si>
  <si>
    <t>psst|u</t>
  </si>
  <si>
    <t>psst</t>
  </si>
  <si>
    <t>replacement|n</t>
  </si>
  <si>
    <t>replacement</t>
  </si>
  <si>
    <t>replacement, replacements</t>
  </si>
  <si>
    <t>review|v</t>
  </si>
  <si>
    <t>review, reviewed, reviewing, reviews</t>
  </si>
  <si>
    <t>surrender|v</t>
  </si>
  <si>
    <t>surrender</t>
  </si>
  <si>
    <t>surrender, surrendered, surrendering, surrenders</t>
  </si>
  <si>
    <t>towards|fw</t>
  </si>
  <si>
    <t>towards</t>
  </si>
  <si>
    <t>vacuum|n</t>
  </si>
  <si>
    <t>vacuum</t>
  </si>
  <si>
    <t>vacuum, vacua, vacuums</t>
  </si>
  <si>
    <t>ahoy|u</t>
  </si>
  <si>
    <t>ahoy</t>
  </si>
  <si>
    <t>board|v</t>
  </si>
  <si>
    <t>board, boarded, boarding, boards</t>
  </si>
  <si>
    <t>crystal|n</t>
  </si>
  <si>
    <t>crystal</t>
  </si>
  <si>
    <t>crystal, crystals</t>
  </si>
  <si>
    <t>data|n</t>
  </si>
  <si>
    <t>data</t>
  </si>
  <si>
    <t>done|j</t>
  </si>
  <si>
    <t>done</t>
  </si>
  <si>
    <t>dryer|n</t>
  </si>
  <si>
    <t>dryer</t>
  </si>
  <si>
    <t>dryer, dryers</t>
  </si>
  <si>
    <t>editor|n</t>
  </si>
  <si>
    <t>editor</t>
  </si>
  <si>
    <t>editor, editors</t>
  </si>
  <si>
    <t>evolve|v</t>
  </si>
  <si>
    <t>evolve</t>
  </si>
  <si>
    <t>evolve, evolved, evolves, evolving</t>
  </si>
  <si>
    <t>flow|n</t>
  </si>
  <si>
    <t>flow</t>
  </si>
  <si>
    <t>flow, flows</t>
  </si>
  <si>
    <t>germ|n</t>
  </si>
  <si>
    <t>germ</t>
  </si>
  <si>
    <t>germ, germs</t>
  </si>
  <si>
    <t>grace|n</t>
  </si>
  <si>
    <t>grace</t>
  </si>
  <si>
    <t>grace, graces</t>
  </si>
  <si>
    <t>harsh|j</t>
  </si>
  <si>
    <t>harsh</t>
  </si>
  <si>
    <t>harsh, harsher, harshest</t>
  </si>
  <si>
    <t>intelligence|n</t>
  </si>
  <si>
    <t>intelligence</t>
  </si>
  <si>
    <t>intelligence, intelligences</t>
  </si>
  <si>
    <t>jaw|n</t>
  </si>
  <si>
    <t>jaw</t>
  </si>
  <si>
    <t>jaw, jaws</t>
  </si>
  <si>
    <t>juicy|j</t>
  </si>
  <si>
    <t>juicy</t>
  </si>
  <si>
    <t>juicy, juicier, juiciest</t>
  </si>
  <si>
    <t>lipstick|n</t>
  </si>
  <si>
    <t>lipstick</t>
  </si>
  <si>
    <t>lipstick, lipsticks</t>
  </si>
  <si>
    <t>luckily|r</t>
  </si>
  <si>
    <t>luckily</t>
  </si>
  <si>
    <t>male|n</t>
  </si>
  <si>
    <t>male, males</t>
  </si>
  <si>
    <t>medium|j</t>
  </si>
  <si>
    <t>medium</t>
  </si>
  <si>
    <t>minority|n</t>
  </si>
  <si>
    <t>minority</t>
  </si>
  <si>
    <t>minority, minorities</t>
  </si>
  <si>
    <t>overnight|r</t>
  </si>
  <si>
    <t>overnight</t>
  </si>
  <si>
    <t>particularly|r</t>
  </si>
  <si>
    <t>particularly</t>
  </si>
  <si>
    <t>payment|n</t>
  </si>
  <si>
    <t>payment</t>
  </si>
  <si>
    <t>payment, payments</t>
  </si>
  <si>
    <t>scenario|n</t>
  </si>
  <si>
    <t>scenario</t>
  </si>
  <si>
    <t>scenario, scenarios</t>
  </si>
  <si>
    <t>scrub|v</t>
  </si>
  <si>
    <t>scrub</t>
  </si>
  <si>
    <t>scrub, scrubbed, scrubbing, scrubs</t>
  </si>
  <si>
    <t>shiny|j</t>
  </si>
  <si>
    <t>shiny</t>
  </si>
  <si>
    <t>shiny, shinier, shiniest</t>
  </si>
  <si>
    <t>thoughtful|j</t>
  </si>
  <si>
    <t>thoughtful</t>
  </si>
  <si>
    <t>tops|n</t>
  </si>
  <si>
    <t>tops</t>
  </si>
  <si>
    <t>tribe|n</t>
  </si>
  <si>
    <t>tribe</t>
  </si>
  <si>
    <t>tribe, tribes</t>
  </si>
  <si>
    <t>worthless|j</t>
  </si>
  <si>
    <t>worthless</t>
  </si>
  <si>
    <t>retirement|n</t>
  </si>
  <si>
    <t>retirement</t>
  </si>
  <si>
    <t>retirement, retirements</t>
  </si>
  <si>
    <t>righty|j</t>
  </si>
  <si>
    <t>righty</t>
  </si>
  <si>
    <t>absolute|j</t>
  </si>
  <si>
    <t>absolute</t>
  </si>
  <si>
    <t>breeze|n</t>
  </si>
  <si>
    <t>breeze</t>
  </si>
  <si>
    <t>breeze, breezes</t>
  </si>
  <si>
    <t>9-1-1|m</t>
  </si>
  <si>
    <t>9-1-1</t>
  </si>
  <si>
    <t>9-1-1, 911</t>
  </si>
  <si>
    <t>adjustment|n</t>
  </si>
  <si>
    <t>adjustment</t>
  </si>
  <si>
    <t>adjustment, adjustments</t>
  </si>
  <si>
    <t>adoption|n</t>
  </si>
  <si>
    <t>adoption</t>
  </si>
  <si>
    <t>adoption, adoptions</t>
  </si>
  <si>
    <t>anyhow|r</t>
  </si>
  <si>
    <t>anyhow</t>
  </si>
  <si>
    <t>athlete|n</t>
  </si>
  <si>
    <t>athlete</t>
  </si>
  <si>
    <t>athlete, athletes</t>
  </si>
  <si>
    <t>burst|v</t>
  </si>
  <si>
    <t>burst</t>
  </si>
  <si>
    <t>burst, bursted, bursting, bursts</t>
  </si>
  <si>
    <t>cocoa|n</t>
  </si>
  <si>
    <t>cocoa</t>
  </si>
  <si>
    <t>cocoa, cocoas</t>
  </si>
  <si>
    <t>courtesy|n</t>
  </si>
  <si>
    <t>courtesy</t>
  </si>
  <si>
    <t>courtesy, courtesies</t>
  </si>
  <si>
    <t>current|j</t>
  </si>
  <si>
    <t>current</t>
  </si>
  <si>
    <t>dough|n</t>
  </si>
  <si>
    <t>dough</t>
  </si>
  <si>
    <t>embrace|v</t>
  </si>
  <si>
    <t>embrace</t>
  </si>
  <si>
    <t>embrace, embraced, embraces, embracing</t>
  </si>
  <si>
    <t>fax|v</t>
  </si>
  <si>
    <t>fax</t>
  </si>
  <si>
    <t>fax, faxed, faxes, faxing</t>
  </si>
  <si>
    <t>foolish|j</t>
  </si>
  <si>
    <t>foolish</t>
  </si>
  <si>
    <t>locate|v</t>
  </si>
  <si>
    <t>locate</t>
  </si>
  <si>
    <t>locate, located, locates, locating</t>
  </si>
  <si>
    <t>memo|n</t>
  </si>
  <si>
    <t>memo</t>
  </si>
  <si>
    <t>memo, memos</t>
  </si>
  <si>
    <t>mentally|r</t>
  </si>
  <si>
    <t>mentally</t>
  </si>
  <si>
    <t>minor|j</t>
  </si>
  <si>
    <t>minor</t>
  </si>
  <si>
    <t>monitor|v</t>
  </si>
  <si>
    <t>monitor</t>
  </si>
  <si>
    <t>monitor, monitored, monitoring, monitors</t>
  </si>
  <si>
    <t>moo|v</t>
  </si>
  <si>
    <t>moo</t>
  </si>
  <si>
    <t>moo, mooed, mooing, moos</t>
  </si>
  <si>
    <t>quote|v</t>
  </si>
  <si>
    <t>quote</t>
  </si>
  <si>
    <t>quote, quoted, quotes, quoting</t>
  </si>
  <si>
    <t>raccoon|n</t>
  </si>
  <si>
    <t>raccoon</t>
  </si>
  <si>
    <t>raccoon, raccoons, racoon, racoons</t>
  </si>
  <si>
    <t>seduce|v</t>
  </si>
  <si>
    <t>seduce</t>
  </si>
  <si>
    <t>seduce, seduced, seduces, seducing</t>
  </si>
  <si>
    <t>sleeve|n</t>
  </si>
  <si>
    <t>sleeve</t>
  </si>
  <si>
    <t>sleeve, sleeves</t>
  </si>
  <si>
    <t>strangle|v</t>
  </si>
  <si>
    <t>strangle</t>
  </si>
  <si>
    <t>strangle, strangled, strangles, strangling</t>
  </si>
  <si>
    <t>sunshine|n</t>
  </si>
  <si>
    <t>sunshine</t>
  </si>
  <si>
    <t>tickle|v</t>
  </si>
  <si>
    <t>tickle</t>
  </si>
  <si>
    <t>tickle, tickled, tickles, tickling</t>
  </si>
  <si>
    <t>tower|n</t>
  </si>
  <si>
    <t>tower</t>
  </si>
  <si>
    <t>tower, towers</t>
  </si>
  <si>
    <t>troop|n</t>
  </si>
  <si>
    <t>troop</t>
  </si>
  <si>
    <t>troop, troops</t>
  </si>
  <si>
    <t>use|n</t>
  </si>
  <si>
    <t>use, uses</t>
  </si>
  <si>
    <t>volume|n</t>
  </si>
  <si>
    <t>volume</t>
  </si>
  <si>
    <t>volume, volumes</t>
  </si>
  <si>
    <t>wingman|n</t>
  </si>
  <si>
    <t>wingman</t>
  </si>
  <si>
    <t>wingman, wingmen</t>
  </si>
  <si>
    <t>wonder|n</t>
  </si>
  <si>
    <t>wonder, wonders</t>
  </si>
  <si>
    <t>wuss|n</t>
  </si>
  <si>
    <t>wuss</t>
  </si>
  <si>
    <t>wuss, wusses</t>
  </si>
  <si>
    <t>constant|j</t>
  </si>
  <si>
    <t>constant</t>
  </si>
  <si>
    <t>cue|n</t>
  </si>
  <si>
    <t>cue</t>
  </si>
  <si>
    <t>cue, cues</t>
  </si>
  <si>
    <t>acknowledge|v</t>
  </si>
  <si>
    <t>acknowledge</t>
  </si>
  <si>
    <t>acknowledge, acknowledged, acknowledges, acknowledging</t>
  </si>
  <si>
    <t>addition|n</t>
  </si>
  <si>
    <t>addition</t>
  </si>
  <si>
    <t>addition, additions</t>
  </si>
  <si>
    <t>alarm|v</t>
  </si>
  <si>
    <t>alarm, alarmed, alarming, alarms</t>
  </si>
  <si>
    <t>bass|n</t>
  </si>
  <si>
    <t>bass</t>
  </si>
  <si>
    <t>bass, basses</t>
  </si>
  <si>
    <t>blessing|n</t>
  </si>
  <si>
    <t>blessing</t>
  </si>
  <si>
    <t>blessing, blessings</t>
  </si>
  <si>
    <t>businessman|n</t>
  </si>
  <si>
    <t>businessman</t>
  </si>
  <si>
    <t>businessman, businessmen</t>
  </si>
  <si>
    <t>classroom|n</t>
  </si>
  <si>
    <t>classroom</t>
  </si>
  <si>
    <t>classroom, classrooms</t>
  </si>
  <si>
    <t>clinic|n</t>
  </si>
  <si>
    <t>clinic</t>
  </si>
  <si>
    <t>clinic, clinics</t>
  </si>
  <si>
    <t>coward|n</t>
  </si>
  <si>
    <t>coward</t>
  </si>
  <si>
    <t>coward, cowards</t>
  </si>
  <si>
    <t>driveway|n</t>
  </si>
  <si>
    <t>driveway</t>
  </si>
  <si>
    <t>driveway, driveways</t>
  </si>
  <si>
    <t>elect|v</t>
  </si>
  <si>
    <t>elect</t>
  </si>
  <si>
    <t>elect, elected, electing, elects</t>
  </si>
  <si>
    <t>exchange|v</t>
  </si>
  <si>
    <t>exchange, exchanged, exchanges, exchanging</t>
  </si>
  <si>
    <t>fist|n</t>
  </si>
  <si>
    <t>fist</t>
  </si>
  <si>
    <t>fist, fists</t>
  </si>
  <si>
    <t>giant|n</t>
  </si>
  <si>
    <t>grown-up|n</t>
  </si>
  <si>
    <t>grown-up</t>
  </si>
  <si>
    <t>grown-up, grown-ups</t>
  </si>
  <si>
    <t>indicate|v</t>
  </si>
  <si>
    <t>indicate</t>
  </si>
  <si>
    <t>indicate, indicated, indicates, indicating</t>
  </si>
  <si>
    <t>ingredient|n</t>
  </si>
  <si>
    <t>ingredient</t>
  </si>
  <si>
    <t>ingredient, ingredients</t>
  </si>
  <si>
    <t>instance|n</t>
  </si>
  <si>
    <t>instance</t>
  </si>
  <si>
    <t>instance, instances</t>
  </si>
  <si>
    <t>insult|n</t>
  </si>
  <si>
    <t>insult, insults</t>
  </si>
  <si>
    <t>June|K</t>
  </si>
  <si>
    <t>June</t>
  </si>
  <si>
    <t>June, Junes</t>
  </si>
  <si>
    <t>lighten|v</t>
  </si>
  <si>
    <t>lighten</t>
  </si>
  <si>
    <t>lighten, lightened, lightening, lightens</t>
  </si>
  <si>
    <t>limit|v</t>
  </si>
  <si>
    <t>limit, limited, limiting, limits</t>
  </si>
  <si>
    <t>mailman|n</t>
  </si>
  <si>
    <t>mailman</t>
  </si>
  <si>
    <t>mailman, mailmen</t>
  </si>
  <si>
    <t>massage|v</t>
  </si>
  <si>
    <t>massage, massaged, massages, massaging</t>
  </si>
  <si>
    <t>meteor|n</t>
  </si>
  <si>
    <t>meteor</t>
  </si>
  <si>
    <t>meteor, meteors</t>
  </si>
  <si>
    <t>mop|v</t>
  </si>
  <si>
    <t>mop</t>
  </si>
  <si>
    <t>mop, mopped, mopping, mops</t>
  </si>
  <si>
    <t>noble|j</t>
  </si>
  <si>
    <t>noble</t>
  </si>
  <si>
    <t>noble, nobler, noblest</t>
  </si>
  <si>
    <t>opposite|j</t>
  </si>
  <si>
    <t>pajamas|n</t>
  </si>
  <si>
    <t>pajamas</t>
  </si>
  <si>
    <t>physically|r</t>
  </si>
  <si>
    <t>physically</t>
  </si>
  <si>
    <t>print|n</t>
  </si>
  <si>
    <t>print, prints</t>
  </si>
  <si>
    <t>pro|n</t>
  </si>
  <si>
    <t>pro</t>
  </si>
  <si>
    <t>pro, pros</t>
  </si>
  <si>
    <t>regarding|fw</t>
  </si>
  <si>
    <t>regarding</t>
  </si>
  <si>
    <t>reverend|n</t>
  </si>
  <si>
    <t>reverend</t>
  </si>
  <si>
    <t>reverend, reverends</t>
  </si>
  <si>
    <t>root|v</t>
  </si>
  <si>
    <t>root</t>
  </si>
  <si>
    <t>root, rooted, rooting, roots</t>
  </si>
  <si>
    <t>ship|v</t>
  </si>
  <si>
    <t>ship, shipped, shipping, ships</t>
  </si>
  <si>
    <t>slutty|j</t>
  </si>
  <si>
    <t>slutty</t>
  </si>
  <si>
    <t>slutty, sluttier, sluttiest</t>
  </si>
  <si>
    <t>sniff|v</t>
  </si>
  <si>
    <t>sniff</t>
  </si>
  <si>
    <t>sniff, sniffed, sniffing, sniffs</t>
  </si>
  <si>
    <t>spin|n</t>
  </si>
  <si>
    <t>spin, spins</t>
  </si>
  <si>
    <t>swell|v</t>
  </si>
  <si>
    <t>swell</t>
  </si>
  <si>
    <t>swell, swelled, swelling, swells, swollen</t>
  </si>
  <si>
    <t>thirty-one|m</t>
  </si>
  <si>
    <t>thirty-one</t>
  </si>
  <si>
    <t>value|v</t>
  </si>
  <si>
    <t>value, valued, values, valuing</t>
  </si>
  <si>
    <t>mushroom|n</t>
  </si>
  <si>
    <t>mushroom</t>
  </si>
  <si>
    <t>mushroom, mushrooms</t>
  </si>
  <si>
    <t>advanced|j</t>
  </si>
  <si>
    <t>advanced</t>
  </si>
  <si>
    <t>amuse|v</t>
  </si>
  <si>
    <t>amuse</t>
  </si>
  <si>
    <t>amuse, amused, amuses, amusing</t>
  </si>
  <si>
    <t>ancestor|n</t>
  </si>
  <si>
    <t>ancestor</t>
  </si>
  <si>
    <t>ancestor, ancestors</t>
  </si>
  <si>
    <t>attic|n</t>
  </si>
  <si>
    <t>attic</t>
  </si>
  <si>
    <t>attic, attics</t>
  </si>
  <si>
    <t>broccoli|n</t>
  </si>
  <si>
    <t>broccoli</t>
  </si>
  <si>
    <t>broccoli, broccolis</t>
  </si>
  <si>
    <t>circumstance|n</t>
  </si>
  <si>
    <t>circumstance</t>
  </si>
  <si>
    <t>circumstance, circumstances</t>
  </si>
  <si>
    <t>clothing|n</t>
  </si>
  <si>
    <t>clothing</t>
  </si>
  <si>
    <t>clothing, clothings</t>
  </si>
  <si>
    <t>decade|n</t>
  </si>
  <si>
    <t>decade</t>
  </si>
  <si>
    <t>decade, decades</t>
  </si>
  <si>
    <t>disorder|n</t>
  </si>
  <si>
    <t>disorder</t>
  </si>
  <si>
    <t>disorder, disorders</t>
  </si>
  <si>
    <t>dungeon|n</t>
  </si>
  <si>
    <t>dungeon</t>
  </si>
  <si>
    <t>dungeon, dungeons</t>
  </si>
  <si>
    <t>even|j</t>
  </si>
  <si>
    <t>even, evener, evenest</t>
  </si>
  <si>
    <t>evolution|n</t>
  </si>
  <si>
    <t>evolution</t>
  </si>
  <si>
    <t>evolution, evolutions</t>
  </si>
  <si>
    <t>exception|n</t>
  </si>
  <si>
    <t>exception</t>
  </si>
  <si>
    <t>exception, exceptions</t>
  </si>
  <si>
    <t>function|n</t>
  </si>
  <si>
    <t>function</t>
  </si>
  <si>
    <t>function, functions</t>
  </si>
  <si>
    <t>geek|n</t>
  </si>
  <si>
    <t>geek</t>
  </si>
  <si>
    <t>geek, geeks</t>
  </si>
  <si>
    <t>glorious|j</t>
  </si>
  <si>
    <t>glorious</t>
  </si>
  <si>
    <t>gossip|n</t>
  </si>
  <si>
    <t>gossip</t>
  </si>
  <si>
    <t>gossip, gossips</t>
  </si>
  <si>
    <t>happily|r</t>
  </si>
  <si>
    <t>happily</t>
  </si>
  <si>
    <t>ID|abbr</t>
  </si>
  <si>
    <t>ID</t>
  </si>
  <si>
    <t>ID, IDs</t>
  </si>
  <si>
    <t>March|K</t>
  </si>
  <si>
    <t>March</t>
  </si>
  <si>
    <t>March, Marches</t>
  </si>
  <si>
    <t>military|n</t>
  </si>
  <si>
    <t>military</t>
  </si>
  <si>
    <t>military, militaries</t>
  </si>
  <si>
    <t>nude|j</t>
  </si>
  <si>
    <t>nude</t>
  </si>
  <si>
    <t>nude, nuder, nudest</t>
  </si>
  <si>
    <t>pan|n</t>
  </si>
  <si>
    <t>pan</t>
  </si>
  <si>
    <t>pan, pans</t>
  </si>
  <si>
    <t>paradise|n</t>
  </si>
  <si>
    <t>paradise</t>
  </si>
  <si>
    <t>paradise, paradises</t>
  </si>
  <si>
    <t>pervert|n</t>
  </si>
  <si>
    <t>pervert</t>
  </si>
  <si>
    <t>pervert, perverts</t>
  </si>
  <si>
    <t>pet|v</t>
  </si>
  <si>
    <t>pet, pets, petted, petting</t>
  </si>
  <si>
    <t>pinch|v</t>
  </si>
  <si>
    <t>pinch</t>
  </si>
  <si>
    <t>pinch, pinched, pinches, pinching</t>
  </si>
  <si>
    <t>pity|n</t>
  </si>
  <si>
    <t>pity</t>
  </si>
  <si>
    <t>pity, pities</t>
  </si>
  <si>
    <t>rotten|j</t>
  </si>
  <si>
    <t>rotten</t>
  </si>
  <si>
    <t>rotten, rottener, rottenest</t>
  </si>
  <si>
    <t>seventh|m</t>
  </si>
  <si>
    <t>seventh</t>
  </si>
  <si>
    <t>seventh, sevenths</t>
  </si>
  <si>
    <t>similar|j</t>
  </si>
  <si>
    <t>similar</t>
  </si>
  <si>
    <t>stand|n</t>
  </si>
  <si>
    <t>stand, stands</t>
  </si>
  <si>
    <t>tractor|n</t>
  </si>
  <si>
    <t>tractor</t>
  </si>
  <si>
    <t>tractor, tractors</t>
  </si>
  <si>
    <t>tunnel|v</t>
  </si>
  <si>
    <t>tunnel</t>
  </si>
  <si>
    <t>tunnel, tunneled, tunneling, tunnels</t>
  </si>
  <si>
    <t>vanilla|n</t>
  </si>
  <si>
    <t>vanilla</t>
  </si>
  <si>
    <t>vanilla, vanillas</t>
  </si>
  <si>
    <t>violate|v</t>
  </si>
  <si>
    <t>violate</t>
  </si>
  <si>
    <t>violate, violated, violates, violating</t>
  </si>
  <si>
    <t>wreck|v</t>
  </si>
  <si>
    <t>wreck</t>
  </si>
  <si>
    <t>wreck, wrecked, wrecking, wrecks</t>
  </si>
  <si>
    <t>zip|v</t>
  </si>
  <si>
    <t>zip</t>
  </si>
  <si>
    <t>zip, zipped, zipping, zips</t>
  </si>
  <si>
    <t>bedtime|n</t>
  </si>
  <si>
    <t>bedtime</t>
  </si>
  <si>
    <t>bedtime, bedtimes</t>
  </si>
  <si>
    <t>cape|n</t>
  </si>
  <si>
    <t>cape</t>
  </si>
  <si>
    <t>cape, capes</t>
  </si>
  <si>
    <t>cost|n</t>
  </si>
  <si>
    <t>cost, costs</t>
  </si>
  <si>
    <t>crossword|n</t>
  </si>
  <si>
    <t>crossword</t>
  </si>
  <si>
    <t>crossword, crosswords</t>
  </si>
  <si>
    <t>designer|n</t>
  </si>
  <si>
    <t>designer</t>
  </si>
  <si>
    <t>designer, designers</t>
  </si>
  <si>
    <t>enormous|j</t>
  </si>
  <si>
    <t>enormous</t>
  </si>
  <si>
    <t>extreme|j</t>
  </si>
  <si>
    <t>extreme</t>
  </si>
  <si>
    <t>extreme, extremer, extremest</t>
  </si>
  <si>
    <t>fragile|j</t>
  </si>
  <si>
    <t>fragile</t>
  </si>
  <si>
    <t>genetic|j</t>
  </si>
  <si>
    <t>genetic</t>
  </si>
  <si>
    <t>length|n</t>
  </si>
  <si>
    <t>length</t>
  </si>
  <si>
    <t>length, lengths</t>
  </si>
  <si>
    <t>lightning|n</t>
  </si>
  <si>
    <t>lightning</t>
  </si>
  <si>
    <t>lightning, lightnings</t>
  </si>
  <si>
    <t>magic|n</t>
  </si>
  <si>
    <t>magic, magics</t>
  </si>
  <si>
    <t>magnificent|j</t>
  </si>
  <si>
    <t>magnificent</t>
  </si>
  <si>
    <t>mankind|n</t>
  </si>
  <si>
    <t>mankind</t>
  </si>
  <si>
    <t>marshmallow|n</t>
  </si>
  <si>
    <t>marshmallow</t>
  </si>
  <si>
    <t>marshmallow, marshmallows</t>
  </si>
  <si>
    <t>May|K</t>
  </si>
  <si>
    <t>May</t>
  </si>
  <si>
    <t>May, Mays</t>
  </si>
  <si>
    <t>meatball|n</t>
  </si>
  <si>
    <t>meatball</t>
  </si>
  <si>
    <t>meatball, meatballs</t>
  </si>
  <si>
    <t>messy|j</t>
  </si>
  <si>
    <t>messy</t>
  </si>
  <si>
    <t>messy, messier, messiest</t>
  </si>
  <si>
    <t>mount|n</t>
  </si>
  <si>
    <t>mount</t>
  </si>
  <si>
    <t>mount, mounts</t>
  </si>
  <si>
    <t>navy|n</t>
  </si>
  <si>
    <t>navy</t>
  </si>
  <si>
    <t>navy, navies</t>
  </si>
  <si>
    <t>oppose|v</t>
  </si>
  <si>
    <t>oppose</t>
  </si>
  <si>
    <t>oppose, opposed, opposes, opposing</t>
  </si>
  <si>
    <t>passenger|n</t>
  </si>
  <si>
    <t>passenger</t>
  </si>
  <si>
    <t>passenger, passengers</t>
  </si>
  <si>
    <t>playground|n</t>
  </si>
  <si>
    <t>playground</t>
  </si>
  <si>
    <t>playground, playgrounds</t>
  </si>
  <si>
    <t>possession|n</t>
  </si>
  <si>
    <t>possession</t>
  </si>
  <si>
    <t>possession, possessions</t>
  </si>
  <si>
    <t>proposal|n</t>
  </si>
  <si>
    <t>proposal</t>
  </si>
  <si>
    <t>proposal, proposals</t>
  </si>
  <si>
    <t>psycho|n</t>
  </si>
  <si>
    <t>psycho</t>
  </si>
  <si>
    <t>psycho, psychos</t>
  </si>
  <si>
    <t>rainforest|n</t>
  </si>
  <si>
    <t>rainforest</t>
  </si>
  <si>
    <t>rainforest, rainforests</t>
  </si>
  <si>
    <t>rap|v</t>
  </si>
  <si>
    <t>rap, rapped, rapping, raps</t>
  </si>
  <si>
    <t>stereotype|n</t>
  </si>
  <si>
    <t>stereotype</t>
  </si>
  <si>
    <t>stereotype, stereotypes</t>
  </si>
  <si>
    <t>sudden|j</t>
  </si>
  <si>
    <t>sunglasses|n</t>
  </si>
  <si>
    <t>sunglasses</t>
  </si>
  <si>
    <t>temp|n</t>
  </si>
  <si>
    <t>temp</t>
  </si>
  <si>
    <t>temp, temps</t>
  </si>
  <si>
    <t>thou|fw</t>
  </si>
  <si>
    <t>thou</t>
  </si>
  <si>
    <t>urinal|n</t>
  </si>
  <si>
    <t>urinal</t>
  </si>
  <si>
    <t>urinal, urinals</t>
  </si>
  <si>
    <t>wah|u</t>
  </si>
  <si>
    <t>wah</t>
  </si>
  <si>
    <t>Republican|K</t>
  </si>
  <si>
    <t>Republican</t>
  </si>
  <si>
    <t>Republican, Republicans</t>
  </si>
  <si>
    <t>abuse|v</t>
  </si>
  <si>
    <t>abuse</t>
  </si>
  <si>
    <t>abuse, abused, abuses, abusing</t>
  </si>
  <si>
    <t>adjust|v</t>
  </si>
  <si>
    <t>adjust</t>
  </si>
  <si>
    <t>adjust, adjusted, adjusting, adjusts</t>
  </si>
  <si>
    <t>approval|n</t>
  </si>
  <si>
    <t>approval</t>
  </si>
  <si>
    <t>approval, approvals</t>
  </si>
  <si>
    <t>certificate|n</t>
  </si>
  <si>
    <t>certificate</t>
  </si>
  <si>
    <t>certificate, certificates</t>
  </si>
  <si>
    <t>coach|v</t>
  </si>
  <si>
    <t>coach, coached, coaches, coaching</t>
  </si>
  <si>
    <t>complex|j</t>
  </si>
  <si>
    <t>complex</t>
  </si>
  <si>
    <t>contestant|n</t>
  </si>
  <si>
    <t>contestant</t>
  </si>
  <si>
    <t>contestant, contestants</t>
  </si>
  <si>
    <t>drop|n</t>
  </si>
  <si>
    <t>drop, drops</t>
  </si>
  <si>
    <t>era|n</t>
  </si>
  <si>
    <t>era</t>
  </si>
  <si>
    <t>era, eras</t>
  </si>
  <si>
    <t>exhibit|n</t>
  </si>
  <si>
    <t>exhibit</t>
  </si>
  <si>
    <t>exhibit, exhibits</t>
  </si>
  <si>
    <t>fame|n</t>
  </si>
  <si>
    <t>fame</t>
  </si>
  <si>
    <t>gene|n</t>
  </si>
  <si>
    <t>gene</t>
  </si>
  <si>
    <t>gene, genes</t>
  </si>
  <si>
    <t>hop|v</t>
  </si>
  <si>
    <t>hop</t>
  </si>
  <si>
    <t>hop, hopped, hopping, hops</t>
  </si>
  <si>
    <t>invisible|j</t>
  </si>
  <si>
    <t>invisible</t>
  </si>
  <si>
    <t>kitten|n</t>
  </si>
  <si>
    <t>kitten</t>
  </si>
  <si>
    <t>kitten, kittens</t>
  </si>
  <si>
    <t>laptop|n</t>
  </si>
  <si>
    <t>laptop</t>
  </si>
  <si>
    <t>laptop, laptops</t>
  </si>
  <si>
    <t>maniac|n</t>
  </si>
  <si>
    <t>maniac</t>
  </si>
  <si>
    <t>maniac, maniacs</t>
  </si>
  <si>
    <t>myth|n</t>
  </si>
  <si>
    <t>myth</t>
  </si>
  <si>
    <t>myth, myths</t>
  </si>
  <si>
    <t>needle|n</t>
  </si>
  <si>
    <t>needle</t>
  </si>
  <si>
    <t>needle, needles</t>
  </si>
  <si>
    <t>patch|v</t>
  </si>
  <si>
    <t>patch, patched, patches, patching</t>
  </si>
  <si>
    <t>prime|j</t>
  </si>
  <si>
    <t>prime</t>
  </si>
  <si>
    <t>puke|v</t>
  </si>
  <si>
    <t>puke</t>
  </si>
  <si>
    <t>puke, puked, pukes, puking</t>
  </si>
  <si>
    <t>rating|n</t>
  </si>
  <si>
    <t>rating</t>
  </si>
  <si>
    <t>rating, ratings</t>
  </si>
  <si>
    <t>reserve|v</t>
  </si>
  <si>
    <t>reserve</t>
  </si>
  <si>
    <t>reserve, reserved, reserves, reserving</t>
  </si>
  <si>
    <t>root|n</t>
  </si>
  <si>
    <t>root, roots</t>
  </si>
  <si>
    <t>round|j</t>
  </si>
  <si>
    <t>round, rounder, roundest</t>
  </si>
  <si>
    <t>sarcastic|j</t>
  </si>
  <si>
    <t>sarcastic</t>
  </si>
  <si>
    <t>shelf|n</t>
  </si>
  <si>
    <t>shelf</t>
  </si>
  <si>
    <t>shelf, shelves</t>
  </si>
  <si>
    <t>skeleton|n</t>
  </si>
  <si>
    <t>skeleton</t>
  </si>
  <si>
    <t>skeleton, skeletons</t>
  </si>
  <si>
    <t>submit|v</t>
  </si>
  <si>
    <t>submit</t>
  </si>
  <si>
    <t>submit, submits, submitted, submitting</t>
  </si>
  <si>
    <t>supervisor|n</t>
  </si>
  <si>
    <t>supervisor</t>
  </si>
  <si>
    <t>supervisor, supervisors</t>
  </si>
  <si>
    <t>symptom|n</t>
  </si>
  <si>
    <t>symptom</t>
  </si>
  <si>
    <t>symptom, symptoms</t>
  </si>
  <si>
    <t>virus|n</t>
  </si>
  <si>
    <t>virus</t>
  </si>
  <si>
    <t>virus, viruses</t>
  </si>
  <si>
    <t>weakness|n</t>
  </si>
  <si>
    <t>weakness</t>
  </si>
  <si>
    <t>weakness, weaknesses</t>
  </si>
  <si>
    <t>barrel|n</t>
  </si>
  <si>
    <t>barrel</t>
  </si>
  <si>
    <t>barrel, barrels</t>
  </si>
  <si>
    <t>applause|n</t>
  </si>
  <si>
    <t>applause</t>
  </si>
  <si>
    <t>applause, applauses</t>
  </si>
  <si>
    <t>average|j</t>
  </si>
  <si>
    <t>boil|v</t>
  </si>
  <si>
    <t>boil</t>
  </si>
  <si>
    <t>boil, boiled, boiling, boils</t>
  </si>
  <si>
    <t>brag|v</t>
  </si>
  <si>
    <t>brag</t>
  </si>
  <si>
    <t>brag, bragged, bragging, brags</t>
  </si>
  <si>
    <t>buckle|v</t>
  </si>
  <si>
    <t>buckle</t>
  </si>
  <si>
    <t>buckle, buckled, buckles, buckling</t>
  </si>
  <si>
    <t>burglar|n</t>
  </si>
  <si>
    <t>burglar</t>
  </si>
  <si>
    <t>burglar, burglars</t>
  </si>
  <si>
    <t>caller|n</t>
  </si>
  <si>
    <t>caller</t>
  </si>
  <si>
    <t>caller, callers</t>
  </si>
  <si>
    <t>carton|n</t>
  </si>
  <si>
    <t>carton</t>
  </si>
  <si>
    <t>carton, cartons</t>
  </si>
  <si>
    <t>color|v</t>
  </si>
  <si>
    <t>color, colored, coloring, colors</t>
  </si>
  <si>
    <t>donkey|n</t>
  </si>
  <si>
    <t>donkey</t>
  </si>
  <si>
    <t>donkey, donkeys</t>
  </si>
  <si>
    <t>environmental|j</t>
  </si>
  <si>
    <t>environmental</t>
  </si>
  <si>
    <t>equal|j</t>
  </si>
  <si>
    <t>equal</t>
  </si>
  <si>
    <t>expand|v</t>
  </si>
  <si>
    <t>expand</t>
  </si>
  <si>
    <t>expand, expanded, expanding, expands</t>
  </si>
  <si>
    <t>flu|n</t>
  </si>
  <si>
    <t>flu</t>
  </si>
  <si>
    <t>flu, flus</t>
  </si>
  <si>
    <t>forehead|n</t>
  </si>
  <si>
    <t>forehead</t>
  </si>
  <si>
    <t>forehead, foreheads</t>
  </si>
  <si>
    <t>greet|v</t>
  </si>
  <si>
    <t>greet</t>
  </si>
  <si>
    <t>greet, greeted, greeting, greets</t>
  </si>
  <si>
    <t>illness|n</t>
  </si>
  <si>
    <t>illness</t>
  </si>
  <si>
    <t>illness, illnesses</t>
  </si>
  <si>
    <t>injure|v</t>
  </si>
  <si>
    <t>injure</t>
  </si>
  <si>
    <t>injure, injured, injures, injuring</t>
  </si>
  <si>
    <t>lifestyle|n</t>
  </si>
  <si>
    <t>lifestyle</t>
  </si>
  <si>
    <t>lifestyle, lifestyles</t>
  </si>
  <si>
    <t>objection|n</t>
  </si>
  <si>
    <t>objection</t>
  </si>
  <si>
    <t>objection, objections</t>
  </si>
  <si>
    <t>outrage|n</t>
  </si>
  <si>
    <t>outrage</t>
  </si>
  <si>
    <t>outrage, outrages</t>
  </si>
  <si>
    <t>pasta|n</t>
  </si>
  <si>
    <t>pasta</t>
  </si>
  <si>
    <t>pasta, pastas</t>
  </si>
  <si>
    <t>practical|j</t>
  </si>
  <si>
    <t>practical</t>
  </si>
  <si>
    <t>recess|n</t>
  </si>
  <si>
    <t>recess</t>
  </si>
  <si>
    <t>recess, recesses</t>
  </si>
  <si>
    <t>recycle|v</t>
  </si>
  <si>
    <t>recycle</t>
  </si>
  <si>
    <t>recycle, recycled, recycles, recycling</t>
  </si>
  <si>
    <t>rehearse|v</t>
  </si>
  <si>
    <t>rehearse</t>
  </si>
  <si>
    <t>rehearse, rehearsed, rehearses, rehearsing</t>
  </si>
  <si>
    <t>roast|n</t>
  </si>
  <si>
    <t>roast</t>
  </si>
  <si>
    <t>roast, roasts</t>
  </si>
  <si>
    <t>salsa|n</t>
  </si>
  <si>
    <t>salsa</t>
  </si>
  <si>
    <t>salsa, salsas</t>
  </si>
  <si>
    <t>seventy-five|m</t>
  </si>
  <si>
    <t>seventy-five</t>
  </si>
  <si>
    <t>shit|v</t>
  </si>
  <si>
    <t>shit, shat, shits, shitted, shitting, shitten</t>
  </si>
  <si>
    <t>shred|v</t>
  </si>
  <si>
    <t>shred</t>
  </si>
  <si>
    <t>shred, shredded, shredding, shreds</t>
  </si>
  <si>
    <t>sloppy|j</t>
  </si>
  <si>
    <t>sloppy</t>
  </si>
  <si>
    <t>sloppy, sloppier, sloppiest</t>
  </si>
  <si>
    <t>somewhat|r</t>
  </si>
  <si>
    <t>somewhat</t>
  </si>
  <si>
    <t>spray|n</t>
  </si>
  <si>
    <t>spray, sprays</t>
  </si>
  <si>
    <t>suitcase|n</t>
  </si>
  <si>
    <t>suitcase</t>
  </si>
  <si>
    <t>suitcase, suitcases</t>
  </si>
  <si>
    <t>take|n</t>
  </si>
  <si>
    <t>take, takes</t>
  </si>
  <si>
    <t>tense|j</t>
  </si>
  <si>
    <t>tense</t>
  </si>
  <si>
    <t>tense, tenser, tensest</t>
  </si>
  <si>
    <t>valley|n</t>
  </si>
  <si>
    <t>valley</t>
  </si>
  <si>
    <t>valley, valleys</t>
  </si>
  <si>
    <t>web|n</t>
  </si>
  <si>
    <t>web</t>
  </si>
  <si>
    <t>web, webs</t>
  </si>
  <si>
    <t>entrance|n</t>
  </si>
  <si>
    <t>entrance</t>
  </si>
  <si>
    <t>entrance, entrances</t>
  </si>
  <si>
    <t>appetite|n</t>
  </si>
  <si>
    <t>appetite</t>
  </si>
  <si>
    <t>appetite, appetites</t>
  </si>
  <si>
    <t>association|n</t>
  </si>
  <si>
    <t>association</t>
  </si>
  <si>
    <t>association, associations</t>
  </si>
  <si>
    <t>attorney|n</t>
  </si>
  <si>
    <t>attorney</t>
  </si>
  <si>
    <t>attorney, attorneys</t>
  </si>
  <si>
    <t>bikini|n</t>
  </si>
  <si>
    <t>bikini</t>
  </si>
  <si>
    <t>bikini, bikinis</t>
  </si>
  <si>
    <t>bun|n</t>
  </si>
  <si>
    <t>bun</t>
  </si>
  <si>
    <t>bun, buns</t>
  </si>
  <si>
    <t>clubhouse|n</t>
  </si>
  <si>
    <t>clubhouse</t>
  </si>
  <si>
    <t>clubhouse, clubhouses</t>
  </si>
  <si>
    <t>confront|v</t>
  </si>
  <si>
    <t>confront</t>
  </si>
  <si>
    <t>confront, confronted, confronting, confronts</t>
  </si>
  <si>
    <t>contribute|v</t>
  </si>
  <si>
    <t>contribute</t>
  </si>
  <si>
    <t>contribute, contributed, contributes, contributing</t>
  </si>
  <si>
    <t>critic|n</t>
  </si>
  <si>
    <t>critic</t>
  </si>
  <si>
    <t>critic, critics</t>
  </si>
  <si>
    <t>depressing|j</t>
  </si>
  <si>
    <t>depressing</t>
  </si>
  <si>
    <t>dime|n</t>
  </si>
  <si>
    <t>dime</t>
  </si>
  <si>
    <t>dime, dimes</t>
  </si>
  <si>
    <t>discovery|n</t>
  </si>
  <si>
    <t>discovery</t>
  </si>
  <si>
    <t>discovery, discoveries</t>
  </si>
  <si>
    <t>effective|j</t>
  </si>
  <si>
    <t>effective</t>
  </si>
  <si>
    <t>excitement|n</t>
  </si>
  <si>
    <t>excitement</t>
  </si>
  <si>
    <t>excitement, excitements</t>
  </si>
  <si>
    <t>expectation|n</t>
  </si>
  <si>
    <t>expectation</t>
  </si>
  <si>
    <t>expectation, expectations</t>
  </si>
  <si>
    <t>eyebrow|n</t>
  </si>
  <si>
    <t>eyebrow</t>
  </si>
  <si>
    <t>eyebrow, eyebrows</t>
  </si>
  <si>
    <t>fluffy|j</t>
  </si>
  <si>
    <t>fluffy</t>
  </si>
  <si>
    <t>fluffy, fluffier, fluffiest</t>
  </si>
  <si>
    <t>headache|n</t>
  </si>
  <si>
    <t>headache</t>
  </si>
  <si>
    <t>headache, headaches</t>
  </si>
  <si>
    <t>independent|j</t>
  </si>
  <si>
    <t>independent</t>
  </si>
  <si>
    <t>integrity|n</t>
  </si>
  <si>
    <t>integrity</t>
  </si>
  <si>
    <t>integrity, integrities</t>
  </si>
  <si>
    <t>karma|n</t>
  </si>
  <si>
    <t>karma</t>
  </si>
  <si>
    <t>karma, karmas</t>
  </si>
  <si>
    <t>lizard|n</t>
  </si>
  <si>
    <t>lizard</t>
  </si>
  <si>
    <t>lizard, lizards</t>
  </si>
  <si>
    <t>logic|n</t>
  </si>
  <si>
    <t>logic</t>
  </si>
  <si>
    <t>logic, logics</t>
  </si>
  <si>
    <t>Lord|K</t>
  </si>
  <si>
    <t>Lord</t>
  </si>
  <si>
    <t>Lord, Lords</t>
  </si>
  <si>
    <t>mug|v</t>
  </si>
  <si>
    <t>mug, mugged, mugging, mugs</t>
  </si>
  <si>
    <t>plain|j</t>
  </si>
  <si>
    <t>plain</t>
  </si>
  <si>
    <t>plain, plainer, plainest</t>
  </si>
  <si>
    <t>poet|n</t>
  </si>
  <si>
    <t>poet</t>
  </si>
  <si>
    <t>poet, poets</t>
  </si>
  <si>
    <t>quietly|r</t>
  </si>
  <si>
    <t>quietly</t>
  </si>
  <si>
    <t>relative|n</t>
  </si>
  <si>
    <t>relative</t>
  </si>
  <si>
    <t>relative, relatives</t>
  </si>
  <si>
    <t>safely|r</t>
  </si>
  <si>
    <t>safely</t>
  </si>
  <si>
    <t>shrink|n</t>
  </si>
  <si>
    <t>shrink</t>
  </si>
  <si>
    <t>shrink, shrinks</t>
  </si>
  <si>
    <t>slam|v</t>
  </si>
  <si>
    <t>slam</t>
  </si>
  <si>
    <t>slam, slammed, slamming, slams</t>
  </si>
  <si>
    <t>suit|v</t>
  </si>
  <si>
    <t>suit, suited, suiting, suits</t>
  </si>
  <si>
    <t>surprisingly|r</t>
  </si>
  <si>
    <t>surprisingly</t>
  </si>
  <si>
    <t>testing|n</t>
  </si>
  <si>
    <t>testing</t>
  </si>
  <si>
    <t>testing, testings</t>
  </si>
  <si>
    <t>throughout|fw</t>
  </si>
  <si>
    <t>throughout</t>
  </si>
  <si>
    <t>tournament|n</t>
  </si>
  <si>
    <t>tournament</t>
  </si>
  <si>
    <t>tournament, tournaments</t>
  </si>
  <si>
    <t>twist|n</t>
  </si>
  <si>
    <t>twist, twists</t>
  </si>
  <si>
    <t>wardrobe|n</t>
  </si>
  <si>
    <t>wardrobe</t>
  </si>
  <si>
    <t>wardrobe, wardrobes</t>
  </si>
  <si>
    <t>wrist|n</t>
  </si>
  <si>
    <t>wrist</t>
  </si>
  <si>
    <t>wrist, wrists</t>
  </si>
  <si>
    <t>nerve|n</t>
  </si>
  <si>
    <t>nerve</t>
  </si>
  <si>
    <t>nerve, nerves</t>
  </si>
  <si>
    <t>deposit|n</t>
  </si>
  <si>
    <t>deposit</t>
  </si>
  <si>
    <t>deposit, deposits</t>
  </si>
  <si>
    <t>trail|n</t>
  </si>
  <si>
    <t>trail</t>
  </si>
  <si>
    <t>trail, trails</t>
  </si>
  <si>
    <t>collar|v</t>
  </si>
  <si>
    <t>collar</t>
  </si>
  <si>
    <t>collar, collars</t>
  </si>
  <si>
    <t>bicycle|n</t>
  </si>
  <si>
    <t>bicycle</t>
  </si>
  <si>
    <t>bicycle, bicycles</t>
  </si>
  <si>
    <t>ahem|u</t>
  </si>
  <si>
    <t>ahem</t>
  </si>
  <si>
    <t>alike|r</t>
  </si>
  <si>
    <t>alike</t>
  </si>
  <si>
    <t>allergy|n</t>
  </si>
  <si>
    <t>allergy</t>
  </si>
  <si>
    <t>allergy, allergies</t>
  </si>
  <si>
    <t>atheist|n</t>
  </si>
  <si>
    <t>atheist</t>
  </si>
  <si>
    <t>atheist, atheists</t>
  </si>
  <si>
    <t>chamber|n</t>
  </si>
  <si>
    <t>chamber</t>
  </si>
  <si>
    <t>chamber, chambers</t>
  </si>
  <si>
    <t>cheeseburger|n</t>
  </si>
  <si>
    <t>cheeseburger</t>
  </si>
  <si>
    <t>cheeseburger, cheeseburgers</t>
  </si>
  <si>
    <t>conscience|n</t>
  </si>
  <si>
    <t>conscience</t>
  </si>
  <si>
    <t>conscience, consciences</t>
  </si>
  <si>
    <t>cuddle|v</t>
  </si>
  <si>
    <t>cuddle</t>
  </si>
  <si>
    <t>cuddle, cuddled, cuddles, cuddling</t>
  </si>
  <si>
    <t>existence|n</t>
  </si>
  <si>
    <t>existence</t>
  </si>
  <si>
    <t>existence, existences</t>
  </si>
  <si>
    <t>gallery|n</t>
  </si>
  <si>
    <t>gallery</t>
  </si>
  <si>
    <t>gallery, galleries</t>
  </si>
  <si>
    <t>instinct|n</t>
  </si>
  <si>
    <t>instinct</t>
  </si>
  <si>
    <t>instinct, instincts</t>
  </si>
  <si>
    <t>instruction|n</t>
  </si>
  <si>
    <t>instruction</t>
  </si>
  <si>
    <t>instruction, instructions</t>
  </si>
  <si>
    <t>loyal|j</t>
  </si>
  <si>
    <t>loyal</t>
  </si>
  <si>
    <t>loyal, loyaler, loyalest</t>
  </si>
  <si>
    <t>maintain|v</t>
  </si>
  <si>
    <t>maintain</t>
  </si>
  <si>
    <t>maintain, maintained, maintaining, maintains</t>
  </si>
  <si>
    <t>maintenance|n</t>
  </si>
  <si>
    <t>maintenance</t>
  </si>
  <si>
    <t>meaningless|j</t>
  </si>
  <si>
    <t>meaningless</t>
  </si>
  <si>
    <t>memorize|v</t>
  </si>
  <si>
    <t>memorize</t>
  </si>
  <si>
    <t>memorize, memorized, memorizes, memorizing</t>
  </si>
  <si>
    <t>missile|n</t>
  </si>
  <si>
    <t>missile</t>
  </si>
  <si>
    <t>missile, missiles</t>
  </si>
  <si>
    <t>moist|j</t>
  </si>
  <si>
    <t>moist</t>
  </si>
  <si>
    <t>moist, moister, moistest</t>
  </si>
  <si>
    <t>nag|v</t>
  </si>
  <si>
    <t>nag</t>
  </si>
  <si>
    <t>nag, nagged, nagging, nags</t>
  </si>
  <si>
    <t>ninety-five|m</t>
  </si>
  <si>
    <t>ninety-five</t>
  </si>
  <si>
    <t>paintball|n</t>
  </si>
  <si>
    <t>paintball</t>
  </si>
  <si>
    <t>paintball, paintballs</t>
  </si>
  <si>
    <t>pattern|n</t>
  </si>
  <si>
    <t>pattern</t>
  </si>
  <si>
    <t>pattern, patterns</t>
  </si>
  <si>
    <t>physicist|n</t>
  </si>
  <si>
    <t>physicist</t>
  </si>
  <si>
    <t>physicist, physicists</t>
  </si>
  <si>
    <t>pointless|j</t>
  </si>
  <si>
    <t>pointless</t>
  </si>
  <si>
    <t>polish|v</t>
  </si>
  <si>
    <t>polish</t>
  </si>
  <si>
    <t>polish, polished, polishes, polishing</t>
  </si>
  <si>
    <t>reading|n</t>
  </si>
  <si>
    <t>reading</t>
  </si>
  <si>
    <t>reading, readings</t>
  </si>
  <si>
    <t>silence|u</t>
  </si>
  <si>
    <t>sitcom|n</t>
  </si>
  <si>
    <t>sitcom</t>
  </si>
  <si>
    <t>sitcom, sitcoms</t>
  </si>
  <si>
    <t>slight|j</t>
  </si>
  <si>
    <t>slight</t>
  </si>
  <si>
    <t>slight, slighter, slightest</t>
  </si>
  <si>
    <t>softball|n</t>
  </si>
  <si>
    <t>softball</t>
  </si>
  <si>
    <t>softball, softballs</t>
  </si>
  <si>
    <t>star|v</t>
  </si>
  <si>
    <t>star, starred, starring, stars</t>
  </si>
  <si>
    <t>strip|v</t>
  </si>
  <si>
    <t>strip</t>
  </si>
  <si>
    <t>strip, stripped, stripping, strips, stript</t>
  </si>
  <si>
    <t>temple|n</t>
  </si>
  <si>
    <t>temple</t>
  </si>
  <si>
    <t>temple, temples</t>
  </si>
  <si>
    <t>torture|n</t>
  </si>
  <si>
    <t>torture</t>
  </si>
  <si>
    <t>torture, tortured, tortures, torturing</t>
  </si>
  <si>
    <t>torture|v</t>
  </si>
  <si>
    <t>wax|n</t>
  </si>
  <si>
    <t>wax</t>
  </si>
  <si>
    <t>wax, waxes</t>
  </si>
  <si>
    <t>wooden|j</t>
  </si>
  <si>
    <t>wooden</t>
  </si>
  <si>
    <t>wooden, woodener, woodenest</t>
  </si>
  <si>
    <t>inner|j</t>
  </si>
  <si>
    <t>inner</t>
  </si>
  <si>
    <t>inner, innermost</t>
  </si>
  <si>
    <t>elf|n</t>
  </si>
  <si>
    <t>elf</t>
  </si>
  <si>
    <t>elf, elves</t>
  </si>
  <si>
    <t>claw|n</t>
  </si>
  <si>
    <t>claw</t>
  </si>
  <si>
    <t>claw, claws</t>
  </si>
  <si>
    <t>layer|n</t>
  </si>
  <si>
    <t>layer</t>
  </si>
  <si>
    <t>layer, layers</t>
  </si>
  <si>
    <t>refund|v</t>
  </si>
  <si>
    <t>refund</t>
  </si>
  <si>
    <t>refund, refunds</t>
  </si>
  <si>
    <t>cycle|n</t>
  </si>
  <si>
    <t>cycle</t>
  </si>
  <si>
    <t>cycle, cycles</t>
  </si>
  <si>
    <t>mighty|r</t>
  </si>
  <si>
    <t>awareness|n</t>
  </si>
  <si>
    <t>awareness</t>
  </si>
  <si>
    <t>baggage|n</t>
  </si>
  <si>
    <t>baggage</t>
  </si>
  <si>
    <t>closing|j</t>
  </si>
  <si>
    <t>closing</t>
  </si>
  <si>
    <t>cricket|n</t>
  </si>
  <si>
    <t>cricket</t>
  </si>
  <si>
    <t>cricket, crickets</t>
  </si>
  <si>
    <t>dear|n</t>
  </si>
  <si>
    <t>dear, dears</t>
  </si>
  <si>
    <t>decorate|v</t>
  </si>
  <si>
    <t>decorate</t>
  </si>
  <si>
    <t>decorate, decorated, decorates, decorating</t>
  </si>
  <si>
    <t>definition|n</t>
  </si>
  <si>
    <t>definition</t>
  </si>
  <si>
    <t>definition, definitions</t>
  </si>
  <si>
    <t>development|n</t>
  </si>
  <si>
    <t>development</t>
  </si>
  <si>
    <t>development, developments</t>
  </si>
  <si>
    <t>discipline|n</t>
  </si>
  <si>
    <t>discipline</t>
  </si>
  <si>
    <t>discipline, disciplines</t>
  </si>
  <si>
    <t>double|r</t>
  </si>
  <si>
    <t>ending|n</t>
  </si>
  <si>
    <t>ending</t>
  </si>
  <si>
    <t>ending, endings</t>
  </si>
  <si>
    <t>entry|n</t>
  </si>
  <si>
    <t>entry</t>
  </si>
  <si>
    <t>entry, entries</t>
  </si>
  <si>
    <t>explosion|n</t>
  </si>
  <si>
    <t>explosion</t>
  </si>
  <si>
    <t>explosion, explosions</t>
  </si>
  <si>
    <t>frozen|j</t>
  </si>
  <si>
    <t>frozen</t>
  </si>
  <si>
    <t>guard|v</t>
  </si>
  <si>
    <t>guard, guarded, guarding, guards</t>
  </si>
  <si>
    <t>hack|v</t>
  </si>
  <si>
    <t>hack</t>
  </si>
  <si>
    <t>hack, hacked, hacking, hacks</t>
  </si>
  <si>
    <t>homemade|j</t>
  </si>
  <si>
    <t>homemade</t>
  </si>
  <si>
    <t>hunter|n</t>
  </si>
  <si>
    <t>hunter</t>
  </si>
  <si>
    <t>hunter, hunters</t>
  </si>
  <si>
    <t>interest|v</t>
  </si>
  <si>
    <t>interest, interested, interesting, interests</t>
  </si>
  <si>
    <t>kite|n</t>
  </si>
  <si>
    <t>kite</t>
  </si>
  <si>
    <t>kite, kites</t>
  </si>
  <si>
    <t>master|v</t>
  </si>
  <si>
    <t>master, mastered, mastering, masters</t>
  </si>
  <si>
    <t>meantime|n</t>
  </si>
  <si>
    <t>meantime</t>
  </si>
  <si>
    <t>meantime, meantimes</t>
  </si>
  <si>
    <t>mortgage|n</t>
  </si>
  <si>
    <t>mortgage</t>
  </si>
  <si>
    <t>mortgage, mortgages</t>
  </si>
  <si>
    <t>nacho|n</t>
  </si>
  <si>
    <t>nacho</t>
  </si>
  <si>
    <t>nacho, nachos</t>
  </si>
  <si>
    <t>oho|u</t>
  </si>
  <si>
    <t>oho</t>
  </si>
  <si>
    <t>pact|n</t>
  </si>
  <si>
    <t>pact</t>
  </si>
  <si>
    <t>pact, pacts</t>
  </si>
  <si>
    <t>palace|n</t>
  </si>
  <si>
    <t>palace</t>
  </si>
  <si>
    <t>palace, palaces</t>
  </si>
  <si>
    <t>password|n</t>
  </si>
  <si>
    <t>password</t>
  </si>
  <si>
    <t>password, passwords</t>
  </si>
  <si>
    <t>pledge|n</t>
  </si>
  <si>
    <t>pledge</t>
  </si>
  <si>
    <t>pledge, pledges</t>
  </si>
  <si>
    <t>pond|n</t>
  </si>
  <si>
    <t>pond</t>
  </si>
  <si>
    <t>pond, ponds</t>
  </si>
  <si>
    <t>power|v</t>
  </si>
  <si>
    <t>power, powered, powering, powers</t>
  </si>
  <si>
    <t>resolution|n</t>
  </si>
  <si>
    <t>resolution</t>
  </si>
  <si>
    <t>resolution, resolutions</t>
  </si>
  <si>
    <t>rig|v</t>
  </si>
  <si>
    <t>rig</t>
  </si>
  <si>
    <t>rig, rigged, rigging, rigs</t>
  </si>
  <si>
    <t>sacrifice|v</t>
  </si>
  <si>
    <t>sacrifice</t>
  </si>
  <si>
    <t>sacrifice, sacrificed, sacrifices, sacrificing</t>
  </si>
  <si>
    <t>sector|n</t>
  </si>
  <si>
    <t>sector</t>
  </si>
  <si>
    <t>sector, sectors</t>
  </si>
  <si>
    <t>steam|v</t>
  </si>
  <si>
    <t>steam, steamed, steaming, steams</t>
  </si>
  <si>
    <t>sunset|n</t>
  </si>
  <si>
    <t>sunset</t>
  </si>
  <si>
    <t>sunset, sunsets</t>
  </si>
  <si>
    <t>superior|j</t>
  </si>
  <si>
    <t>superior</t>
  </si>
  <si>
    <t>surgeon|n</t>
  </si>
  <si>
    <t>surgeon</t>
  </si>
  <si>
    <t>surgeon, surgeons</t>
  </si>
  <si>
    <t>tease|v</t>
  </si>
  <si>
    <t>tease</t>
  </si>
  <si>
    <t>tease, teased, teases, teasing</t>
  </si>
  <si>
    <t>thus|r</t>
  </si>
  <si>
    <t>thus</t>
  </si>
  <si>
    <t>twenty-eight|m</t>
  </si>
  <si>
    <t>twenty-eight</t>
  </si>
  <si>
    <t>vegetarian|n</t>
  </si>
  <si>
    <t>vegetarian</t>
  </si>
  <si>
    <t>vegetarian, vegetarians</t>
  </si>
  <si>
    <t>videotape|v</t>
  </si>
  <si>
    <t>videotape</t>
  </si>
  <si>
    <t>videotape, videotaped, videotapes, videotaping</t>
  </si>
  <si>
    <t>view|v</t>
  </si>
  <si>
    <t>view, viewed, viewing, views</t>
  </si>
  <si>
    <t>wide|r</t>
  </si>
  <si>
    <t>workout|n</t>
  </si>
  <si>
    <t>workout</t>
  </si>
  <si>
    <t>workout, workouts</t>
  </si>
  <si>
    <t>wound|n</t>
  </si>
  <si>
    <t>wound</t>
  </si>
  <si>
    <t>wound, wounds</t>
  </si>
  <si>
    <t>pyramid|n</t>
  </si>
  <si>
    <t>pyramid</t>
  </si>
  <si>
    <t>pyramid, pyramids</t>
  </si>
  <si>
    <t>buffet|n</t>
  </si>
  <si>
    <t>buffet</t>
  </si>
  <si>
    <t>buffet, buffets</t>
  </si>
  <si>
    <t>antique|n</t>
  </si>
  <si>
    <t>antique</t>
  </si>
  <si>
    <t>antique, antiques</t>
  </si>
  <si>
    <t>appeal|v</t>
  </si>
  <si>
    <t>appeal</t>
  </si>
  <si>
    <t>appeal, appealed, appealing, appeals</t>
  </si>
  <si>
    <t>arrangement|n</t>
  </si>
  <si>
    <t>arrangement</t>
  </si>
  <si>
    <t>arrangement, arrangements</t>
  </si>
  <si>
    <t>base|n</t>
  </si>
  <si>
    <t>base, bases</t>
  </si>
  <si>
    <t>blues|n</t>
  </si>
  <si>
    <t>blues</t>
  </si>
  <si>
    <t>closure|n</t>
  </si>
  <si>
    <t>closure</t>
  </si>
  <si>
    <t>closure, closures</t>
  </si>
  <si>
    <t>dramatic|j</t>
  </si>
  <si>
    <t>dramatic</t>
  </si>
  <si>
    <t>generally|r</t>
  </si>
  <si>
    <t>generally</t>
  </si>
  <si>
    <t>guinea|j</t>
  </si>
  <si>
    <t>guinea</t>
  </si>
  <si>
    <t>hysterical|j</t>
  </si>
  <si>
    <t>hysterical</t>
  </si>
  <si>
    <t>ill|j</t>
  </si>
  <si>
    <t>ill</t>
  </si>
  <si>
    <t>lid|n</t>
  </si>
  <si>
    <t>lid</t>
  </si>
  <si>
    <t>lid, lids</t>
  </si>
  <si>
    <t>method|n</t>
  </si>
  <si>
    <t>method</t>
  </si>
  <si>
    <t>method, methods</t>
  </si>
  <si>
    <t>outrageous|j</t>
  </si>
  <si>
    <t>outrageous</t>
  </si>
  <si>
    <t>peel|v</t>
  </si>
  <si>
    <t>peel</t>
  </si>
  <si>
    <t>peel, peeled, peeling, peels</t>
  </si>
  <si>
    <t>rash|n</t>
  </si>
  <si>
    <t>rash</t>
  </si>
  <si>
    <t>rash, rashes</t>
  </si>
  <si>
    <t>sacrifice|n</t>
  </si>
  <si>
    <t>sacrifice, sacrifices</t>
  </si>
  <si>
    <t>so-called|j</t>
  </si>
  <si>
    <t>so-called</t>
  </si>
  <si>
    <t>sophisticated|j</t>
  </si>
  <si>
    <t>sophisticated</t>
  </si>
  <si>
    <t>stool|n</t>
  </si>
  <si>
    <t>stool</t>
  </si>
  <si>
    <t>stool, stools</t>
  </si>
  <si>
    <t>struggle|v</t>
  </si>
  <si>
    <t>struggle</t>
  </si>
  <si>
    <t>struggle, struggled, struggles, struggling</t>
  </si>
  <si>
    <t>subtle|j</t>
  </si>
  <si>
    <t>subtle</t>
  </si>
  <si>
    <t>subtle, subtler, subtlest</t>
  </si>
  <si>
    <t>suspend|v</t>
  </si>
  <si>
    <t>suspend</t>
  </si>
  <si>
    <t>suspend, suspended, suspending, suspends</t>
  </si>
  <si>
    <t>tension|n</t>
  </si>
  <si>
    <t>tension</t>
  </si>
  <si>
    <t>tension, tensions</t>
  </si>
  <si>
    <t>water|v</t>
  </si>
  <si>
    <t>water, watered, watering, waters</t>
  </si>
  <si>
    <t>wealthy|j</t>
  </si>
  <si>
    <t>wealthy</t>
  </si>
  <si>
    <t>wealthy, wealthier, wealthiest</t>
  </si>
  <si>
    <t>spare|j</t>
  </si>
  <si>
    <t>spare, sparer, sparest</t>
  </si>
  <si>
    <t>cushion|n</t>
  </si>
  <si>
    <t>cushion</t>
  </si>
  <si>
    <t>cushion, cushions</t>
  </si>
  <si>
    <t>rebel|n</t>
  </si>
  <si>
    <t>rebel</t>
  </si>
  <si>
    <t>rebel, rebels</t>
  </si>
  <si>
    <t>Mafia|K</t>
  </si>
  <si>
    <t>Mafia</t>
  </si>
  <si>
    <t>aim|v</t>
  </si>
  <si>
    <t>aim</t>
  </si>
  <si>
    <t>aim, aimed, aiming, aims</t>
  </si>
  <si>
    <t>auto|n</t>
  </si>
  <si>
    <t>auto</t>
  </si>
  <si>
    <t>auto, autos</t>
  </si>
  <si>
    <t>bowel|n</t>
  </si>
  <si>
    <t>bowel</t>
  </si>
  <si>
    <t>bowel, bowels</t>
  </si>
  <si>
    <t>bug|v</t>
  </si>
  <si>
    <t>bug, bugged, bugging, bugs</t>
  </si>
  <si>
    <t>bummer|n</t>
  </si>
  <si>
    <t>bummer</t>
  </si>
  <si>
    <t>bummer, bummers</t>
  </si>
  <si>
    <t>cater|v</t>
  </si>
  <si>
    <t>cater</t>
  </si>
  <si>
    <t>cater, catered, catering, caters</t>
  </si>
  <si>
    <t>CEO|abbr</t>
  </si>
  <si>
    <t>CEO</t>
  </si>
  <si>
    <t>CEO, CEOs</t>
  </si>
  <si>
    <t>chubby|j</t>
  </si>
  <si>
    <t>chubby</t>
  </si>
  <si>
    <t>chubby, chubbier, chubbiest</t>
  </si>
  <si>
    <t>comfort|v</t>
  </si>
  <si>
    <t>comfort</t>
  </si>
  <si>
    <t>comfort, comforted, comforting, comforts</t>
  </si>
  <si>
    <t>conflict|n</t>
  </si>
  <si>
    <t>conflict</t>
  </si>
  <si>
    <t>conflict, conflicts</t>
  </si>
  <si>
    <t>convert|v</t>
  </si>
  <si>
    <t>convert</t>
  </si>
  <si>
    <t>convert, converted, converting, converts</t>
  </si>
  <si>
    <t>dairy|n</t>
  </si>
  <si>
    <t>dairy</t>
  </si>
  <si>
    <t>dairy, dairies</t>
  </si>
  <si>
    <t>division|n</t>
  </si>
  <si>
    <t>division</t>
  </si>
  <si>
    <t>division, divisions</t>
  </si>
  <si>
    <t>donation|n</t>
  </si>
  <si>
    <t>donation</t>
  </si>
  <si>
    <t>donation, donations</t>
  </si>
  <si>
    <t>edit|v</t>
  </si>
  <si>
    <t>edit</t>
  </si>
  <si>
    <t>edit, edited, editing, edits</t>
  </si>
  <si>
    <t>expire|v</t>
  </si>
  <si>
    <t>expire</t>
  </si>
  <si>
    <t>expire, expired, expires, expiring</t>
  </si>
  <si>
    <t>flash|v</t>
  </si>
  <si>
    <t>flash, flashed, flashes, flashing</t>
  </si>
  <si>
    <t>flyer|n</t>
  </si>
  <si>
    <t>flyer</t>
  </si>
  <si>
    <t>flyer, flyers</t>
  </si>
  <si>
    <t>freaky|j</t>
  </si>
  <si>
    <t>freaky</t>
  </si>
  <si>
    <t>freaky, freakier, freakiest</t>
  </si>
  <si>
    <t>goods|n</t>
  </si>
  <si>
    <t>goods</t>
  </si>
  <si>
    <t>hamster|n</t>
  </si>
  <si>
    <t>hamster</t>
  </si>
  <si>
    <t>hamster, hamsters</t>
  </si>
  <si>
    <t>honesty|n</t>
  </si>
  <si>
    <t>honesty</t>
  </si>
  <si>
    <t>honesty, honesties</t>
  </si>
  <si>
    <t>ignorant|j</t>
  </si>
  <si>
    <t>ignorant</t>
  </si>
  <si>
    <t>inspiration|n</t>
  </si>
  <si>
    <t>inspiration</t>
  </si>
  <si>
    <t>inspiration, inspirations</t>
  </si>
  <si>
    <t>masturbate|v</t>
  </si>
  <si>
    <t>masturbate</t>
  </si>
  <si>
    <t>masturbate, masturbated, masturbates, masturbating</t>
  </si>
  <si>
    <t>melon|n</t>
  </si>
  <si>
    <t>melon</t>
  </si>
  <si>
    <t>melon, melons</t>
  </si>
  <si>
    <t>metaphor|n</t>
  </si>
  <si>
    <t>metaphor</t>
  </si>
  <si>
    <t>metaphor, metaphors</t>
  </si>
  <si>
    <t>midget|n</t>
  </si>
  <si>
    <t>midget</t>
  </si>
  <si>
    <t>midget, midgets</t>
  </si>
  <si>
    <t>moral|j</t>
  </si>
  <si>
    <t>moral</t>
  </si>
  <si>
    <t>motel|n</t>
  </si>
  <si>
    <t>motel</t>
  </si>
  <si>
    <t>motel, motels</t>
  </si>
  <si>
    <t>net|n</t>
  </si>
  <si>
    <t>net</t>
  </si>
  <si>
    <t>net, nets</t>
  </si>
  <si>
    <t>one hundred fifty|m</t>
  </si>
  <si>
    <t>one hundred fifty</t>
  </si>
  <si>
    <t>participate|v</t>
  </si>
  <si>
    <t>participate</t>
  </si>
  <si>
    <t>participate, participated, participates, participating</t>
  </si>
  <si>
    <t>quarterback|n</t>
  </si>
  <si>
    <t>quarterback</t>
  </si>
  <si>
    <t>quarterback, quarterbacks</t>
  </si>
  <si>
    <t>radiation|n</t>
  </si>
  <si>
    <t>radiation</t>
  </si>
  <si>
    <t>radiation, radiations</t>
  </si>
  <si>
    <t>raw|j</t>
  </si>
  <si>
    <t>raw</t>
  </si>
  <si>
    <t>raw, rawer, rawest</t>
  </si>
  <si>
    <t>relate|v</t>
  </si>
  <si>
    <t>relate</t>
  </si>
  <si>
    <t>relate, related, relates, relating</t>
  </si>
  <si>
    <t>resident|n</t>
  </si>
  <si>
    <t>resident</t>
  </si>
  <si>
    <t>resident, residents</t>
  </si>
  <si>
    <t>seventy-two|m</t>
  </si>
  <si>
    <t>seventy-two</t>
  </si>
  <si>
    <t>snuggle|v</t>
  </si>
  <si>
    <t>snuggle</t>
  </si>
  <si>
    <t>snuggle, snuggled, snuggles, snuggling</t>
  </si>
  <si>
    <t>southern|j</t>
  </si>
  <si>
    <t>southern</t>
  </si>
  <si>
    <t>southern, southernmost</t>
  </si>
  <si>
    <t>sticky|j</t>
  </si>
  <si>
    <t>sticky</t>
  </si>
  <si>
    <t>sticky, stickier, stickiest</t>
  </si>
  <si>
    <t>three-way|n</t>
  </si>
  <si>
    <t>three-way</t>
  </si>
  <si>
    <t>three-way, three-ways</t>
  </si>
  <si>
    <t>tin|n</t>
  </si>
  <si>
    <t>tin</t>
  </si>
  <si>
    <t>tin, tins</t>
  </si>
  <si>
    <t>workplace|n</t>
  </si>
  <si>
    <t>workplace</t>
  </si>
  <si>
    <t>workplace, workplaces</t>
  </si>
  <si>
    <t>zoom|v</t>
  </si>
  <si>
    <t>zoom</t>
  </si>
  <si>
    <t>zoom, zoomed, zooming, zooms</t>
  </si>
  <si>
    <t>acting|n</t>
  </si>
  <si>
    <t>acting</t>
  </si>
  <si>
    <t>spiritual|j</t>
  </si>
  <si>
    <t>spiritual</t>
  </si>
  <si>
    <t>slot|n</t>
  </si>
  <si>
    <t>slot</t>
  </si>
  <si>
    <t>slot, slots</t>
  </si>
  <si>
    <t>activate|v</t>
  </si>
  <si>
    <t>activate</t>
  </si>
  <si>
    <t>activate, activated, activates, activating</t>
  </si>
  <si>
    <t>air|v</t>
  </si>
  <si>
    <t>air, aired, airing, airs</t>
  </si>
  <si>
    <t>briefcase|n</t>
  </si>
  <si>
    <t>briefcase</t>
  </si>
  <si>
    <t>briefcase, briefcases</t>
  </si>
  <si>
    <t>cologne|n</t>
  </si>
  <si>
    <t>cologne</t>
  </si>
  <si>
    <t>cologne, colognes</t>
  </si>
  <si>
    <t>competitive|j</t>
  </si>
  <si>
    <t>competitive</t>
  </si>
  <si>
    <t>cross|n</t>
  </si>
  <si>
    <t>cross, crosses</t>
  </si>
  <si>
    <t>depression|n</t>
  </si>
  <si>
    <t>depression</t>
  </si>
  <si>
    <t>depression, depressions</t>
  </si>
  <si>
    <t>early|r</t>
  </si>
  <si>
    <t>extend|v</t>
  </si>
  <si>
    <t>extend</t>
  </si>
  <si>
    <t>extend, extended, extending, extends</t>
  </si>
  <si>
    <t>fighter|n</t>
  </si>
  <si>
    <t>fighter</t>
  </si>
  <si>
    <t>fighter, fighters</t>
  </si>
  <si>
    <t>gently|r</t>
  </si>
  <si>
    <t>gently</t>
  </si>
  <si>
    <t>gone|j</t>
  </si>
  <si>
    <t>gone</t>
  </si>
  <si>
    <t>graduation|n</t>
  </si>
  <si>
    <t>graduation</t>
  </si>
  <si>
    <t>graduation, graduations</t>
  </si>
  <si>
    <t>grief|n</t>
  </si>
  <si>
    <t>grief</t>
  </si>
  <si>
    <t>grief, griefs</t>
  </si>
  <si>
    <t>growth|n</t>
  </si>
  <si>
    <t>growth</t>
  </si>
  <si>
    <t>growth, growths</t>
  </si>
  <si>
    <t>infect|v</t>
  </si>
  <si>
    <t>infect</t>
  </si>
  <si>
    <t>infect, infected, infecting, infects</t>
  </si>
  <si>
    <t>latte|n</t>
  </si>
  <si>
    <t>latte</t>
  </si>
  <si>
    <t>latte, lattes</t>
  </si>
  <si>
    <t>leak|n</t>
  </si>
  <si>
    <t>leak</t>
  </si>
  <si>
    <t>leak, leaks</t>
  </si>
  <si>
    <t>logical|j</t>
  </si>
  <si>
    <t>logical</t>
  </si>
  <si>
    <t>lure|v</t>
  </si>
  <si>
    <t>lure</t>
  </si>
  <si>
    <t>lure, lured, lures, luring</t>
  </si>
  <si>
    <t>macaroni|n</t>
  </si>
  <si>
    <t>macaroni</t>
  </si>
  <si>
    <t>macaroni, macaronis</t>
  </si>
  <si>
    <t>millennium|n</t>
  </si>
  <si>
    <t>millennium</t>
  </si>
  <si>
    <t>millennium, millennia, millenniums</t>
  </si>
  <si>
    <t>ninety-nine|m</t>
  </si>
  <si>
    <t>ninety-nine</t>
  </si>
  <si>
    <t>olive|n</t>
  </si>
  <si>
    <t>olive</t>
  </si>
  <si>
    <t>olive, olives</t>
  </si>
  <si>
    <t>ordinary|j</t>
  </si>
  <si>
    <t>ordinary</t>
  </si>
  <si>
    <t>outer|j</t>
  </si>
  <si>
    <t>outer</t>
  </si>
  <si>
    <t>outer, outermost</t>
  </si>
  <si>
    <t>oxygen|n</t>
  </si>
  <si>
    <t>oxygen</t>
  </si>
  <si>
    <t>oxygen, oxygens</t>
  </si>
  <si>
    <t>patient|j</t>
  </si>
  <si>
    <t>patient, patienter, patientest</t>
  </si>
  <si>
    <t>peaceful|j</t>
  </si>
  <si>
    <t>peaceful</t>
  </si>
  <si>
    <t>phony|n</t>
  </si>
  <si>
    <t>phony</t>
  </si>
  <si>
    <t>phony, phoney, phoneys, phonies</t>
  </si>
  <si>
    <t>protocol|n</t>
  </si>
  <si>
    <t>protocol</t>
  </si>
  <si>
    <t>protocol, protocols</t>
  </si>
  <si>
    <t>realistic|j</t>
  </si>
  <si>
    <t>realistic</t>
  </si>
  <si>
    <t>recital|n</t>
  </si>
  <si>
    <t>recital</t>
  </si>
  <si>
    <t>recital, recitals</t>
  </si>
  <si>
    <t>remarkable|j</t>
  </si>
  <si>
    <t>remarkable</t>
  </si>
  <si>
    <t>sabotage|v</t>
  </si>
  <si>
    <t>sabotage</t>
  </si>
  <si>
    <t>sabotage, sabotaged, sabotages, sabotaging</t>
  </si>
  <si>
    <t>sadly|r</t>
  </si>
  <si>
    <t>sadly</t>
  </si>
  <si>
    <t>senior|n</t>
  </si>
  <si>
    <t>senior, seniors</t>
  </si>
  <si>
    <t>sparkle|v</t>
  </si>
  <si>
    <t>sparkle</t>
  </si>
  <si>
    <t>sparkle, sparkled, sparkles, sparkling</t>
  </si>
  <si>
    <t>thirty-two|m</t>
  </si>
  <si>
    <t>thirty-two</t>
  </si>
  <si>
    <t>tow|v</t>
  </si>
  <si>
    <t>tow</t>
  </si>
  <si>
    <t>tow, towed, towing, tows</t>
  </si>
  <si>
    <t>vulnerable|j</t>
  </si>
  <si>
    <t>vulnerable</t>
  </si>
  <si>
    <t>waters|n</t>
  </si>
  <si>
    <t>waters</t>
  </si>
  <si>
    <t>welcome|n</t>
  </si>
  <si>
    <t>welcome, welcomes</t>
  </si>
  <si>
    <t>wolf|n</t>
  </si>
  <si>
    <t>wolf</t>
  </si>
  <si>
    <t>wolf, wolves</t>
  </si>
  <si>
    <t>wreck|n</t>
  </si>
  <si>
    <t>wreck, wrecks</t>
  </si>
  <si>
    <t>yum|u</t>
  </si>
  <si>
    <t>yum</t>
  </si>
  <si>
    <t>loaf|v</t>
  </si>
  <si>
    <t>loaf</t>
  </si>
  <si>
    <t>loaf, loaves</t>
  </si>
  <si>
    <t>perfume|v</t>
  </si>
  <si>
    <t>perfume</t>
  </si>
  <si>
    <t>perfume, perfumes</t>
  </si>
  <si>
    <t>bare|j</t>
  </si>
  <si>
    <t>bare</t>
  </si>
  <si>
    <t>bare, barer, barest</t>
  </si>
  <si>
    <t>resume|n</t>
  </si>
  <si>
    <t>resume</t>
  </si>
  <si>
    <t>resume, resumes</t>
  </si>
  <si>
    <t>scar|n</t>
  </si>
  <si>
    <t>scar</t>
  </si>
  <si>
    <t>scar, scars</t>
  </si>
  <si>
    <t>bang|u</t>
  </si>
  <si>
    <t>address|v</t>
  </si>
  <si>
    <t>address, addressed, addresses, addressing</t>
  </si>
  <si>
    <t>agenda|n</t>
  </si>
  <si>
    <t>agenda</t>
  </si>
  <si>
    <t>agenda, agendas</t>
  </si>
  <si>
    <t>assign|v</t>
  </si>
  <si>
    <t>assign</t>
  </si>
  <si>
    <t>assign, assigned, assigning, assigns</t>
  </si>
  <si>
    <t>autograph|n</t>
  </si>
  <si>
    <t>autograph</t>
  </si>
  <si>
    <t>autograph, autographs</t>
  </si>
  <si>
    <t>await|v</t>
  </si>
  <si>
    <t>await</t>
  </si>
  <si>
    <t>await, awaited, awaiting, awaits</t>
  </si>
  <si>
    <t>billionaire|n</t>
  </si>
  <si>
    <t>billionaire</t>
  </si>
  <si>
    <t>billionaire, billionaires</t>
  </si>
  <si>
    <t>bookstore|n</t>
  </si>
  <si>
    <t>bookstore</t>
  </si>
  <si>
    <t>bookstore, bookstores</t>
  </si>
  <si>
    <t>buyer|n</t>
  </si>
  <si>
    <t>buyer</t>
  </si>
  <si>
    <t>buyer, buyers</t>
  </si>
  <si>
    <t>charade|n</t>
  </si>
  <si>
    <t>charade</t>
  </si>
  <si>
    <t>charade, charades</t>
  </si>
  <si>
    <t>collapse|v</t>
  </si>
  <si>
    <t>collapse</t>
  </si>
  <si>
    <t>collapse, collapsed, collapses, collapsing</t>
  </si>
  <si>
    <t>conditioning|n</t>
  </si>
  <si>
    <t>conditioning</t>
  </si>
  <si>
    <t>conditioning, conditionings</t>
  </si>
  <si>
    <t>consequence|n</t>
  </si>
  <si>
    <t>consequence</t>
  </si>
  <si>
    <t>consequence, consequences</t>
  </si>
  <si>
    <t>crooked|j</t>
  </si>
  <si>
    <t>crooked</t>
  </si>
  <si>
    <t>cultural|j</t>
  </si>
  <si>
    <t>cultural</t>
  </si>
  <si>
    <t>dating|n</t>
  </si>
  <si>
    <t>dating</t>
  </si>
  <si>
    <t>dating, datings</t>
  </si>
  <si>
    <t>December|K</t>
  </si>
  <si>
    <t>December</t>
  </si>
  <si>
    <t>December, Decembers</t>
  </si>
  <si>
    <t>deli|n</t>
  </si>
  <si>
    <t>deli</t>
  </si>
  <si>
    <t>deli, delis</t>
  </si>
  <si>
    <t>examine|v</t>
  </si>
  <si>
    <t>examine</t>
  </si>
  <si>
    <t>examine, examined, examines, examining</t>
  </si>
  <si>
    <t>fry|v</t>
  </si>
  <si>
    <t>fry, fried, fries, frying</t>
  </si>
  <si>
    <t>grown|j</t>
  </si>
  <si>
    <t>grown</t>
  </si>
  <si>
    <t>hormone|n</t>
  </si>
  <si>
    <t>hormone</t>
  </si>
  <si>
    <t>hormone, hormones</t>
  </si>
  <si>
    <t>hush|u</t>
  </si>
  <si>
    <t>hush</t>
  </si>
  <si>
    <t>insecure|j</t>
  </si>
  <si>
    <t>insecure</t>
  </si>
  <si>
    <t>intention|n</t>
  </si>
  <si>
    <t>intention</t>
  </si>
  <si>
    <t>intention, intentions</t>
  </si>
  <si>
    <t>international|j</t>
  </si>
  <si>
    <t>international</t>
  </si>
  <si>
    <t>karaoke|n</t>
  </si>
  <si>
    <t>karaoke</t>
  </si>
  <si>
    <t>karaoke, karaokes</t>
  </si>
  <si>
    <t>line|v</t>
  </si>
  <si>
    <t>line, lined, lines, lining</t>
  </si>
  <si>
    <t>maple|n</t>
  </si>
  <si>
    <t>maple</t>
  </si>
  <si>
    <t>maple, maples</t>
  </si>
  <si>
    <t>one thousand one hundred|m</t>
  </si>
  <si>
    <t>one thousand one hundred</t>
  </si>
  <si>
    <t>pose|v</t>
  </si>
  <si>
    <t>pose</t>
  </si>
  <si>
    <t>pose, posed, poses, posing</t>
  </si>
  <si>
    <t>psychiatrist|n</t>
  </si>
  <si>
    <t>psychiatrist</t>
  </si>
  <si>
    <t>psychiatrist, psychiatrists</t>
  </si>
  <si>
    <t>repair|n</t>
  </si>
  <si>
    <t>repair</t>
  </si>
  <si>
    <t>repair, repairs</t>
  </si>
  <si>
    <t>shotgun|n</t>
  </si>
  <si>
    <t>shotgun</t>
  </si>
  <si>
    <t>shotgun, shotguns</t>
  </si>
  <si>
    <t>steady|j</t>
  </si>
  <si>
    <t>steady</t>
  </si>
  <si>
    <t>steady, steadier, steadiest</t>
  </si>
  <si>
    <t>strategy|n</t>
  </si>
  <si>
    <t>strategy</t>
  </si>
  <si>
    <t>strategy, strategies</t>
  </si>
  <si>
    <t>tempt|v</t>
  </si>
  <si>
    <t>tempt</t>
  </si>
  <si>
    <t>tempt, tempted, tempting, tempts</t>
  </si>
  <si>
    <t>vet|n</t>
  </si>
  <si>
    <t>vet</t>
  </si>
  <si>
    <t>vet, vets</t>
  </si>
  <si>
    <t>witness|v</t>
  </si>
  <si>
    <t>witness, witnessed, witnesses, witnessing</t>
  </si>
  <si>
    <t>yikes|u</t>
  </si>
  <si>
    <t>yikes</t>
  </si>
  <si>
    <t>hood|n</t>
  </si>
  <si>
    <t>hood</t>
  </si>
  <si>
    <t>hood, hoods</t>
  </si>
  <si>
    <t>dawn|n</t>
  </si>
  <si>
    <t>dawn</t>
  </si>
  <si>
    <t>dawn, dawns</t>
  </si>
  <si>
    <t>motor|n</t>
  </si>
  <si>
    <t>motor</t>
  </si>
  <si>
    <t>motor, motors</t>
  </si>
  <si>
    <t>tent|n</t>
  </si>
  <si>
    <t>tent</t>
  </si>
  <si>
    <t>tent, tents</t>
  </si>
  <si>
    <t>tumor|n</t>
  </si>
  <si>
    <t>tumor</t>
  </si>
  <si>
    <t>tumor, tumors</t>
  </si>
  <si>
    <t>bathtub|n</t>
  </si>
  <si>
    <t>bathtub</t>
  </si>
  <si>
    <t>bathtub, bathtubs</t>
  </si>
  <si>
    <t>bitch|v</t>
  </si>
  <si>
    <t>bitch, bitched, bitches, bitching</t>
  </si>
  <si>
    <t>broad|j</t>
  </si>
  <si>
    <t>broad</t>
  </si>
  <si>
    <t>broad, broader, broadest</t>
  </si>
  <si>
    <t>brutal|j</t>
  </si>
  <si>
    <t>brutal</t>
  </si>
  <si>
    <t>buzz|v</t>
  </si>
  <si>
    <t>buzz</t>
  </si>
  <si>
    <t>buzz, buzzed, buzzes, buzzing</t>
  </si>
  <si>
    <t>campaign|n</t>
  </si>
  <si>
    <t>campaign</t>
  </si>
  <si>
    <t>campaign, campaigns</t>
  </si>
  <si>
    <t>conduct|v</t>
  </si>
  <si>
    <t>conduct</t>
  </si>
  <si>
    <t>conduct, conducted, conducting, conducts</t>
  </si>
  <si>
    <t>copier|n</t>
  </si>
  <si>
    <t>copier</t>
  </si>
  <si>
    <t>copier, copiers</t>
  </si>
  <si>
    <t>cranky|j</t>
  </si>
  <si>
    <t>cranky</t>
  </si>
  <si>
    <t>cranky, crankier, crankiest</t>
  </si>
  <si>
    <t>eternal|j</t>
  </si>
  <si>
    <t>eternal</t>
  </si>
  <si>
    <t>foam|n</t>
  </si>
  <si>
    <t>foam</t>
  </si>
  <si>
    <t>foam, foams</t>
  </si>
  <si>
    <t>FYI|abbr</t>
  </si>
  <si>
    <t>FYI</t>
  </si>
  <si>
    <t>google|v</t>
  </si>
  <si>
    <t>google</t>
  </si>
  <si>
    <t>google, googles, googling, googled</t>
  </si>
  <si>
    <t>greedy|j</t>
  </si>
  <si>
    <t>greedy</t>
  </si>
  <si>
    <t>greedy, greedier, greediest</t>
  </si>
  <si>
    <t>hiya|u</t>
  </si>
  <si>
    <t>hiya</t>
  </si>
  <si>
    <t>kisser|n</t>
  </si>
  <si>
    <t>kisser</t>
  </si>
  <si>
    <t>kisser, kissers</t>
  </si>
  <si>
    <t>lava|n</t>
  </si>
  <si>
    <t>lava</t>
  </si>
  <si>
    <t>lava, lavas</t>
  </si>
  <si>
    <t>like|n</t>
  </si>
  <si>
    <t>like, likes</t>
  </si>
  <si>
    <t>loosen|v</t>
  </si>
  <si>
    <t>loosen</t>
  </si>
  <si>
    <t>loosen, loosened, loosening, loosens</t>
  </si>
  <si>
    <t>Lord|u</t>
  </si>
  <si>
    <t>mailbox|n</t>
  </si>
  <si>
    <t>mailbox</t>
  </si>
  <si>
    <t>mailbox, mailboxes</t>
  </si>
  <si>
    <t>naive|j</t>
  </si>
  <si>
    <t>naive</t>
  </si>
  <si>
    <t>naive, naiver, naivest</t>
  </si>
  <si>
    <t>November|K</t>
  </si>
  <si>
    <t>November</t>
  </si>
  <si>
    <t>November, Novembers</t>
  </si>
  <si>
    <t>particle|n</t>
  </si>
  <si>
    <t>particle</t>
  </si>
  <si>
    <t>particle, particles</t>
  </si>
  <si>
    <t>perspective|n</t>
  </si>
  <si>
    <t>perspective</t>
  </si>
  <si>
    <t>perspective, perspectives</t>
  </si>
  <si>
    <t>plug|n</t>
  </si>
  <si>
    <t>plug, plugs</t>
  </si>
  <si>
    <t>privilege|n</t>
  </si>
  <si>
    <t>privilege</t>
  </si>
  <si>
    <t>privilege, privileges</t>
  </si>
  <si>
    <t>resolve|v</t>
  </si>
  <si>
    <t>resolve</t>
  </si>
  <si>
    <t>resolve, resolved, resolves, resolving</t>
  </si>
  <si>
    <t>scarf|n</t>
  </si>
  <si>
    <t>scarf</t>
  </si>
  <si>
    <t>scarf, scarfs, scarves</t>
  </si>
  <si>
    <t>start|n</t>
  </si>
  <si>
    <t>start, starts</t>
  </si>
  <si>
    <t>trainer|n</t>
  </si>
  <si>
    <t>trainer</t>
  </si>
  <si>
    <t>trainer, trainers</t>
  </si>
  <si>
    <t>unable|j</t>
  </si>
  <si>
    <t>unable</t>
  </si>
  <si>
    <t>unacceptable|j</t>
  </si>
  <si>
    <t>unacceptable</t>
  </si>
  <si>
    <t>unfortunate|j</t>
  </si>
  <si>
    <t>unfortunate</t>
  </si>
  <si>
    <t>update|n</t>
  </si>
  <si>
    <t>update</t>
  </si>
  <si>
    <t>update, updates</t>
  </si>
  <si>
    <t>volcano|n</t>
  </si>
  <si>
    <t>volcano</t>
  </si>
  <si>
    <t>volcano, volcanoes, volcanos</t>
  </si>
  <si>
    <t>weed|n</t>
  </si>
  <si>
    <t>weed</t>
  </si>
  <si>
    <t>weed, weeds</t>
  </si>
  <si>
    <t>worthy|j</t>
  </si>
  <si>
    <t>worthy</t>
  </si>
  <si>
    <t>worthy, worthier, worthiest</t>
  </si>
  <si>
    <t>vault|n</t>
  </si>
  <si>
    <t>vault</t>
  </si>
  <si>
    <t>vault, vaults</t>
  </si>
  <si>
    <t>permanent|j</t>
  </si>
  <si>
    <t>permanent</t>
  </si>
  <si>
    <t>gag|n</t>
  </si>
  <si>
    <t>gag</t>
  </si>
  <si>
    <t>gag, gags</t>
  </si>
  <si>
    <t>addicted|j</t>
  </si>
  <si>
    <t>addicted</t>
  </si>
  <si>
    <t>bah|u</t>
  </si>
  <si>
    <t>bah</t>
  </si>
  <si>
    <t>balance|v</t>
  </si>
  <si>
    <t>balance, balanced, balances, balancing</t>
  </si>
  <si>
    <t>bitter|j</t>
  </si>
  <si>
    <t>bitter</t>
  </si>
  <si>
    <t>bitter, bitterer, bitterest</t>
  </si>
  <si>
    <t>boo|v</t>
  </si>
  <si>
    <t>boo, booed, booing, boos</t>
  </si>
  <si>
    <t>braces|n</t>
  </si>
  <si>
    <t>braces</t>
  </si>
  <si>
    <t>cashmere|n</t>
  </si>
  <si>
    <t>cashmere</t>
  </si>
  <si>
    <t>cashmere, cashmeres</t>
  </si>
  <si>
    <t>chimp|n</t>
  </si>
  <si>
    <t>chimp</t>
  </si>
  <si>
    <t>chimp, chimps</t>
  </si>
  <si>
    <t>comfort|n</t>
  </si>
  <si>
    <t>comfort, comforts</t>
  </si>
  <si>
    <t>communist|n</t>
  </si>
  <si>
    <t>communist</t>
  </si>
  <si>
    <t>communist, communists</t>
  </si>
  <si>
    <t>consultant|n</t>
  </si>
  <si>
    <t>consultant</t>
  </si>
  <si>
    <t>consultant, consultants</t>
  </si>
  <si>
    <t>criticize|v</t>
  </si>
  <si>
    <t>criticize</t>
  </si>
  <si>
    <t>criticize, criticized, criticizes, criticizing</t>
  </si>
  <si>
    <t>cutie|n</t>
  </si>
  <si>
    <t>cutie</t>
  </si>
  <si>
    <t>cutie, cutey, cuteys, cuties</t>
  </si>
  <si>
    <t>decaf|n</t>
  </si>
  <si>
    <t>decaf</t>
  </si>
  <si>
    <t>decaf, decaff, decaffs, decafs</t>
  </si>
  <si>
    <t>demonstrate|v</t>
  </si>
  <si>
    <t>demonstrate</t>
  </si>
  <si>
    <t>demonstrate, demonstrated, demonstrates, demonstrating</t>
  </si>
  <si>
    <t>denial|n</t>
  </si>
  <si>
    <t>denial</t>
  </si>
  <si>
    <t>denial, denials</t>
  </si>
  <si>
    <t>distraction|n</t>
  </si>
  <si>
    <t>distraction</t>
  </si>
  <si>
    <t>distraction, distractions</t>
  </si>
  <si>
    <t>dunk|v</t>
  </si>
  <si>
    <t>dunk</t>
  </si>
  <si>
    <t>dunk, dunked, dunking, dunks</t>
  </si>
  <si>
    <t>edition|n</t>
  </si>
  <si>
    <t>edition</t>
  </si>
  <si>
    <t>edition, editions</t>
  </si>
  <si>
    <t>embarrassment|n</t>
  </si>
  <si>
    <t>embarrassment</t>
  </si>
  <si>
    <t>embarrassment, embarrassments</t>
  </si>
  <si>
    <t>extension|n</t>
  </si>
  <si>
    <t>extension</t>
  </si>
  <si>
    <t>extension, extensions</t>
  </si>
  <si>
    <t>Frisbee|K</t>
  </si>
  <si>
    <t>Frisbee</t>
  </si>
  <si>
    <t>Frisbee, Frisbees</t>
  </si>
  <si>
    <t>grind|v</t>
  </si>
  <si>
    <t>grind</t>
  </si>
  <si>
    <t>grind, grinding, grinds, ground</t>
  </si>
  <si>
    <t>hairy|j</t>
  </si>
  <si>
    <t>hairy</t>
  </si>
  <si>
    <t>hairy, hairier, hairiest</t>
  </si>
  <si>
    <t>handy|j</t>
  </si>
  <si>
    <t>handy</t>
  </si>
  <si>
    <t>handy, handier, handiest</t>
  </si>
  <si>
    <t>humble|j</t>
  </si>
  <si>
    <t>humble</t>
  </si>
  <si>
    <t>humble, humbler, humblest</t>
  </si>
  <si>
    <t>juggle|v</t>
  </si>
  <si>
    <t>juggle</t>
  </si>
  <si>
    <t>juggle, juggled, juggles, juggling</t>
  </si>
  <si>
    <t>kit|n</t>
  </si>
  <si>
    <t>kit</t>
  </si>
  <si>
    <t>kit, kits</t>
  </si>
  <si>
    <t>lift|n</t>
  </si>
  <si>
    <t>lift, lifts</t>
  </si>
  <si>
    <t>loyalty|n</t>
  </si>
  <si>
    <t>loyalty</t>
  </si>
  <si>
    <t>loyalty, loyalties</t>
  </si>
  <si>
    <t>lyric|n</t>
  </si>
  <si>
    <t>lyric</t>
  </si>
  <si>
    <t>lyric, lyrics</t>
  </si>
  <si>
    <t>maestro|n</t>
  </si>
  <si>
    <t>maestro</t>
  </si>
  <si>
    <t>maestro, maestri, maestros</t>
  </si>
  <si>
    <t>margarita|n</t>
  </si>
  <si>
    <t>margarita</t>
  </si>
  <si>
    <t>margarita, margaritas</t>
  </si>
  <si>
    <t>molest|v</t>
  </si>
  <si>
    <t>molest</t>
  </si>
  <si>
    <t>molest, molested, molesting, molests</t>
  </si>
  <si>
    <t>occasionally|r</t>
  </si>
  <si>
    <t>occasionally</t>
  </si>
  <si>
    <t>overwhelm|v</t>
  </si>
  <si>
    <t>overwhelm</t>
  </si>
  <si>
    <t>overwhelm, overwhelmed, overwhelming, overwhelms</t>
  </si>
  <si>
    <t>pee|n</t>
  </si>
  <si>
    <t>pee, pees</t>
  </si>
  <si>
    <t>pharmacy|n</t>
  </si>
  <si>
    <t>pharmacy</t>
  </si>
  <si>
    <t>pharmacy, pharmacies</t>
  </si>
  <si>
    <t>preserve|v</t>
  </si>
  <si>
    <t>preserve</t>
  </si>
  <si>
    <t>preserve, preserved, preserves, preserving</t>
  </si>
  <si>
    <t>properly|r</t>
  </si>
  <si>
    <t>properly</t>
  </si>
  <si>
    <t>restroom|n</t>
  </si>
  <si>
    <t>restroom</t>
  </si>
  <si>
    <t>restroom, restrooms</t>
  </si>
  <si>
    <t>secure|j</t>
  </si>
  <si>
    <t>secure</t>
  </si>
  <si>
    <t>secure, securer, securest</t>
  </si>
  <si>
    <t>settlement|n</t>
  </si>
  <si>
    <t>settlement</t>
  </si>
  <si>
    <t>settlement, settlements</t>
  </si>
  <si>
    <t>sundae|n</t>
  </si>
  <si>
    <t>sundae</t>
  </si>
  <si>
    <t>sundae, sundaes</t>
  </si>
  <si>
    <t>Thai|K</t>
  </si>
  <si>
    <t>Thai</t>
  </si>
  <si>
    <t>toad|n</t>
  </si>
  <si>
    <t>toad</t>
  </si>
  <si>
    <t>toad, toads</t>
  </si>
  <si>
    <t>trailer|n</t>
  </si>
  <si>
    <t>trailer</t>
  </si>
  <si>
    <t>trailer, trailers</t>
  </si>
  <si>
    <t>transform|v</t>
  </si>
  <si>
    <t>transform</t>
  </si>
  <si>
    <t>transform, transformed, transforming, transforms</t>
  </si>
  <si>
    <t>trust|n</t>
  </si>
  <si>
    <t>trust, trusts</t>
  </si>
  <si>
    <t>uterus|n</t>
  </si>
  <si>
    <t>uterus</t>
  </si>
  <si>
    <t>uterus, uteri, uteruses</t>
  </si>
  <si>
    <t>violation|n</t>
  </si>
  <si>
    <t>violation</t>
  </si>
  <si>
    <t>violation, violations</t>
  </si>
  <si>
    <t>weekly|j</t>
  </si>
  <si>
    <t>weekly</t>
  </si>
  <si>
    <t>blog|n</t>
  </si>
  <si>
    <t>blog</t>
  </si>
  <si>
    <t>blog, blogs</t>
  </si>
  <si>
    <t>flying|j</t>
  </si>
  <si>
    <t>flying</t>
  </si>
  <si>
    <t>advise|v</t>
  </si>
  <si>
    <t>advise</t>
  </si>
  <si>
    <t>advise, advised, advises, advising</t>
  </si>
  <si>
    <t>altar|n</t>
  </si>
  <si>
    <t>altar</t>
  </si>
  <si>
    <t>altar, altars</t>
  </si>
  <si>
    <t>assembly|n</t>
  </si>
  <si>
    <t>assembly</t>
  </si>
  <si>
    <t>assembly, assemblies</t>
  </si>
  <si>
    <t>bath|v</t>
  </si>
  <si>
    <t>bath, bathed, bathing, baths</t>
  </si>
  <si>
    <t>beaver|n</t>
  </si>
  <si>
    <t>beaver</t>
  </si>
  <si>
    <t>beaver, beavers</t>
  </si>
  <si>
    <t>blazer|n</t>
  </si>
  <si>
    <t>blazer</t>
  </si>
  <si>
    <t>blazer, blazers</t>
  </si>
  <si>
    <t>compromise|v</t>
  </si>
  <si>
    <t>compromise</t>
  </si>
  <si>
    <t>compromise, compromised, compromises, compromising</t>
  </si>
  <si>
    <t>conspiracy|n</t>
  </si>
  <si>
    <t>conspiracy</t>
  </si>
  <si>
    <t>conspiracy, conspiracies</t>
  </si>
  <si>
    <t>critical|j</t>
  </si>
  <si>
    <t>critical</t>
  </si>
  <si>
    <t>devastated|j</t>
  </si>
  <si>
    <t>devastated</t>
  </si>
  <si>
    <t>disappointment|n</t>
  </si>
  <si>
    <t>disappointment</t>
  </si>
  <si>
    <t>disappointment, disappointments</t>
  </si>
  <si>
    <t>drawing|n</t>
  </si>
  <si>
    <t>drawing</t>
  </si>
  <si>
    <t>drawing, drawings</t>
  </si>
  <si>
    <t>dumpster|n</t>
  </si>
  <si>
    <t>dumpster</t>
  </si>
  <si>
    <t>dumpster, dumpsters</t>
  </si>
  <si>
    <t>feather|n</t>
  </si>
  <si>
    <t>feather</t>
  </si>
  <si>
    <t>feather, feathers</t>
  </si>
  <si>
    <t>feature|v</t>
  </si>
  <si>
    <t>feature, featured, features, featuring</t>
  </si>
  <si>
    <t>furious|j</t>
  </si>
  <si>
    <t>furious</t>
  </si>
  <si>
    <t>goddess|n</t>
  </si>
  <si>
    <t>goddess</t>
  </si>
  <si>
    <t>goddess, goddesses</t>
  </si>
  <si>
    <t>housekeeper|n</t>
  </si>
  <si>
    <t>housekeeper</t>
  </si>
  <si>
    <t>housekeeper, housekeepers</t>
  </si>
  <si>
    <t>immature|j</t>
  </si>
  <si>
    <t>immature</t>
  </si>
  <si>
    <t>jackpot|n</t>
  </si>
  <si>
    <t>jackpot</t>
  </si>
  <si>
    <t>jackpot, jackpots</t>
  </si>
  <si>
    <t>janitor|n</t>
  </si>
  <si>
    <t>janitor</t>
  </si>
  <si>
    <t>janitor, janitors</t>
  </si>
  <si>
    <t>jungle|n</t>
  </si>
  <si>
    <t>jungle</t>
  </si>
  <si>
    <t>jungle, jungles</t>
  </si>
  <si>
    <t>Korean|K</t>
  </si>
  <si>
    <t>Korean</t>
  </si>
  <si>
    <t>Korean, Koreans</t>
  </si>
  <si>
    <t>lasagna|n</t>
  </si>
  <si>
    <t>lasagna</t>
  </si>
  <si>
    <t>lasagna, lasagnas, lasagne, lasagnes</t>
  </si>
  <si>
    <t>liberty|n</t>
  </si>
  <si>
    <t>liberty</t>
  </si>
  <si>
    <t>liberty, liberties</t>
  </si>
  <si>
    <t>opponent|n</t>
  </si>
  <si>
    <t>opponent</t>
  </si>
  <si>
    <t>opponent, opponents</t>
  </si>
  <si>
    <t>penguin|n</t>
  </si>
  <si>
    <t>penguin</t>
  </si>
  <si>
    <t>penguin, penguins</t>
  </si>
  <si>
    <t>photographer|n</t>
  </si>
  <si>
    <t>photographer</t>
  </si>
  <si>
    <t>photographer, photographers</t>
  </si>
  <si>
    <t>process|v</t>
  </si>
  <si>
    <t>process, processed, processes, processing</t>
  </si>
  <si>
    <t>psychic|j</t>
  </si>
  <si>
    <t>puffy|j</t>
  </si>
  <si>
    <t>puffy</t>
  </si>
  <si>
    <t>puffy, puffier, puffiest</t>
  </si>
  <si>
    <t>quote|n</t>
  </si>
  <si>
    <t>quote, quotes</t>
  </si>
  <si>
    <t>racket|n</t>
  </si>
  <si>
    <t>racket</t>
  </si>
  <si>
    <t>racket, rackets, racquet, racquets</t>
  </si>
  <si>
    <t>region|n</t>
  </si>
  <si>
    <t>region</t>
  </si>
  <si>
    <t>region, regions</t>
  </si>
  <si>
    <t>robe|n</t>
  </si>
  <si>
    <t>robe</t>
  </si>
  <si>
    <t>robe, robes</t>
  </si>
  <si>
    <t>sea|j</t>
  </si>
  <si>
    <t>sew|v</t>
  </si>
  <si>
    <t>sew</t>
  </si>
  <si>
    <t>sew, sewed, sewing, sewn, sews</t>
  </si>
  <si>
    <t>shatter|v</t>
  </si>
  <si>
    <t>shatter</t>
  </si>
  <si>
    <t>shatter, shattered, shattering, shatters</t>
  </si>
  <si>
    <t>sickness|n</t>
  </si>
  <si>
    <t>sickness</t>
  </si>
  <si>
    <t>sidekick|n</t>
  </si>
  <si>
    <t>sidekick</t>
  </si>
  <si>
    <t>sidekick, sidekicks</t>
  </si>
  <si>
    <t>skank|n</t>
  </si>
  <si>
    <t>skank</t>
  </si>
  <si>
    <t>skank, skanks</t>
  </si>
  <si>
    <t>spice|n</t>
  </si>
  <si>
    <t>spice</t>
  </si>
  <si>
    <t>spice, spices</t>
  </si>
  <si>
    <t>starter|n</t>
  </si>
  <si>
    <t>starter</t>
  </si>
  <si>
    <t>starter, starters</t>
  </si>
  <si>
    <t>stir|v</t>
  </si>
  <si>
    <t>stir</t>
  </si>
  <si>
    <t>stir, stirred, stirring, stirs</t>
  </si>
  <si>
    <t>structure|n</t>
  </si>
  <si>
    <t>structure</t>
  </si>
  <si>
    <t>structure, structures</t>
  </si>
  <si>
    <t>sub|n</t>
  </si>
  <si>
    <t>sub</t>
  </si>
  <si>
    <t>sub, subs</t>
  </si>
  <si>
    <t>tampon|n</t>
  </si>
  <si>
    <t>tampon</t>
  </si>
  <si>
    <t>tampon, tampons</t>
  </si>
  <si>
    <t>touchdown|n</t>
  </si>
  <si>
    <t>touchdown</t>
  </si>
  <si>
    <t>touchdown, touchdowns</t>
  </si>
  <si>
    <t>pimp|n</t>
  </si>
  <si>
    <t>pimp</t>
  </si>
  <si>
    <t>pimp, pimps</t>
  </si>
  <si>
    <t>brief|j</t>
  </si>
  <si>
    <t>brief</t>
  </si>
  <si>
    <t>brief, briefer, briefest</t>
  </si>
  <si>
    <t>anxiety|n</t>
  </si>
  <si>
    <t>anxiety</t>
  </si>
  <si>
    <t>anxiety, anxieties</t>
  </si>
  <si>
    <t>approach|n</t>
  </si>
  <si>
    <t>approach, approaches</t>
  </si>
  <si>
    <t>bay|n</t>
  </si>
  <si>
    <t>bay</t>
  </si>
  <si>
    <t>bay, bays</t>
  </si>
  <si>
    <t>beat|n</t>
  </si>
  <si>
    <t>beat, beats</t>
  </si>
  <si>
    <t>buzz|n</t>
  </si>
  <si>
    <t>buzz, buzzes</t>
  </si>
  <si>
    <t>chemistry|n</t>
  </si>
  <si>
    <t>chemistry</t>
  </si>
  <si>
    <t>chemistry, chemistries</t>
  </si>
  <si>
    <t>desperately|r</t>
  </si>
  <si>
    <t>desperately</t>
  </si>
  <si>
    <t>diabetes|n</t>
  </si>
  <si>
    <t>diabetes</t>
  </si>
  <si>
    <t>diarrhea|n</t>
  </si>
  <si>
    <t>diarrhea</t>
  </si>
  <si>
    <t>diarrhea, diarrheas</t>
  </si>
  <si>
    <t>dictionary|n</t>
  </si>
  <si>
    <t>dictionary</t>
  </si>
  <si>
    <t>dictionary, dictionaries</t>
  </si>
  <si>
    <t>doorman|n</t>
  </si>
  <si>
    <t>doorman</t>
  </si>
  <si>
    <t>doorman, doormen</t>
  </si>
  <si>
    <t>exploit|v</t>
  </si>
  <si>
    <t>exploit</t>
  </si>
  <si>
    <t>exploit, exploited, exploiting, exploits</t>
  </si>
  <si>
    <t>fatty|n</t>
  </si>
  <si>
    <t>fatty</t>
  </si>
  <si>
    <t>fatty, fatties</t>
  </si>
  <si>
    <t>fluid|n</t>
  </si>
  <si>
    <t>fluid</t>
  </si>
  <si>
    <t>fluid, fluids</t>
  </si>
  <si>
    <t>forty-two|m</t>
  </si>
  <si>
    <t>forty-two</t>
  </si>
  <si>
    <t>funky|j</t>
  </si>
  <si>
    <t>funky</t>
  </si>
  <si>
    <t>funky, funkier, funkiest</t>
  </si>
  <si>
    <t>gender|n</t>
  </si>
  <si>
    <t>gender</t>
  </si>
  <si>
    <t>gender, genders</t>
  </si>
  <si>
    <t>glitter|n</t>
  </si>
  <si>
    <t>glitter</t>
  </si>
  <si>
    <t>glitter, glitters</t>
  </si>
  <si>
    <t>harass|v</t>
  </si>
  <si>
    <t>harass</t>
  </si>
  <si>
    <t>harass, harassed, harasses, harassing</t>
  </si>
  <si>
    <t>hen|n</t>
  </si>
  <si>
    <t>hen</t>
  </si>
  <si>
    <t>hen, hens</t>
  </si>
  <si>
    <t>improv|n</t>
  </si>
  <si>
    <t>improv</t>
  </si>
  <si>
    <t>improv, improvs</t>
  </si>
  <si>
    <t>interfere|v</t>
  </si>
  <si>
    <t>interfere</t>
  </si>
  <si>
    <t>interfere, interfered, interferes, interfering</t>
  </si>
  <si>
    <t>irony|n</t>
  </si>
  <si>
    <t>irony</t>
  </si>
  <si>
    <t>irony, ironies</t>
  </si>
  <si>
    <t>married|j</t>
  </si>
  <si>
    <t>married</t>
  </si>
  <si>
    <t>novelty|n</t>
  </si>
  <si>
    <t>novelty</t>
  </si>
  <si>
    <t>novelty, novelties</t>
  </si>
  <si>
    <t>phew|u</t>
  </si>
  <si>
    <t>phew</t>
  </si>
  <si>
    <t>phony|j</t>
  </si>
  <si>
    <t>phony, phoney, phonier, phoniest</t>
  </si>
  <si>
    <t>previous|j</t>
  </si>
  <si>
    <t>previous</t>
  </si>
  <si>
    <t>rehab|n</t>
  </si>
  <si>
    <t>rehab</t>
  </si>
  <si>
    <t>rehab, rehabs</t>
  </si>
  <si>
    <t>reindeer|n</t>
  </si>
  <si>
    <t>reindeer</t>
  </si>
  <si>
    <t>reindeer, reindeers</t>
  </si>
  <si>
    <t>reminder|n</t>
  </si>
  <si>
    <t>reminder</t>
  </si>
  <si>
    <t>reminder, reminders</t>
  </si>
  <si>
    <t>rescue|n</t>
  </si>
  <si>
    <t>rescue, rescues</t>
  </si>
  <si>
    <t>resent|v</t>
  </si>
  <si>
    <t>resent</t>
  </si>
  <si>
    <t>resent, resented, resenting, resents</t>
  </si>
  <si>
    <t>rodeo|n</t>
  </si>
  <si>
    <t>rodeo</t>
  </si>
  <si>
    <t>rodeo, rodeos</t>
  </si>
  <si>
    <t>round|v</t>
  </si>
  <si>
    <t>round, rounded, rounding, rounds</t>
  </si>
  <si>
    <t>severe|j</t>
  </si>
  <si>
    <t>severe</t>
  </si>
  <si>
    <t>severe, severer, severest</t>
  </si>
  <si>
    <t>slippery|j</t>
  </si>
  <si>
    <t>slippery</t>
  </si>
  <si>
    <t>slippery, slipperier, slipperiest</t>
  </si>
  <si>
    <t>smoker|n</t>
  </si>
  <si>
    <t>smoker</t>
  </si>
  <si>
    <t>smoker, smokers</t>
  </si>
  <si>
    <t>spooky|j</t>
  </si>
  <si>
    <t>spooky</t>
  </si>
  <si>
    <t>spooky, spookier, spookiest</t>
  </si>
  <si>
    <t>ta-da|u</t>
  </si>
  <si>
    <t>ta-da</t>
  </si>
  <si>
    <t>ta-da, tada, ta-dah</t>
  </si>
  <si>
    <t>tap|n</t>
  </si>
  <si>
    <t>tap, taps</t>
  </si>
  <si>
    <t>terror|n</t>
  </si>
  <si>
    <t>terror</t>
  </si>
  <si>
    <t>terror, terrors</t>
  </si>
  <si>
    <t>thirty-eight|m</t>
  </si>
  <si>
    <t>thirty-eight</t>
  </si>
  <si>
    <t>transplant|n</t>
  </si>
  <si>
    <t>transplant</t>
  </si>
  <si>
    <t>transplant, transplants</t>
  </si>
  <si>
    <t>villain|n</t>
  </si>
  <si>
    <t>villain</t>
  </si>
  <si>
    <t>villain, villains</t>
  </si>
  <si>
    <t>well|n</t>
  </si>
  <si>
    <t>well, wells</t>
  </si>
  <si>
    <t>whatsoever|fw</t>
  </si>
  <si>
    <t>whatsoever</t>
  </si>
  <si>
    <t>stunt|v</t>
  </si>
  <si>
    <t>stunt</t>
  </si>
  <si>
    <t>stunt, stunts</t>
  </si>
  <si>
    <t>dock|n</t>
  </si>
  <si>
    <t>dock</t>
  </si>
  <si>
    <t>dock, docks</t>
  </si>
  <si>
    <t>vomit|n</t>
  </si>
  <si>
    <t>a.k.a.|abbr</t>
  </si>
  <si>
    <t>a.k.a.</t>
  </si>
  <si>
    <t>AKA, a/k/a, A.K.A., a.k.a., aka</t>
  </si>
  <si>
    <t>accurate|j</t>
  </si>
  <si>
    <t>accurate</t>
  </si>
  <si>
    <t>alter|v</t>
  </si>
  <si>
    <t>alter</t>
  </si>
  <si>
    <t>alter, altered, altering, alters</t>
  </si>
  <si>
    <t>ash|n</t>
  </si>
  <si>
    <t>ash</t>
  </si>
  <si>
    <t>ash, ashes</t>
  </si>
  <si>
    <t>authentic|j</t>
  </si>
  <si>
    <t>authentic</t>
  </si>
  <si>
    <t>basis|n</t>
  </si>
  <si>
    <t>basis</t>
  </si>
  <si>
    <t>basis, bases, baseis</t>
  </si>
  <si>
    <t>booger|n</t>
  </si>
  <si>
    <t>booger</t>
  </si>
  <si>
    <t>booger, boogers</t>
  </si>
  <si>
    <t>broken|j</t>
  </si>
  <si>
    <t>broken</t>
  </si>
  <si>
    <t>chemical|n</t>
  </si>
  <si>
    <t>chemical</t>
  </si>
  <si>
    <t>chemical, chemicals</t>
  </si>
  <si>
    <t>clap|v</t>
  </si>
  <si>
    <t>clap</t>
  </si>
  <si>
    <t>clap, clapped, clapping, claps</t>
  </si>
  <si>
    <t>closely|r</t>
  </si>
  <si>
    <t>closely</t>
  </si>
  <si>
    <t xml:space="preserve">closely, closelier, closeliest </t>
  </si>
  <si>
    <t>commissioner|n</t>
  </si>
  <si>
    <t>commissioner</t>
  </si>
  <si>
    <t>commissioner, commissioners</t>
  </si>
  <si>
    <t>communication|n</t>
  </si>
  <si>
    <t>communication</t>
  </si>
  <si>
    <t>communication, communications</t>
  </si>
  <si>
    <t>drive|n</t>
  </si>
  <si>
    <t>drive, drives</t>
  </si>
  <si>
    <t>Dutch|K</t>
  </si>
  <si>
    <t>Dutch</t>
  </si>
  <si>
    <t>engineer|n</t>
  </si>
  <si>
    <t>engineer</t>
  </si>
  <si>
    <t>engineer, engineers</t>
  </si>
  <si>
    <t>fax|n</t>
  </si>
  <si>
    <t>fax, faxes</t>
  </si>
  <si>
    <t>federal|j</t>
  </si>
  <si>
    <t>federal</t>
  </si>
  <si>
    <t>fetch|v</t>
  </si>
  <si>
    <t>fetch</t>
  </si>
  <si>
    <t>fetch, fetched, fetches, fetching</t>
  </si>
  <si>
    <t>forty-eight|m</t>
  </si>
  <si>
    <t>forty-eight</t>
  </si>
  <si>
    <t>fried|j</t>
  </si>
  <si>
    <t>fried</t>
  </si>
  <si>
    <t>glory|n</t>
  </si>
  <si>
    <t>glory</t>
  </si>
  <si>
    <t>glory, glories</t>
  </si>
  <si>
    <t>godfather|n</t>
  </si>
  <si>
    <t>godfather</t>
  </si>
  <si>
    <t>godfather, godfathers</t>
  </si>
  <si>
    <t>harmless|j</t>
  </si>
  <si>
    <t>harmless</t>
  </si>
  <si>
    <t>hurry|n</t>
  </si>
  <si>
    <t>hurry, hurries</t>
  </si>
  <si>
    <t>importantly|r</t>
  </si>
  <si>
    <t>importantly</t>
  </si>
  <si>
    <t>lounge|n</t>
  </si>
  <si>
    <t>lounge</t>
  </si>
  <si>
    <t>lounge, lounges</t>
  </si>
  <si>
    <t>major|n</t>
  </si>
  <si>
    <t>major, majored, majoring, majorly, majors</t>
  </si>
  <si>
    <t>milkshake|n</t>
  </si>
  <si>
    <t>milkshake</t>
  </si>
  <si>
    <t>milkshake, milkshakes</t>
  </si>
  <si>
    <t>mutant|n</t>
  </si>
  <si>
    <t>mutant</t>
  </si>
  <si>
    <t>mutant, mutants</t>
  </si>
  <si>
    <t>near|j</t>
  </si>
  <si>
    <t>near, nearer, nearest</t>
  </si>
  <si>
    <t>negotiate|v</t>
  </si>
  <si>
    <t>negotiate</t>
  </si>
  <si>
    <t>negotiate, negotiated, negotiates, negotiating</t>
  </si>
  <si>
    <t>notebook|n</t>
  </si>
  <si>
    <t>notebook</t>
  </si>
  <si>
    <t>notebook, notebooks</t>
  </si>
  <si>
    <t>outlet|n</t>
  </si>
  <si>
    <t>outlet</t>
  </si>
  <si>
    <t>outlet, outlets</t>
  </si>
  <si>
    <t>paycheck|n</t>
  </si>
  <si>
    <t>paycheck</t>
  </si>
  <si>
    <t>paycheck, paychecks</t>
  </si>
  <si>
    <t>prop|n</t>
  </si>
  <si>
    <t>prop</t>
  </si>
  <si>
    <t>prop, props</t>
  </si>
  <si>
    <t>quantum|n</t>
  </si>
  <si>
    <t>quantum</t>
  </si>
  <si>
    <t>quantum, quanta</t>
  </si>
  <si>
    <t>range|n</t>
  </si>
  <si>
    <t>range</t>
  </si>
  <si>
    <t>range, ranges</t>
  </si>
  <si>
    <t>sane|j</t>
  </si>
  <si>
    <t>sane</t>
  </si>
  <si>
    <t>sane, saner, sanest</t>
  </si>
  <si>
    <t>saxophone|n</t>
  </si>
  <si>
    <t>saxophone</t>
  </si>
  <si>
    <t>saxophone, saxophones</t>
  </si>
  <si>
    <t>smiley|n</t>
  </si>
  <si>
    <t>smiley</t>
  </si>
  <si>
    <t>smiley, smilies, smileys</t>
  </si>
  <si>
    <t>solar|j</t>
  </si>
  <si>
    <t>solar</t>
  </si>
  <si>
    <t>spaceship|n</t>
  </si>
  <si>
    <t>spaceship</t>
  </si>
  <si>
    <t>spaceship, spaceships</t>
  </si>
  <si>
    <t>stem|n</t>
  </si>
  <si>
    <t>stem</t>
  </si>
  <si>
    <t>stem, stems</t>
  </si>
  <si>
    <t>sting|v</t>
  </si>
  <si>
    <t>sting</t>
  </si>
  <si>
    <t>sting, stinging, stings, stung</t>
  </si>
  <si>
    <t>storage|n</t>
  </si>
  <si>
    <t>storage</t>
  </si>
  <si>
    <t>suite|n</t>
  </si>
  <si>
    <t>suite</t>
  </si>
  <si>
    <t>suite, suites</t>
  </si>
  <si>
    <t>trade|n</t>
  </si>
  <si>
    <t>trade, trades</t>
  </si>
  <si>
    <t>unlock|v</t>
  </si>
  <si>
    <t>unlock</t>
  </si>
  <si>
    <t>unlock, unlocked, unlocking, unlocks</t>
  </si>
  <si>
    <t>urban|j</t>
  </si>
  <si>
    <t>urban</t>
  </si>
  <si>
    <t>wacky|j</t>
  </si>
  <si>
    <t>wacky</t>
  </si>
  <si>
    <t>wacky, wackier, wackiest, whacky, whackier, whackiest</t>
  </si>
  <si>
    <t>warrior|n</t>
  </si>
  <si>
    <t>warrior</t>
  </si>
  <si>
    <t>warrior, warriors</t>
  </si>
  <si>
    <t>Congress|K</t>
  </si>
  <si>
    <t>Congress</t>
  </si>
  <si>
    <t>adore|v</t>
  </si>
  <si>
    <t>adore</t>
  </si>
  <si>
    <t>adore, adored, adores, adoring</t>
  </si>
  <si>
    <t>aggressive|j</t>
  </si>
  <si>
    <t>aggressive</t>
  </si>
  <si>
    <t>balcony|n</t>
  </si>
  <si>
    <t>balcony</t>
  </si>
  <si>
    <t>balcony, balconies</t>
  </si>
  <si>
    <t>beam|n</t>
  </si>
  <si>
    <t>beam</t>
  </si>
  <si>
    <t>beam, beams</t>
  </si>
  <si>
    <t>cappuccino|n</t>
  </si>
  <si>
    <t>cappuccino</t>
  </si>
  <si>
    <t>cappuccino, cappuccinos</t>
  </si>
  <si>
    <t>charm|n</t>
  </si>
  <si>
    <t>charm</t>
  </si>
  <si>
    <t>charm, charms</t>
  </si>
  <si>
    <t>cock|n</t>
  </si>
  <si>
    <t>cock</t>
  </si>
  <si>
    <t>cock, cocks</t>
  </si>
  <si>
    <t>consume|v</t>
  </si>
  <si>
    <t>consume</t>
  </si>
  <si>
    <t>consume, consumed, consumes, consuming</t>
  </si>
  <si>
    <t>crank|v</t>
  </si>
  <si>
    <t>crank</t>
  </si>
  <si>
    <t>crank, cranked, cranking, cranks</t>
  </si>
  <si>
    <t>duck|v</t>
  </si>
  <si>
    <t>duck, ducked, ducking, ducks</t>
  </si>
  <si>
    <t>European|K</t>
  </si>
  <si>
    <t>European</t>
  </si>
  <si>
    <t>European, Europeans</t>
  </si>
  <si>
    <t>fatso|n</t>
  </si>
  <si>
    <t>fatso</t>
  </si>
  <si>
    <t>fatso, fatsos</t>
  </si>
  <si>
    <t>fiction|n</t>
  </si>
  <si>
    <t>fiction</t>
  </si>
  <si>
    <t>fiction, fictions</t>
  </si>
  <si>
    <t>headquarters|n</t>
  </si>
  <si>
    <t>headquarters</t>
  </si>
  <si>
    <t>holder|n</t>
  </si>
  <si>
    <t>holder</t>
  </si>
  <si>
    <t>holder, holders</t>
  </si>
  <si>
    <t>income|n</t>
  </si>
  <si>
    <t>income</t>
  </si>
  <si>
    <t>income, incomes</t>
  </si>
  <si>
    <t>ink|n</t>
  </si>
  <si>
    <t>ink</t>
  </si>
  <si>
    <t>ink, inks</t>
  </si>
  <si>
    <t>instrument|n</t>
  </si>
  <si>
    <t>instrument</t>
  </si>
  <si>
    <t>instrument, instruments</t>
  </si>
  <si>
    <t>jinx|v</t>
  </si>
  <si>
    <t>jinx</t>
  </si>
  <si>
    <t>jinx, jinxed, jinxes, jinxing</t>
  </si>
  <si>
    <t>kindly|r</t>
  </si>
  <si>
    <t>kindly</t>
  </si>
  <si>
    <t>liquid|n</t>
  </si>
  <si>
    <t>liquid</t>
  </si>
  <si>
    <t>liquid, liquids</t>
  </si>
  <si>
    <t>lump|n</t>
  </si>
  <si>
    <t>lump</t>
  </si>
  <si>
    <t>lump, lumps</t>
  </si>
  <si>
    <t>magnet|n</t>
  </si>
  <si>
    <t>magnet</t>
  </si>
  <si>
    <t>magnet, magnets</t>
  </si>
  <si>
    <t>mail|v</t>
  </si>
  <si>
    <t>mail, mailed, mailing, mails</t>
  </si>
  <si>
    <t>marketing|n</t>
  </si>
  <si>
    <t>marketing</t>
  </si>
  <si>
    <t>marketing, marketings</t>
  </si>
  <si>
    <t>originally|r</t>
  </si>
  <si>
    <t>originally</t>
  </si>
  <si>
    <t>pfft|u</t>
  </si>
  <si>
    <t>pfft</t>
  </si>
  <si>
    <t>piggy|n</t>
  </si>
  <si>
    <t>piggy</t>
  </si>
  <si>
    <t>piggy, piggies</t>
  </si>
  <si>
    <t>pineapple|n</t>
  </si>
  <si>
    <t>pineapple</t>
  </si>
  <si>
    <t>pineapple, pineapples</t>
  </si>
  <si>
    <t>poo|n</t>
  </si>
  <si>
    <t>poo</t>
  </si>
  <si>
    <t>poo, poos</t>
  </si>
  <si>
    <t>porch|n</t>
  </si>
  <si>
    <t>porch</t>
  </si>
  <si>
    <t>porch, porches</t>
  </si>
  <si>
    <t>predict|v</t>
  </si>
  <si>
    <t>predict</t>
  </si>
  <si>
    <t>predict, predicted, predicting, predicts</t>
  </si>
  <si>
    <t>priceless|j</t>
  </si>
  <si>
    <t>priceless</t>
  </si>
  <si>
    <t>priority|n</t>
  </si>
  <si>
    <t>priority</t>
  </si>
  <si>
    <t>priority, priorities</t>
  </si>
  <si>
    <t>public|n</t>
  </si>
  <si>
    <t>public, publics</t>
  </si>
  <si>
    <t>ramp|n</t>
  </si>
  <si>
    <t>ramp</t>
  </si>
  <si>
    <t>ramp, ramps</t>
  </si>
  <si>
    <t>receipt|n</t>
  </si>
  <si>
    <t>receipt</t>
  </si>
  <si>
    <t>receipt, receipts</t>
  </si>
  <si>
    <t>rusty|j</t>
  </si>
  <si>
    <t>rusty</t>
  </si>
  <si>
    <t>rusty, rustier, rustiest</t>
  </si>
  <si>
    <t>sandal|n</t>
  </si>
  <si>
    <t>sandal</t>
  </si>
  <si>
    <t>sandal, sandals</t>
  </si>
  <si>
    <t>seize|v</t>
  </si>
  <si>
    <t>seize</t>
  </si>
  <si>
    <t>seize, seized, seizes, seizing</t>
  </si>
  <si>
    <t>servant|n</t>
  </si>
  <si>
    <t>servant</t>
  </si>
  <si>
    <t>servant, servants</t>
  </si>
  <si>
    <t>shrink|v</t>
  </si>
  <si>
    <t>shrink, shrank, shrinking, shrinks, shrunk, shrunken</t>
  </si>
  <si>
    <t>sidewalk|n</t>
  </si>
  <si>
    <t>sidewalk</t>
  </si>
  <si>
    <t>sidewalk, sidewalks</t>
  </si>
  <si>
    <t>significant|j</t>
  </si>
  <si>
    <t>significant</t>
  </si>
  <si>
    <t>slaughter|v</t>
  </si>
  <si>
    <t>slaughter</t>
  </si>
  <si>
    <t>slaughter, slaughtered, slaughtering, slaughters</t>
  </si>
  <si>
    <t>spine|n</t>
  </si>
  <si>
    <t>spine</t>
  </si>
  <si>
    <t>spine, spines</t>
  </si>
  <si>
    <t>stubborn|j</t>
  </si>
  <si>
    <t>stubborn</t>
  </si>
  <si>
    <t>stubborn, stubborner, stubbornest</t>
  </si>
  <si>
    <t>stumble|v</t>
  </si>
  <si>
    <t>stumble</t>
  </si>
  <si>
    <t>stumble, stumbled, stumbles, stumbling</t>
  </si>
  <si>
    <t>trouble|v</t>
  </si>
  <si>
    <t>trouble, troubled, troubles, troubling</t>
  </si>
  <si>
    <t>upset|v</t>
  </si>
  <si>
    <t>upset, upsets, upsetting</t>
  </si>
  <si>
    <t>urge|n</t>
  </si>
  <si>
    <t>urge</t>
  </si>
  <si>
    <t>urge, urges</t>
  </si>
  <si>
    <t>urgent|j</t>
  </si>
  <si>
    <t>urgent</t>
  </si>
  <si>
    <t>veal|n</t>
  </si>
  <si>
    <t>veal</t>
  </si>
  <si>
    <t>veal, veals</t>
  </si>
  <si>
    <t>wink|v</t>
  </si>
  <si>
    <t>wink</t>
  </si>
  <si>
    <t>wink, winked, winking, winks</t>
  </si>
  <si>
    <t>notch|n</t>
  </si>
  <si>
    <t>notch</t>
  </si>
  <si>
    <t>notch, notches</t>
  </si>
  <si>
    <t>scum|n</t>
  </si>
  <si>
    <t>scum</t>
  </si>
  <si>
    <t>scum, scums</t>
  </si>
  <si>
    <t>sewer|n</t>
  </si>
  <si>
    <t>sewer</t>
  </si>
  <si>
    <t>sewer, sewers</t>
  </si>
  <si>
    <t>bargain|n</t>
  </si>
  <si>
    <t>bargain</t>
  </si>
  <si>
    <t>bargain, bargains</t>
  </si>
  <si>
    <t>driving|n</t>
  </si>
  <si>
    <t>driving</t>
  </si>
  <si>
    <t>remark|n</t>
  </si>
  <si>
    <t>remark</t>
  </si>
  <si>
    <t>remark, remarks</t>
  </si>
  <si>
    <t>abort|v</t>
  </si>
  <si>
    <t>abort</t>
  </si>
  <si>
    <t>abort, aborted, aborting, aborts</t>
  </si>
  <si>
    <t>active|j</t>
  </si>
  <si>
    <t>active</t>
  </si>
  <si>
    <t>aid|n</t>
  </si>
  <si>
    <t>aid</t>
  </si>
  <si>
    <t>aid, aids</t>
  </si>
  <si>
    <t>aspirin|n</t>
  </si>
  <si>
    <t>aspirin</t>
  </si>
  <si>
    <t>aspirin, aspirins</t>
  </si>
  <si>
    <t>bakery|n</t>
  </si>
  <si>
    <t>bakery</t>
  </si>
  <si>
    <t>bakery, bakeries</t>
  </si>
  <si>
    <t>biggie|n</t>
  </si>
  <si>
    <t>biggie</t>
  </si>
  <si>
    <t>biggy, biggie, biggies</t>
  </si>
  <si>
    <t>bold|j</t>
  </si>
  <si>
    <t>bold</t>
  </si>
  <si>
    <t>bold, bolder, boldest</t>
  </si>
  <si>
    <t>bomb|v</t>
  </si>
  <si>
    <t>bomb, bombed, bombing, bombs</t>
  </si>
  <si>
    <t>brat|n</t>
  </si>
  <si>
    <t>brat</t>
  </si>
  <si>
    <t>brat, brats</t>
  </si>
  <si>
    <t>cemetery|n</t>
  </si>
  <si>
    <t>cemetery</t>
  </si>
  <si>
    <t>cemetery, cemeteries</t>
  </si>
  <si>
    <t>cleanse|v</t>
  </si>
  <si>
    <t>cleanse</t>
  </si>
  <si>
    <t>cleanse, cleansed, cleanses, cleansing</t>
  </si>
  <si>
    <t>colleague|n</t>
  </si>
  <si>
    <t>colleague</t>
  </si>
  <si>
    <t>colleague, colleagues</t>
  </si>
  <si>
    <t>colon|n</t>
  </si>
  <si>
    <t>colon</t>
  </si>
  <si>
    <t>colon, colons</t>
  </si>
  <si>
    <t>confusion|n</t>
  </si>
  <si>
    <t>confusion</t>
  </si>
  <si>
    <t>confusion, confusions</t>
  </si>
  <si>
    <t>congratulate|v</t>
  </si>
  <si>
    <t>congratulate</t>
  </si>
  <si>
    <t>congratulate, congratulated, congratulates, congratulating</t>
  </si>
  <si>
    <t>contact|v</t>
  </si>
  <si>
    <t>contact, contacted, contacting, contacts</t>
  </si>
  <si>
    <t>context|n</t>
  </si>
  <si>
    <t>context</t>
  </si>
  <si>
    <t>context, contexts</t>
  </si>
  <si>
    <t>creeps|n</t>
  </si>
  <si>
    <t>creeps</t>
  </si>
  <si>
    <t>demand|n</t>
  </si>
  <si>
    <t>demand, demands</t>
  </si>
  <si>
    <t>dull|j</t>
  </si>
  <si>
    <t>dull</t>
  </si>
  <si>
    <t>dull, duller, dullest</t>
  </si>
  <si>
    <t>ego|n</t>
  </si>
  <si>
    <t>ego</t>
  </si>
  <si>
    <t>ego, egos</t>
  </si>
  <si>
    <t>fog|n</t>
  </si>
  <si>
    <t>fog</t>
  </si>
  <si>
    <t>fog, fogs</t>
  </si>
  <si>
    <t>fuzzy|j</t>
  </si>
  <si>
    <t>fuzzy</t>
  </si>
  <si>
    <t>fuzzy, fuzzier, fuzziest</t>
  </si>
  <si>
    <t>individual|n</t>
  </si>
  <si>
    <t>individual</t>
  </si>
  <si>
    <t>individual, individuals</t>
  </si>
  <si>
    <t>insensitive|j</t>
  </si>
  <si>
    <t>insensitive</t>
  </si>
  <si>
    <t>investigation|n</t>
  </si>
  <si>
    <t>investigation</t>
  </si>
  <si>
    <t>investigation, investigations</t>
  </si>
  <si>
    <t>investor|n</t>
  </si>
  <si>
    <t>investor</t>
  </si>
  <si>
    <t>investor, investors</t>
  </si>
  <si>
    <t>irresponsible|j</t>
  </si>
  <si>
    <t>irresponsible</t>
  </si>
  <si>
    <t>knit|v</t>
  </si>
  <si>
    <t>knit</t>
  </si>
  <si>
    <t>knit, knits, knitted, knitting</t>
  </si>
  <si>
    <t>meter|n</t>
  </si>
  <si>
    <t>meter</t>
  </si>
  <si>
    <t>meter, meters</t>
  </si>
  <si>
    <t>nominate|v</t>
  </si>
  <si>
    <t>nominate</t>
  </si>
  <si>
    <t>nominate, nominated, nominates, nominating</t>
  </si>
  <si>
    <t>oatmeal|n</t>
  </si>
  <si>
    <t>oatmeal</t>
  </si>
  <si>
    <t>omelet|n</t>
  </si>
  <si>
    <t>omelet</t>
  </si>
  <si>
    <t>omelet, omelets, omelette, omelettes</t>
  </si>
  <si>
    <t>overcome|v</t>
  </si>
  <si>
    <t>overcome</t>
  </si>
  <si>
    <t>overcome, overcame, overcomes, overcoming</t>
  </si>
  <si>
    <t>plaque|n</t>
  </si>
  <si>
    <t>plaque</t>
  </si>
  <si>
    <t>plaque, plaques</t>
  </si>
  <si>
    <t>pursue|v</t>
  </si>
  <si>
    <t>pursue</t>
  </si>
  <si>
    <t>pursue, pursued, pursues, pursuing</t>
  </si>
  <si>
    <t>reflect|v</t>
  </si>
  <si>
    <t>reflect</t>
  </si>
  <si>
    <t>reflect, reflected, reflecting, reflects</t>
  </si>
  <si>
    <t>relation|n</t>
  </si>
  <si>
    <t>relation</t>
  </si>
  <si>
    <t>relation, relations</t>
  </si>
  <si>
    <t>rep|n</t>
  </si>
  <si>
    <t>rep</t>
  </si>
  <si>
    <t>rep, reps</t>
  </si>
  <si>
    <t>retard|n</t>
  </si>
  <si>
    <t>retard</t>
  </si>
  <si>
    <t>retard, retards</t>
  </si>
  <si>
    <t>seat|v</t>
  </si>
  <si>
    <t>seat, seated, seating, seats</t>
  </si>
  <si>
    <t>shack|n</t>
  </si>
  <si>
    <t>shack</t>
  </si>
  <si>
    <t>shack, shacks</t>
  </si>
  <si>
    <t>sincere|j</t>
  </si>
  <si>
    <t>sincere</t>
  </si>
  <si>
    <t>sincere, sincerer, sincerest</t>
  </si>
  <si>
    <t>slice|v</t>
  </si>
  <si>
    <t>slice, sliced, slices, slicing</t>
  </si>
  <si>
    <t>snap|u</t>
  </si>
  <si>
    <t>spell|n</t>
  </si>
  <si>
    <t>spell, spells</t>
  </si>
  <si>
    <t>theft|n</t>
  </si>
  <si>
    <t>theft</t>
  </si>
  <si>
    <t>theft, thefts</t>
  </si>
  <si>
    <t>tricky|j</t>
  </si>
  <si>
    <t>tricky</t>
  </si>
  <si>
    <t>tricky, trickier, trickiest</t>
  </si>
  <si>
    <t>tummy|n</t>
  </si>
  <si>
    <t>tummy</t>
  </si>
  <si>
    <t>tummy, tummies</t>
  </si>
  <si>
    <t>twenty-six|m</t>
  </si>
  <si>
    <t>twenty-six</t>
  </si>
  <si>
    <t>undo|v</t>
  </si>
  <si>
    <t>undo</t>
  </si>
  <si>
    <t>undo, undid, undoes, undoing, undone</t>
  </si>
  <si>
    <t>unnecessary|j</t>
  </si>
  <si>
    <t>unnecessary</t>
  </si>
  <si>
    <t>unpleasant|j</t>
  </si>
  <si>
    <t>unpleasant</t>
  </si>
  <si>
    <t>vase|n</t>
  </si>
  <si>
    <t>vase</t>
  </si>
  <si>
    <t>vase, vases</t>
  </si>
  <si>
    <t>waist|n</t>
  </si>
  <si>
    <t>waist</t>
  </si>
  <si>
    <t>waist, waists</t>
  </si>
  <si>
    <t>IQ|abbr</t>
  </si>
  <si>
    <t>IQ</t>
  </si>
  <si>
    <t>IQ, IQs</t>
  </si>
  <si>
    <t>swan|n</t>
  </si>
  <si>
    <t>swan</t>
  </si>
  <si>
    <t>swan, swans</t>
  </si>
  <si>
    <t>premiere|n</t>
  </si>
  <si>
    <t>premiere</t>
  </si>
  <si>
    <t>premiere, premieres</t>
  </si>
  <si>
    <t>thunder|n</t>
  </si>
  <si>
    <t>thunder</t>
  </si>
  <si>
    <t>thunder, thunders</t>
  </si>
  <si>
    <t>bizarre|j</t>
  </si>
  <si>
    <t>bizarre</t>
  </si>
  <si>
    <t>cliff|n</t>
  </si>
  <si>
    <t>cliff</t>
  </si>
  <si>
    <t>cliff, cliffs</t>
  </si>
  <si>
    <t>comb|v</t>
  </si>
  <si>
    <t>comb</t>
  </si>
  <si>
    <t>comb, combed, combing, combs</t>
  </si>
  <si>
    <t>curl|v</t>
  </si>
  <si>
    <t>curl</t>
  </si>
  <si>
    <t>curl, curled, curling, curls</t>
  </si>
  <si>
    <t>disable|v</t>
  </si>
  <si>
    <t>disable</t>
  </si>
  <si>
    <t>disable, disabled, disables, disabling</t>
  </si>
  <si>
    <t>district|n</t>
  </si>
  <si>
    <t>district</t>
  </si>
  <si>
    <t>district, districts</t>
  </si>
  <si>
    <t>emerge|v</t>
  </si>
  <si>
    <t>emerge</t>
  </si>
  <si>
    <t>emerge, emerged, emerges, emerging</t>
  </si>
  <si>
    <t>emperor|n</t>
  </si>
  <si>
    <t>emperor</t>
  </si>
  <si>
    <t>emperor, emperors</t>
  </si>
  <si>
    <t>endless|j</t>
  </si>
  <si>
    <t>endless</t>
  </si>
  <si>
    <t>fantasize|v</t>
  </si>
  <si>
    <t>fantasize</t>
  </si>
  <si>
    <t>fantasize, fantasized, fantasizes, fantasizing</t>
  </si>
  <si>
    <t>folk|n</t>
  </si>
  <si>
    <t>folk</t>
  </si>
  <si>
    <t>folk, folks</t>
  </si>
  <si>
    <t>fortunately|r</t>
  </si>
  <si>
    <t>fortunately</t>
  </si>
  <si>
    <t>forward|v</t>
  </si>
  <si>
    <t>forward, forwarded, forwarding, forwards</t>
  </si>
  <si>
    <t>gap|n</t>
  </si>
  <si>
    <t>gap</t>
  </si>
  <si>
    <t>gap, gaps</t>
  </si>
  <si>
    <t>goggles|n</t>
  </si>
  <si>
    <t>goggles</t>
  </si>
  <si>
    <t>handshake|n</t>
  </si>
  <si>
    <t>handshake</t>
  </si>
  <si>
    <t>handshake, handshakes</t>
  </si>
  <si>
    <t>illusion|n</t>
  </si>
  <si>
    <t>illusion</t>
  </si>
  <si>
    <t>illusion, illusions</t>
  </si>
  <si>
    <t>infection|n</t>
  </si>
  <si>
    <t>infection</t>
  </si>
  <si>
    <t>infection, infections</t>
  </si>
  <si>
    <t>influence|n</t>
  </si>
  <si>
    <t>influence</t>
  </si>
  <si>
    <t>influence, influences</t>
  </si>
  <si>
    <t>liberal|j</t>
  </si>
  <si>
    <t>liberal</t>
  </si>
  <si>
    <t>monitor|n</t>
  </si>
  <si>
    <t>monitor, monitors</t>
  </si>
  <si>
    <t>mutual|j</t>
  </si>
  <si>
    <t>mutual</t>
  </si>
  <si>
    <t>nun|n</t>
  </si>
  <si>
    <t>nun</t>
  </si>
  <si>
    <t>nun, nuns</t>
  </si>
  <si>
    <t>object|v</t>
  </si>
  <si>
    <t>object, objected, objecting, objects</t>
  </si>
  <si>
    <t>p.m.|abbr</t>
  </si>
  <si>
    <t>p.m.</t>
  </si>
  <si>
    <t>p.m., pm, PM, P.M.</t>
  </si>
  <si>
    <t>patience|n</t>
  </si>
  <si>
    <t>patience</t>
  </si>
  <si>
    <t>pickup|n</t>
  </si>
  <si>
    <t>pickup</t>
  </si>
  <si>
    <t>pickup, pickups</t>
  </si>
  <si>
    <t>portrait|n</t>
  </si>
  <si>
    <t>portrait</t>
  </si>
  <si>
    <t>portrait, portraits</t>
  </si>
  <si>
    <t>possess|v</t>
  </si>
  <si>
    <t>possess</t>
  </si>
  <si>
    <t>possess, possessed, possesses, possessing</t>
  </si>
  <si>
    <t>rabies|n</t>
  </si>
  <si>
    <t>rabies</t>
  </si>
  <si>
    <t>redneck|n</t>
  </si>
  <si>
    <t>redneck</t>
  </si>
  <si>
    <t>redneck, rednecks</t>
  </si>
  <si>
    <t>regard|n</t>
  </si>
  <si>
    <t>regard</t>
  </si>
  <si>
    <t>regard, regards</t>
  </si>
  <si>
    <t>relevant|j</t>
  </si>
  <si>
    <t>relevant</t>
  </si>
  <si>
    <t>restrain|v</t>
  </si>
  <si>
    <t>restrain</t>
  </si>
  <si>
    <t>restrain, restrained, restraining, restrains</t>
  </si>
  <si>
    <t>satisfaction|n</t>
  </si>
  <si>
    <t>satisfaction</t>
  </si>
  <si>
    <t>satisfaction, satisfactions</t>
  </si>
  <si>
    <t>secondly|r</t>
  </si>
  <si>
    <t>secondly</t>
  </si>
  <si>
    <t>single|n</t>
  </si>
  <si>
    <t>single, singles</t>
  </si>
  <si>
    <t>sip|n</t>
  </si>
  <si>
    <t>sip</t>
  </si>
  <si>
    <t>sip, sips</t>
  </si>
  <si>
    <t>sponsor|v</t>
  </si>
  <si>
    <t>sponsor</t>
  </si>
  <si>
    <t>sponsor, sponsored, sponsoring, sponsors</t>
  </si>
  <si>
    <t>sprinkles|n</t>
  </si>
  <si>
    <t>sprinkles</t>
  </si>
  <si>
    <t>steel|n</t>
  </si>
  <si>
    <t>steel</t>
  </si>
  <si>
    <t>steel, steels</t>
  </si>
  <si>
    <t>subtitle|n</t>
  </si>
  <si>
    <t>subtitle</t>
  </si>
  <si>
    <t>subtitle, subtitles</t>
  </si>
  <si>
    <t>tackle|v</t>
  </si>
  <si>
    <t>tackle</t>
  </si>
  <si>
    <t>tackle, tackled, tackles, tackling</t>
  </si>
  <si>
    <t>tacky|j</t>
  </si>
  <si>
    <t>tacky</t>
  </si>
  <si>
    <t>tacky, tackier, tackiest</t>
  </si>
  <si>
    <t>territory|n</t>
  </si>
  <si>
    <t>territory</t>
  </si>
  <si>
    <t>territory, territories</t>
  </si>
  <si>
    <t>tourist|n</t>
  </si>
  <si>
    <t>tourist</t>
  </si>
  <si>
    <t>tourist, tourists</t>
  </si>
  <si>
    <t>tremendous|j</t>
  </si>
  <si>
    <t>tremendous</t>
  </si>
  <si>
    <t>trim|v</t>
  </si>
  <si>
    <t>trim</t>
  </si>
  <si>
    <t>trim, trimmed, trimming, trims</t>
  </si>
  <si>
    <t>tux|n</t>
  </si>
  <si>
    <t>tux</t>
  </si>
  <si>
    <t>tux, tuxes</t>
  </si>
  <si>
    <t>valentine|n</t>
  </si>
  <si>
    <t>valentine</t>
  </si>
  <si>
    <t>valentine, valentines</t>
  </si>
  <si>
    <t>vegan|n</t>
  </si>
  <si>
    <t>vegan</t>
  </si>
  <si>
    <t>vegan, vegans</t>
  </si>
  <si>
    <t>womb|n</t>
  </si>
  <si>
    <t>womb</t>
  </si>
  <si>
    <t>womb, wombs</t>
  </si>
  <si>
    <t>institute|n</t>
  </si>
  <si>
    <t>institute</t>
  </si>
  <si>
    <t>institute, institutes</t>
  </si>
  <si>
    <t>paw|n</t>
  </si>
  <si>
    <t>paw</t>
  </si>
  <si>
    <t>paw, paws</t>
  </si>
  <si>
    <t>absence|n</t>
  </si>
  <si>
    <t>absence</t>
  </si>
  <si>
    <t>absence, absences</t>
  </si>
  <si>
    <t>acceptable|j</t>
  </si>
  <si>
    <t>acceptable</t>
  </si>
  <si>
    <t>apart|j</t>
  </si>
  <si>
    <t>assemble|v</t>
  </si>
  <si>
    <t>assemble</t>
  </si>
  <si>
    <t>assemble, assembled, assembles, assembling</t>
  </si>
  <si>
    <t>assistance|n</t>
  </si>
  <si>
    <t>assistance</t>
  </si>
  <si>
    <t>back|v</t>
  </si>
  <si>
    <t>back, backed, backing, backs</t>
  </si>
  <si>
    <t>bluff|v</t>
  </si>
  <si>
    <t>bluff</t>
  </si>
  <si>
    <t>bluff, bluffed, bluffing, bluffs</t>
  </si>
  <si>
    <t>bribe|v</t>
  </si>
  <si>
    <t>bribe</t>
  </si>
  <si>
    <t>bribe, bribed, bribes, bribing</t>
  </si>
  <si>
    <t>bum|v</t>
  </si>
  <si>
    <t>bum, bummed, bumming, bums</t>
  </si>
  <si>
    <t>conceive|v</t>
  </si>
  <si>
    <t>conceive</t>
  </si>
  <si>
    <t>conceive, conceived, conceives, conceiving</t>
  </si>
  <si>
    <t>diner|n</t>
  </si>
  <si>
    <t>diner</t>
  </si>
  <si>
    <t>diner, diners</t>
  </si>
  <si>
    <t>donor|n</t>
  </si>
  <si>
    <t>donor</t>
  </si>
  <si>
    <t>donor, donors</t>
  </si>
  <si>
    <t>drill|v</t>
  </si>
  <si>
    <t>drill, drilled, drilling, drills</t>
  </si>
  <si>
    <t>expel|v</t>
  </si>
  <si>
    <t>expel</t>
  </si>
  <si>
    <t>expel, expelled, expelling, expels</t>
  </si>
  <si>
    <t>finals|n</t>
  </si>
  <si>
    <t>finals</t>
  </si>
  <si>
    <t>flow|v</t>
  </si>
  <si>
    <t>flow, flowed, flowing, flows</t>
  </si>
  <si>
    <t>garlic|n</t>
  </si>
  <si>
    <t>garlic</t>
  </si>
  <si>
    <t>garlic, garlics</t>
  </si>
  <si>
    <t>golf|v</t>
  </si>
  <si>
    <t>golf, golfed, golfing, golfs</t>
  </si>
  <si>
    <t>groin|n</t>
  </si>
  <si>
    <t>groin</t>
  </si>
  <si>
    <t>groin, groins</t>
  </si>
  <si>
    <t>handful|n</t>
  </si>
  <si>
    <t>handful</t>
  </si>
  <si>
    <t>handful, handfuls</t>
  </si>
  <si>
    <t>hike|v</t>
  </si>
  <si>
    <t>hike</t>
  </si>
  <si>
    <t>hike, hiked, hikes, hiking</t>
  </si>
  <si>
    <t>importance|n</t>
  </si>
  <si>
    <t>importance</t>
  </si>
  <si>
    <t>importance, importances</t>
  </si>
  <si>
    <t>intimacy|n</t>
  </si>
  <si>
    <t>intimacy</t>
  </si>
  <si>
    <t>intimacy, intimacies</t>
  </si>
  <si>
    <t>inventor|n</t>
  </si>
  <si>
    <t>inventor</t>
  </si>
  <si>
    <t>inventor, inventors</t>
  </si>
  <si>
    <t>mentor|n</t>
  </si>
  <si>
    <t>mentor</t>
  </si>
  <si>
    <t>mentor, mentors</t>
  </si>
  <si>
    <t>mummy|n</t>
  </si>
  <si>
    <t>mummy</t>
  </si>
  <si>
    <t>mummy, mummies</t>
  </si>
  <si>
    <t>ninth|n</t>
  </si>
  <si>
    <t>ninth</t>
  </si>
  <si>
    <t>ninth, ninths</t>
  </si>
  <si>
    <t>occupy|v</t>
  </si>
  <si>
    <t>occupy</t>
  </si>
  <si>
    <t>occupy, occupied, occupies, occupying</t>
  </si>
  <si>
    <t>pamphlet|n</t>
  </si>
  <si>
    <t>pamphlet</t>
  </si>
  <si>
    <t>pamphlet, pamphlets</t>
  </si>
  <si>
    <t>pause|v</t>
  </si>
  <si>
    <t>pause</t>
  </si>
  <si>
    <t>pause, paused, pauses, pausing</t>
  </si>
  <si>
    <t>pretentious|j</t>
  </si>
  <si>
    <t>pretentious</t>
  </si>
  <si>
    <t>ranch|n</t>
  </si>
  <si>
    <t>ranch</t>
  </si>
  <si>
    <t>ranch, ranches</t>
  </si>
  <si>
    <t>reverse|j</t>
  </si>
  <si>
    <t>reverse</t>
  </si>
  <si>
    <t>rooster|n</t>
  </si>
  <si>
    <t>rooster</t>
  </si>
  <si>
    <t>rooster, roosters</t>
  </si>
  <si>
    <t>scramble|v</t>
  </si>
  <si>
    <t>scramble</t>
  </si>
  <si>
    <t>scramble, scrambled, scrambles, scrambling</t>
  </si>
  <si>
    <t>scrape|v</t>
  </si>
  <si>
    <t>scrape</t>
  </si>
  <si>
    <t>scrape, scraped, scrapes, scraping</t>
  </si>
  <si>
    <t>sensation|n</t>
  </si>
  <si>
    <t>sensation</t>
  </si>
  <si>
    <t>sensation, sensations</t>
  </si>
  <si>
    <t>shuttle|n</t>
  </si>
  <si>
    <t>shuttle</t>
  </si>
  <si>
    <t>shuttle, shuttles</t>
  </si>
  <si>
    <t>stall|v</t>
  </si>
  <si>
    <t>stall</t>
  </si>
  <si>
    <t>stall, stalled, stalling, stalls</t>
  </si>
  <si>
    <t>storm|v</t>
  </si>
  <si>
    <t>storm, stormed, storming, storms</t>
  </si>
  <si>
    <t>summon|v</t>
  </si>
  <si>
    <t>summon</t>
  </si>
  <si>
    <t>summon, summoned, summoning, summons</t>
  </si>
  <si>
    <t>tad|n</t>
  </si>
  <si>
    <t>tad</t>
  </si>
  <si>
    <t>tad, tads</t>
  </si>
  <si>
    <t>tan|v</t>
  </si>
  <si>
    <t>tan</t>
  </si>
  <si>
    <t>tan, tanned, tanning, tans</t>
  </si>
  <si>
    <t>tango|n</t>
  </si>
  <si>
    <t>tango</t>
  </si>
  <si>
    <t>tango, tangos, tangoes</t>
  </si>
  <si>
    <t>teeny|j</t>
  </si>
  <si>
    <t>teeny</t>
  </si>
  <si>
    <t>teeny, teenier, teeniest</t>
  </si>
  <si>
    <t>tenth|m</t>
  </si>
  <si>
    <t>tenth</t>
  </si>
  <si>
    <t>tenth, tenths</t>
  </si>
  <si>
    <t>thirty-six|m</t>
  </si>
  <si>
    <t>thirty-six</t>
  </si>
  <si>
    <t>thrill|n</t>
  </si>
  <si>
    <t>thrill, thrills</t>
  </si>
  <si>
    <t>trash|v</t>
  </si>
  <si>
    <t>trash, trashed, trashes, trashing</t>
  </si>
  <si>
    <t>twenty-nine|m</t>
  </si>
  <si>
    <t>twenty-nine</t>
  </si>
  <si>
    <t>unexpected|j</t>
  </si>
  <si>
    <t>unexpected</t>
  </si>
  <si>
    <t>unicorn|n</t>
  </si>
  <si>
    <t>unicorn</t>
  </si>
  <si>
    <t>unicorn, unicorns</t>
  </si>
  <si>
    <t>unknown|j</t>
  </si>
  <si>
    <t>unknown</t>
  </si>
  <si>
    <t>unpack|v</t>
  </si>
  <si>
    <t>unpack</t>
  </si>
  <si>
    <t>unpack, unpacked, unpacking, unpacks</t>
  </si>
  <si>
    <t>useful|j</t>
  </si>
  <si>
    <t>useful</t>
  </si>
  <si>
    <t>variety|n</t>
  </si>
  <si>
    <t>variety</t>
  </si>
  <si>
    <t>variety, varieties</t>
  </si>
  <si>
    <t>vicious|j</t>
  </si>
  <si>
    <t>vicious</t>
  </si>
  <si>
    <t>voter|n</t>
  </si>
  <si>
    <t>voter</t>
  </si>
  <si>
    <t>voter, voters</t>
  </si>
  <si>
    <t>warning|n</t>
  </si>
  <si>
    <t>warning</t>
  </si>
  <si>
    <t>warning, warnings</t>
  </si>
  <si>
    <t>writing|n</t>
  </si>
  <si>
    <t>writing</t>
  </si>
  <si>
    <t>writing, writings</t>
  </si>
  <si>
    <t>photograph|n</t>
  </si>
  <si>
    <t>photograph</t>
  </si>
  <si>
    <t>photograph, photographs</t>
  </si>
  <si>
    <t>jerky|n</t>
  </si>
  <si>
    <t>jerky</t>
  </si>
  <si>
    <t>manure|n</t>
  </si>
  <si>
    <t>manure</t>
  </si>
  <si>
    <t>manure, manures</t>
  </si>
  <si>
    <t>razor|n</t>
  </si>
  <si>
    <t>razor</t>
  </si>
  <si>
    <t>razor, razors</t>
  </si>
  <si>
    <t>animate|v</t>
  </si>
  <si>
    <t>animate</t>
  </si>
  <si>
    <t>animate, animated, animates, animating</t>
  </si>
  <si>
    <t>ATM|abbr</t>
  </si>
  <si>
    <t>ATM</t>
  </si>
  <si>
    <t>ATM, ATMs</t>
  </si>
  <si>
    <t>atmosphere|n</t>
  </si>
  <si>
    <t>atmosphere</t>
  </si>
  <si>
    <t>atmosphere, atmospheres</t>
  </si>
  <si>
    <t>boundary|n</t>
  </si>
  <si>
    <t>boundary</t>
  </si>
  <si>
    <t>boundary, boundaries</t>
  </si>
  <si>
    <t>cardboard|n</t>
  </si>
  <si>
    <t>cardboard</t>
  </si>
  <si>
    <t>cardboard, cardboards</t>
  </si>
  <si>
    <t>cherish|v</t>
  </si>
  <si>
    <t>cherish</t>
  </si>
  <si>
    <t>cherish, cherished, cherishes, cherishing</t>
  </si>
  <si>
    <t>civilization|n</t>
  </si>
  <si>
    <t>civilization</t>
  </si>
  <si>
    <t>civilization, civilizations</t>
  </si>
  <si>
    <t>commander|n</t>
  </si>
  <si>
    <t>commander</t>
  </si>
  <si>
    <t>commander, commanders</t>
  </si>
  <si>
    <t>conquer|v</t>
  </si>
  <si>
    <t>conquer</t>
  </si>
  <si>
    <t>conquer, conquered, conquering, conquers</t>
  </si>
  <si>
    <t>convenience|n</t>
  </si>
  <si>
    <t>convenience</t>
  </si>
  <si>
    <t>convenience, conveniences</t>
  </si>
  <si>
    <t>cook|n</t>
  </si>
  <si>
    <t>cook, cooks</t>
  </si>
  <si>
    <t>cram|v</t>
  </si>
  <si>
    <t>cram</t>
  </si>
  <si>
    <t>cram, crammed, cramming, crams</t>
  </si>
  <si>
    <t>deadline|n</t>
  </si>
  <si>
    <t>deadline</t>
  </si>
  <si>
    <t>deadline, deadlines</t>
  </si>
  <si>
    <t>detector|n</t>
  </si>
  <si>
    <t>detector</t>
  </si>
  <si>
    <t>detector, detectors</t>
  </si>
  <si>
    <t>dresser|n</t>
  </si>
  <si>
    <t>dresser</t>
  </si>
  <si>
    <t>dresser, dressers</t>
  </si>
  <si>
    <t>elegant|j</t>
  </si>
  <si>
    <t>elegant</t>
  </si>
  <si>
    <t>empire|n</t>
  </si>
  <si>
    <t>empire</t>
  </si>
  <si>
    <t>empire, empires</t>
  </si>
  <si>
    <t>extraordinary|j</t>
  </si>
  <si>
    <t>extraordinary</t>
  </si>
  <si>
    <t>grandson|n</t>
  </si>
  <si>
    <t>grandson</t>
  </si>
  <si>
    <t>grandson, grandsons</t>
  </si>
  <si>
    <t>helpless|j</t>
  </si>
  <si>
    <t>helpless</t>
  </si>
  <si>
    <t>hike|n</t>
  </si>
  <si>
    <t>hike, hikes</t>
  </si>
  <si>
    <t>historical|j</t>
  </si>
  <si>
    <t>historical</t>
  </si>
  <si>
    <t>homeless|n</t>
  </si>
  <si>
    <t>hottie|n</t>
  </si>
  <si>
    <t>hottie</t>
  </si>
  <si>
    <t>hottie, hotties</t>
  </si>
  <si>
    <t>identical|j</t>
  </si>
  <si>
    <t>identical</t>
  </si>
  <si>
    <t>initiate|v</t>
  </si>
  <si>
    <t>initiate</t>
  </si>
  <si>
    <t>initiate, initiated, initiates, initiating</t>
  </si>
  <si>
    <t>investigate|v</t>
  </si>
  <si>
    <t>investigate</t>
  </si>
  <si>
    <t>investigate, investigated, investigates, investigating</t>
  </si>
  <si>
    <t>itch|v</t>
  </si>
  <si>
    <t>itch</t>
  </si>
  <si>
    <t>itch, itched, itches, itching</t>
  </si>
  <si>
    <t>Jell-O|K</t>
  </si>
  <si>
    <t>Jell-O</t>
  </si>
  <si>
    <t>juvenile|j</t>
  </si>
  <si>
    <t>juvenile</t>
  </si>
  <si>
    <t>lack|v</t>
  </si>
  <si>
    <t>lack, lacked, lacking, lacks</t>
  </si>
  <si>
    <t>Latin|K</t>
  </si>
  <si>
    <t>Latin</t>
  </si>
  <si>
    <t>luggage|n</t>
  </si>
  <si>
    <t>luggage</t>
  </si>
  <si>
    <t>mannequin|n</t>
  </si>
  <si>
    <t>mannequin</t>
  </si>
  <si>
    <t>mannequin, mannequins</t>
  </si>
  <si>
    <t>motivate|v</t>
  </si>
  <si>
    <t>motivate</t>
  </si>
  <si>
    <t>motivate, motivated, motivates, motivating</t>
  </si>
  <si>
    <t>niece|n</t>
  </si>
  <si>
    <t>niece</t>
  </si>
  <si>
    <t>niece, nieces</t>
  </si>
  <si>
    <t>passport|n</t>
  </si>
  <si>
    <t>passport</t>
  </si>
  <si>
    <t>passport, passports</t>
  </si>
  <si>
    <t>pharmacist|n</t>
  </si>
  <si>
    <t>pharmacist</t>
  </si>
  <si>
    <t>pharmacist, pharmacists</t>
  </si>
  <si>
    <t>pitcher|n</t>
  </si>
  <si>
    <t>pitcher</t>
  </si>
  <si>
    <t>pitcher, pitchers</t>
  </si>
  <si>
    <t>planetarium|n</t>
  </si>
  <si>
    <t>planetarium</t>
  </si>
  <si>
    <t>planetarium, planetaria, planetariums</t>
  </si>
  <si>
    <t>poisoning|n</t>
  </si>
  <si>
    <t>poisoning</t>
  </si>
  <si>
    <t>poisoning, poisonings</t>
  </si>
  <si>
    <t>policeman|n</t>
  </si>
  <si>
    <t>policeman</t>
  </si>
  <si>
    <t>policeman, policemen</t>
  </si>
  <si>
    <t>precisely|r</t>
  </si>
  <si>
    <t>precisely</t>
  </si>
  <si>
    <t>profile|n</t>
  </si>
  <si>
    <t>profile</t>
  </si>
  <si>
    <t>profile, profiles</t>
  </si>
  <si>
    <t>reconsider|v</t>
  </si>
  <si>
    <t>reconsider</t>
  </si>
  <si>
    <t>reconsider, reconsidered, reconsidering, reconsiders</t>
  </si>
  <si>
    <t>ritual|n</t>
  </si>
  <si>
    <t>ritual</t>
  </si>
  <si>
    <t>ritual, rituals</t>
  </si>
  <si>
    <t>robbery|n</t>
  </si>
  <si>
    <t>robbery</t>
  </si>
  <si>
    <t>robbery, robberies</t>
  </si>
  <si>
    <t>self-esteem|n</t>
  </si>
  <si>
    <t>self-esteem</t>
  </si>
  <si>
    <t>semen|n</t>
  </si>
  <si>
    <t>semen</t>
  </si>
  <si>
    <t>six-pack|n</t>
  </si>
  <si>
    <t>six-pack</t>
  </si>
  <si>
    <t>six-pack, six-packs</t>
  </si>
  <si>
    <t>sleigh|n</t>
  </si>
  <si>
    <t>sleigh</t>
  </si>
  <si>
    <t>sleigh, sleighs</t>
  </si>
  <si>
    <t>spontaneous|j</t>
  </si>
  <si>
    <t>spontaneous</t>
  </si>
  <si>
    <t>stat|n</t>
  </si>
  <si>
    <t>stat</t>
  </si>
  <si>
    <t>stat, stats</t>
  </si>
  <si>
    <t>stunning|j</t>
  </si>
  <si>
    <t>stunning</t>
  </si>
  <si>
    <t>supper|n</t>
  </si>
  <si>
    <t>supper</t>
  </si>
  <si>
    <t>supper, suppers</t>
  </si>
  <si>
    <t>tab|n</t>
  </si>
  <si>
    <t>tab</t>
  </si>
  <si>
    <t>tab, tabs</t>
  </si>
  <si>
    <t>thirty-four|m</t>
  </si>
  <si>
    <t>thirty-four</t>
  </si>
  <si>
    <t>thirty-seven|m</t>
  </si>
  <si>
    <t>thirty-seven</t>
  </si>
  <si>
    <t>toast|v</t>
  </si>
  <si>
    <t>toast, toasted, toasting, toasts</t>
  </si>
  <si>
    <t>tolerate|v</t>
  </si>
  <si>
    <t>tolerate</t>
  </si>
  <si>
    <t>tolerate, tolerated, tolerates, tolerating</t>
  </si>
  <si>
    <t>translate|v</t>
  </si>
  <si>
    <t>translate</t>
  </si>
  <si>
    <t>translate, translated, translates, translating</t>
  </si>
  <si>
    <t>tuxedo|n</t>
  </si>
  <si>
    <t>tuxedo</t>
  </si>
  <si>
    <t>tuxedo, tuxedoes, tuxedos</t>
  </si>
  <si>
    <t>wand|n</t>
  </si>
  <si>
    <t>wand</t>
  </si>
  <si>
    <t>wand, wands</t>
  </si>
  <si>
    <t>wipe|n</t>
  </si>
  <si>
    <t>wipe, wipes</t>
  </si>
  <si>
    <t>dimension|n</t>
  </si>
  <si>
    <t>dimension</t>
  </si>
  <si>
    <t>dimension, dimensions</t>
  </si>
  <si>
    <t>serial|j</t>
  </si>
  <si>
    <t>serial</t>
  </si>
  <si>
    <t>toll|n</t>
  </si>
  <si>
    <t>toll</t>
  </si>
  <si>
    <t>toll, tolls</t>
  </si>
  <si>
    <t>affection|n</t>
  </si>
  <si>
    <t>affection</t>
  </si>
  <si>
    <t>affection, affections</t>
  </si>
  <si>
    <t>African-American|K</t>
  </si>
  <si>
    <t>African-American</t>
  </si>
  <si>
    <t>African-American, African-Americans</t>
  </si>
  <si>
    <t>anchor|v</t>
  </si>
  <si>
    <t>anchor</t>
  </si>
  <si>
    <t>anchor, anchors</t>
  </si>
  <si>
    <t>anthropology|n</t>
  </si>
  <si>
    <t>anthropology</t>
  </si>
  <si>
    <t>atom|n</t>
  </si>
  <si>
    <t>atom</t>
  </si>
  <si>
    <t>atom, atoms</t>
  </si>
  <si>
    <t>author|v</t>
  </si>
  <si>
    <t>author</t>
  </si>
  <si>
    <t>author, authors</t>
  </si>
  <si>
    <t>blend|v</t>
  </si>
  <si>
    <t>blend</t>
  </si>
  <si>
    <t>blend, blended, blending, blends, blent</t>
  </si>
  <si>
    <t>blink|v</t>
  </si>
  <si>
    <t>blink</t>
  </si>
  <si>
    <t>blink, blinked, blinking, blinks</t>
  </si>
  <si>
    <t>blonde|n</t>
  </si>
  <si>
    <t>blonde</t>
  </si>
  <si>
    <t>blonde, blondes</t>
  </si>
  <si>
    <t>brakes|n</t>
  </si>
  <si>
    <t>brakes</t>
  </si>
  <si>
    <t>breed|v</t>
  </si>
  <si>
    <t>breed</t>
  </si>
  <si>
    <t>breed, bred, breeding, breeds</t>
  </si>
  <si>
    <t>brochure|n</t>
  </si>
  <si>
    <t>brochure</t>
  </si>
  <si>
    <t>brochure, brochures</t>
  </si>
  <si>
    <t>clay|n</t>
  </si>
  <si>
    <t>clay</t>
  </si>
  <si>
    <t>coin|v</t>
  </si>
  <si>
    <t>coin, coined, coining, coins</t>
  </si>
  <si>
    <t>coitus|n</t>
  </si>
  <si>
    <t>coitus</t>
  </si>
  <si>
    <t>correction|n</t>
  </si>
  <si>
    <t>correction</t>
  </si>
  <si>
    <t>correction, corrections</t>
  </si>
  <si>
    <t>curly|j</t>
  </si>
  <si>
    <t>curly</t>
  </si>
  <si>
    <t>curly, curlier, curliest</t>
  </si>
  <si>
    <t>custody|n</t>
  </si>
  <si>
    <t>custody</t>
  </si>
  <si>
    <t>direct|j</t>
  </si>
  <si>
    <t>direct, directer, directest</t>
  </si>
  <si>
    <t>diversity|n</t>
  </si>
  <si>
    <t>diversity</t>
  </si>
  <si>
    <t>diversity, diversities</t>
  </si>
  <si>
    <t>dodge|v</t>
  </si>
  <si>
    <t>dodge</t>
  </si>
  <si>
    <t>dodge, dodged, dodges, dodging</t>
  </si>
  <si>
    <t>drain|v</t>
  </si>
  <si>
    <t>drain</t>
  </si>
  <si>
    <t>drain, drained, draining, drains</t>
  </si>
  <si>
    <t>dye|v</t>
  </si>
  <si>
    <t>dye</t>
  </si>
  <si>
    <t>dye, dyed, dyeing, dyes</t>
  </si>
  <si>
    <t>dynamite|n</t>
  </si>
  <si>
    <t>dynamite</t>
  </si>
  <si>
    <t>dynamite, dynamites</t>
  </si>
  <si>
    <t>equation|n</t>
  </si>
  <si>
    <t>equation</t>
  </si>
  <si>
    <t>equation, equations</t>
  </si>
  <si>
    <t>errand|n</t>
  </si>
  <si>
    <t>errand</t>
  </si>
  <si>
    <t>errand, errands</t>
  </si>
  <si>
    <t>exclusive|j</t>
  </si>
  <si>
    <t>exclusive</t>
  </si>
  <si>
    <t>halftime|n</t>
  </si>
  <si>
    <t>halftime</t>
  </si>
  <si>
    <t>halftime, halftimes</t>
  </si>
  <si>
    <t>hearing|n</t>
  </si>
  <si>
    <t>hearing</t>
  </si>
  <si>
    <t>hearing, hearings</t>
  </si>
  <si>
    <t>hoop|n</t>
  </si>
  <si>
    <t>hoop</t>
  </si>
  <si>
    <t>hoop, hoops</t>
  </si>
  <si>
    <t>hunk|n</t>
  </si>
  <si>
    <t>hunk</t>
  </si>
  <si>
    <t>hunk, hunks</t>
  </si>
  <si>
    <t>invade|v</t>
  </si>
  <si>
    <t>invade</t>
  </si>
  <si>
    <t>invade, invaded, invades, invading</t>
  </si>
  <si>
    <t>invasion|n</t>
  </si>
  <si>
    <t>invasion</t>
  </si>
  <si>
    <t>invasion, invasions</t>
  </si>
  <si>
    <t>jealousy|n</t>
  </si>
  <si>
    <t>jealousy</t>
  </si>
  <si>
    <t>jealousy, jealousies</t>
  </si>
  <si>
    <t>jingle|v</t>
  </si>
  <si>
    <t>jingle</t>
  </si>
  <si>
    <t>jingle, jingled, jingles, jingling</t>
  </si>
  <si>
    <t>judgmental|j</t>
  </si>
  <si>
    <t>judgmental</t>
  </si>
  <si>
    <t>judgmental, judgemental</t>
  </si>
  <si>
    <t>kingdom|n</t>
  </si>
  <si>
    <t>kingdom</t>
  </si>
  <si>
    <t>kingdom, kingdoms</t>
  </si>
  <si>
    <t>label|v</t>
  </si>
  <si>
    <t>label, labeled, labeling, labels</t>
  </si>
  <si>
    <t>lollipop|n</t>
  </si>
  <si>
    <t>lollipop</t>
  </si>
  <si>
    <t>lollipop, lollipops, lollypop, lollypops</t>
  </si>
  <si>
    <t>lying|n</t>
  </si>
  <si>
    <t>lying</t>
  </si>
  <si>
    <t>lying, lyings</t>
  </si>
  <si>
    <t>manipulate|v</t>
  </si>
  <si>
    <t>manipulate</t>
  </si>
  <si>
    <t>manipulate, manipulated, manipulates, manipulating</t>
  </si>
  <si>
    <t>max|n</t>
  </si>
  <si>
    <t>max</t>
  </si>
  <si>
    <t>max, maxes</t>
  </si>
  <si>
    <t>mechanic|n</t>
  </si>
  <si>
    <t>mechanic</t>
  </si>
  <si>
    <t>mechanic, mechanics</t>
  </si>
  <si>
    <t>mode|n</t>
  </si>
  <si>
    <t>mode</t>
  </si>
  <si>
    <t>mode, modes</t>
  </si>
  <si>
    <t>narrow|v</t>
  </si>
  <si>
    <t>narrow</t>
  </si>
  <si>
    <t>narrow, narrowed, narrowing, narrows</t>
  </si>
  <si>
    <t>oath|n</t>
  </si>
  <si>
    <t>oath</t>
  </si>
  <si>
    <t>oath, oaths</t>
  </si>
  <si>
    <t>odor|n</t>
  </si>
  <si>
    <t>odor</t>
  </si>
  <si>
    <t>odor, odors</t>
  </si>
  <si>
    <t>outstanding|j</t>
  </si>
  <si>
    <t>outstanding</t>
  </si>
  <si>
    <t>owl|n</t>
  </si>
  <si>
    <t>owl</t>
  </si>
  <si>
    <t>owl, owls</t>
  </si>
  <si>
    <t>pope|n</t>
  </si>
  <si>
    <t>pope</t>
  </si>
  <si>
    <t>pope, popes</t>
  </si>
  <si>
    <t>pursuit|n</t>
  </si>
  <si>
    <t>pursuit</t>
  </si>
  <si>
    <t>pursuit, pursuits</t>
  </si>
  <si>
    <t>rely|v</t>
  </si>
  <si>
    <t>rely</t>
  </si>
  <si>
    <t>rely, relied, relies, relying</t>
  </si>
  <si>
    <t>reputation|n</t>
  </si>
  <si>
    <t>reputation</t>
  </si>
  <si>
    <t>reputation, reputations</t>
  </si>
  <si>
    <t>restore|v</t>
  </si>
  <si>
    <t>restore</t>
  </si>
  <si>
    <t>restore, restored, restores, restoring</t>
  </si>
  <si>
    <t>rhyme|v</t>
  </si>
  <si>
    <t>rhyme</t>
  </si>
  <si>
    <t>rhyme, rhymed, rhymes, rhyming</t>
  </si>
  <si>
    <t>rum|n</t>
  </si>
  <si>
    <t>rum</t>
  </si>
  <si>
    <t>rum, rums</t>
  </si>
  <si>
    <t>scoop|n</t>
  </si>
  <si>
    <t>scoop</t>
  </si>
  <si>
    <t>scoop, scoops</t>
  </si>
  <si>
    <t>screw|n</t>
  </si>
  <si>
    <t>screw, screws</t>
  </si>
  <si>
    <t>scrotum|n</t>
  </si>
  <si>
    <t>scrotum</t>
  </si>
  <si>
    <t>scrotum, scrota, scrotums</t>
  </si>
  <si>
    <t>spoiler|n</t>
  </si>
  <si>
    <t>spoiler</t>
  </si>
  <si>
    <t>spoiler, spoilers</t>
  </si>
  <si>
    <t>superstar|n</t>
  </si>
  <si>
    <t>superstar</t>
  </si>
  <si>
    <t>superstar, superstars</t>
  </si>
  <si>
    <t>surface|n</t>
  </si>
  <si>
    <t>surface</t>
  </si>
  <si>
    <t>surface, surfaces</t>
  </si>
  <si>
    <t>teens|n</t>
  </si>
  <si>
    <t>teens</t>
  </si>
  <si>
    <t>tweet|v</t>
  </si>
  <si>
    <t>tweet</t>
  </si>
  <si>
    <t>tweet, tweeted, tweeting, tweets</t>
  </si>
  <si>
    <t>two thousand|m</t>
  </si>
  <si>
    <t>two thousand</t>
  </si>
  <si>
    <t>undercover|j</t>
  </si>
  <si>
    <t>undercover</t>
  </si>
  <si>
    <t>veteran|n</t>
  </si>
  <si>
    <t>veteran</t>
  </si>
  <si>
    <t>veteran, veterans</t>
  </si>
  <si>
    <t>viewer|n</t>
  </si>
  <si>
    <t>viewer</t>
  </si>
  <si>
    <t>viewer, viewers</t>
  </si>
  <si>
    <t>wax|v</t>
  </si>
  <si>
    <t>wax, waxed, waxes, waxing</t>
  </si>
  <si>
    <t>whine|v</t>
  </si>
  <si>
    <t>whine</t>
  </si>
  <si>
    <t>whine, whined, whines, whining</t>
  </si>
  <si>
    <t>windshield|n</t>
  </si>
  <si>
    <t>windshield</t>
  </si>
  <si>
    <t>windshield, windshields</t>
  </si>
  <si>
    <t>bait|n</t>
  </si>
  <si>
    <t>bait</t>
  </si>
  <si>
    <t>bait, baits</t>
  </si>
  <si>
    <t>epic|j</t>
  </si>
  <si>
    <t>epic</t>
  </si>
  <si>
    <t>working|j</t>
  </si>
  <si>
    <t>working</t>
  </si>
  <si>
    <t>shovel|n</t>
  </si>
  <si>
    <t>shovel</t>
  </si>
  <si>
    <t>shovel, shovels</t>
  </si>
  <si>
    <t>execute|v</t>
  </si>
  <si>
    <t>execute</t>
  </si>
  <si>
    <t>execute, executed, executes, executing</t>
  </si>
  <si>
    <t>experiment|v</t>
  </si>
  <si>
    <t>experiment, experimented, experimenting, experiments</t>
  </si>
  <si>
    <t>fireplace|n</t>
  </si>
  <si>
    <t>fireplace</t>
  </si>
  <si>
    <t>fireplace, fireplaces</t>
  </si>
  <si>
    <t>flee|v</t>
  </si>
  <si>
    <t>flee</t>
  </si>
  <si>
    <t>flee, fled, fleeing, flees</t>
  </si>
  <si>
    <t>flood|n</t>
  </si>
  <si>
    <t>flood</t>
  </si>
  <si>
    <t>flood, floods</t>
  </si>
  <si>
    <t>half-hour|n</t>
  </si>
  <si>
    <t>half-hour</t>
  </si>
  <si>
    <t>half-hour, half-hours</t>
  </si>
  <si>
    <t>heritage|n</t>
  </si>
  <si>
    <t>heritage</t>
  </si>
  <si>
    <t>heritage, heritages</t>
  </si>
  <si>
    <t>housewife|n</t>
  </si>
  <si>
    <t>housewife</t>
  </si>
  <si>
    <t>housewife, housewives</t>
  </si>
  <si>
    <t>instructor|n</t>
  </si>
  <si>
    <t>instructor</t>
  </si>
  <si>
    <t>instructor, instructors</t>
  </si>
  <si>
    <t>leftover|n</t>
  </si>
  <si>
    <t>leftover</t>
  </si>
  <si>
    <t>leftover, leftovers</t>
  </si>
  <si>
    <t>lieutenant|n</t>
  </si>
  <si>
    <t>lieutenant</t>
  </si>
  <si>
    <t>lieutenant, lieutenants</t>
  </si>
  <si>
    <t>lovable|j</t>
  </si>
  <si>
    <t>lovable</t>
  </si>
  <si>
    <t>mayonnaise|n</t>
  </si>
  <si>
    <t>mayonnaise</t>
  </si>
  <si>
    <t>mayonnaise, mayonnaises</t>
  </si>
  <si>
    <t>microphone|n</t>
  </si>
  <si>
    <t>microphone</t>
  </si>
  <si>
    <t>microphone, microphones</t>
  </si>
  <si>
    <t>nudity|n</t>
  </si>
  <si>
    <t>nudity</t>
  </si>
  <si>
    <t>obligation|n</t>
  </si>
  <si>
    <t>obligation</t>
  </si>
  <si>
    <t>obligation, obligations</t>
  </si>
  <si>
    <t>obsession|n</t>
  </si>
  <si>
    <t>obsession</t>
  </si>
  <si>
    <t>obsession, obsessions</t>
  </si>
  <si>
    <t>patrol|n</t>
  </si>
  <si>
    <t>patrol</t>
  </si>
  <si>
    <t>patrol, patrols</t>
  </si>
  <si>
    <t>salty|j</t>
  </si>
  <si>
    <t>salty</t>
  </si>
  <si>
    <t>salty, saltier, saltiest</t>
  </si>
  <si>
    <t>schnapps|n</t>
  </si>
  <si>
    <t>schnapps</t>
  </si>
  <si>
    <t>schnapps, schnaps</t>
  </si>
  <si>
    <t>setup|n</t>
  </si>
  <si>
    <t>setup</t>
  </si>
  <si>
    <t>setup, setups</t>
  </si>
  <si>
    <t>shortly|r</t>
  </si>
  <si>
    <t>shortly</t>
  </si>
  <si>
    <t>sour|j</t>
  </si>
  <si>
    <t>sour</t>
  </si>
  <si>
    <t>sour, sourer, sourest</t>
  </si>
  <si>
    <t>spectacular|j</t>
  </si>
  <si>
    <t>spectacular</t>
  </si>
  <si>
    <t>steroid|n</t>
  </si>
  <si>
    <t>steroid</t>
  </si>
  <si>
    <t>steroid, steroids</t>
  </si>
  <si>
    <t>stomp|v</t>
  </si>
  <si>
    <t>stomp</t>
  </si>
  <si>
    <t>stomp, stomps, stomped, stomping</t>
  </si>
  <si>
    <t>survival|n</t>
  </si>
  <si>
    <t>survival</t>
  </si>
  <si>
    <t>survival, survivals</t>
  </si>
  <si>
    <t>sweatshirt|n</t>
  </si>
  <si>
    <t>sweatshirt</t>
  </si>
  <si>
    <t>sweatshirt, sweatshirts</t>
  </si>
  <si>
    <t>swell|j</t>
  </si>
  <si>
    <t>theirs|fw</t>
  </si>
  <si>
    <t>theirs</t>
  </si>
  <si>
    <t>traitor|n</t>
  </si>
  <si>
    <t>traitor</t>
  </si>
  <si>
    <t>traitor, traitors</t>
  </si>
  <si>
    <t>uptight|j</t>
  </si>
  <si>
    <t>uptight</t>
  </si>
  <si>
    <t>wait|n</t>
  </si>
  <si>
    <t>wait, waits</t>
  </si>
  <si>
    <t>arrival|n</t>
  </si>
  <si>
    <t>arrival</t>
  </si>
  <si>
    <t>arrival, arrivals</t>
  </si>
  <si>
    <t>autograph|v</t>
  </si>
  <si>
    <t>autograph, autographed, autographing, autographs</t>
  </si>
  <si>
    <t>babysit|v</t>
  </si>
  <si>
    <t>babysit</t>
  </si>
  <si>
    <t>babysit, babysat, babysits, babysitting</t>
  </si>
  <si>
    <t>backstage|r</t>
  </si>
  <si>
    <t>backstage</t>
  </si>
  <si>
    <t>bond|n</t>
  </si>
  <si>
    <t>bond, bonds</t>
  </si>
  <si>
    <t>boogie|n</t>
  </si>
  <si>
    <t>boogie</t>
  </si>
  <si>
    <t>boogie, boogies</t>
  </si>
  <si>
    <t>busboy|n</t>
  </si>
  <si>
    <t>busboy</t>
  </si>
  <si>
    <t>busboy, busboys</t>
  </si>
  <si>
    <t>buttocks|n</t>
  </si>
  <si>
    <t>buttocks</t>
  </si>
  <si>
    <t>camel|n</t>
  </si>
  <si>
    <t>camel</t>
  </si>
  <si>
    <t>camel, camels</t>
  </si>
  <si>
    <t>cattle|n</t>
  </si>
  <si>
    <t>cattle</t>
  </si>
  <si>
    <t>chalk|n</t>
  </si>
  <si>
    <t>chalk</t>
  </si>
  <si>
    <t>chalk, chalks</t>
  </si>
  <si>
    <t>cheater|n</t>
  </si>
  <si>
    <t>cheater</t>
  </si>
  <si>
    <t>cheater, cheaters</t>
  </si>
  <si>
    <t>clone|n</t>
  </si>
  <si>
    <t>clone</t>
  </si>
  <si>
    <t>clone, clones</t>
  </si>
  <si>
    <t>cobra|n</t>
  </si>
  <si>
    <t>cobra</t>
  </si>
  <si>
    <t>cobra, cobras</t>
  </si>
  <si>
    <t>contribution|n</t>
  </si>
  <si>
    <t>contribution</t>
  </si>
  <si>
    <t>contribution, contributions</t>
  </si>
  <si>
    <t>cough|v</t>
  </si>
  <si>
    <t>cough, coughed, coughing, coughs</t>
  </si>
  <si>
    <t>devote|v</t>
  </si>
  <si>
    <t>devote</t>
  </si>
  <si>
    <t>devote, devoted, devotes, devoting</t>
  </si>
  <si>
    <t>dip|v</t>
  </si>
  <si>
    <t>dip, dipped, dipping, dips</t>
  </si>
  <si>
    <t>doodle|v</t>
  </si>
  <si>
    <t>doodle</t>
  </si>
  <si>
    <t>doodle, doodled, doodles, doodling</t>
  </si>
  <si>
    <t>ease|v</t>
  </si>
  <si>
    <t>ease</t>
  </si>
  <si>
    <t>ease, eased, eases, easing</t>
  </si>
  <si>
    <t>erection|n</t>
  </si>
  <si>
    <t>erection</t>
  </si>
  <si>
    <t>erection, erections</t>
  </si>
  <si>
    <t>harm|v</t>
  </si>
  <si>
    <t>harm, harmed, harming, harms</t>
  </si>
  <si>
    <t>ideal|j</t>
  </si>
  <si>
    <t>ideal</t>
  </si>
  <si>
    <t>lease|n</t>
  </si>
  <si>
    <t>lease</t>
  </si>
  <si>
    <t>lease, leases</t>
  </si>
  <si>
    <t>legendary|j</t>
  </si>
  <si>
    <t>legendary</t>
  </si>
  <si>
    <t>absurd|j</t>
  </si>
  <si>
    <t>absurd</t>
  </si>
  <si>
    <t>absurd, absurder, absurdest</t>
  </si>
  <si>
    <t>additional|j</t>
  </si>
  <si>
    <t>additional</t>
  </si>
  <si>
    <t>advertise|v</t>
  </si>
  <si>
    <t>advertise</t>
  </si>
  <si>
    <t>advertise, advertised, advertises, advertising</t>
  </si>
  <si>
    <t>appetizer|n</t>
  </si>
  <si>
    <t>appetizer</t>
  </si>
  <si>
    <t>appetizer, appetizers</t>
  </si>
  <si>
    <t>attraction|n</t>
  </si>
  <si>
    <t>attraction</t>
  </si>
  <si>
    <t>attraction, attractions</t>
  </si>
  <si>
    <t>blow|n</t>
  </si>
  <si>
    <t>blow, blows</t>
  </si>
  <si>
    <t>brick|n</t>
  </si>
  <si>
    <t>brick</t>
  </si>
  <si>
    <t>brick, bricks</t>
  </si>
  <si>
    <t>canned|j</t>
  </si>
  <si>
    <t>canned</t>
  </si>
  <si>
    <t>caterer|n</t>
  </si>
  <si>
    <t>caterer</t>
  </si>
  <si>
    <t>caterer, caterers</t>
  </si>
  <si>
    <t>center|j</t>
  </si>
  <si>
    <t>chilly|j</t>
  </si>
  <si>
    <t>chilly</t>
  </si>
  <si>
    <t>chilly, chillier, chilliest</t>
  </si>
  <si>
    <t>classmate|n</t>
  </si>
  <si>
    <t>classmate</t>
  </si>
  <si>
    <t>classmate, classmates</t>
  </si>
  <si>
    <t>conclude|v</t>
  </si>
  <si>
    <t>conclude</t>
  </si>
  <si>
    <t>conclude, concluded, concludes, concluding</t>
  </si>
  <si>
    <t>consult|v</t>
  </si>
  <si>
    <t>consult</t>
  </si>
  <si>
    <t>consult, consulted, consulting, consults</t>
  </si>
  <si>
    <t>correctly|r</t>
  </si>
  <si>
    <t>correctly</t>
  </si>
  <si>
    <t>cozy|j</t>
  </si>
  <si>
    <t>cozy</t>
  </si>
  <si>
    <t>cozy, cozier, coziest</t>
  </si>
  <si>
    <t>curiosity|n</t>
  </si>
  <si>
    <t>curiosity</t>
  </si>
  <si>
    <t>curiosity, curiosities</t>
  </si>
  <si>
    <t>dorm|n</t>
  </si>
  <si>
    <t>dorm</t>
  </si>
  <si>
    <t>dorm, dorms</t>
  </si>
  <si>
    <t>educate|v</t>
  </si>
  <si>
    <t>educate</t>
  </si>
  <si>
    <t>educate, educated, educates, educating</t>
  </si>
  <si>
    <t>educational|j</t>
  </si>
  <si>
    <t>educational</t>
  </si>
  <si>
    <t>enthusiasm|n</t>
  </si>
  <si>
    <t>enthusiasm</t>
  </si>
  <si>
    <t>enthusiasm, enthusiasms</t>
  </si>
  <si>
    <t>filth|n</t>
  </si>
  <si>
    <t>filth</t>
  </si>
  <si>
    <t>fitness|n</t>
  </si>
  <si>
    <t>fitness</t>
  </si>
  <si>
    <t>forgiveness|n</t>
  </si>
  <si>
    <t>forgiveness</t>
  </si>
  <si>
    <t>foul|n</t>
  </si>
  <si>
    <t>foul</t>
  </si>
  <si>
    <t>foul, fouls</t>
  </si>
  <si>
    <t>genitals|n</t>
  </si>
  <si>
    <t>genitals</t>
  </si>
  <si>
    <t>goddamned|j</t>
  </si>
  <si>
    <t>goddamned</t>
  </si>
  <si>
    <t>guess|n</t>
  </si>
  <si>
    <t>guess, guesses</t>
  </si>
  <si>
    <t>gutter|n</t>
  </si>
  <si>
    <t>gutter</t>
  </si>
  <si>
    <t>gutter, gutters</t>
  </si>
  <si>
    <t>heroin|n</t>
  </si>
  <si>
    <t>heroin</t>
  </si>
  <si>
    <t>horribly|r</t>
  </si>
  <si>
    <t>horribly</t>
  </si>
  <si>
    <t>household|n</t>
  </si>
  <si>
    <t>household</t>
  </si>
  <si>
    <t>household, households</t>
  </si>
  <si>
    <t>HR|abbr</t>
  </si>
  <si>
    <t>HR</t>
  </si>
  <si>
    <t>infinite|j</t>
  </si>
  <si>
    <t>infinite</t>
  </si>
  <si>
    <t>inject|v</t>
  </si>
  <si>
    <t>inject</t>
  </si>
  <si>
    <t>inject, injected, injecting, injects</t>
  </si>
  <si>
    <t>leaf|n</t>
  </si>
  <si>
    <t>leaf</t>
  </si>
  <si>
    <t>leaf, leaves</t>
  </si>
  <si>
    <t>leap|v</t>
  </si>
  <si>
    <t>leap</t>
  </si>
  <si>
    <t>leap, leaped, leaping, leaps, leapt</t>
  </si>
  <si>
    <t>leap|n</t>
  </si>
  <si>
    <t>leap, leaps</t>
  </si>
  <si>
    <t>link|n</t>
  </si>
  <si>
    <t>link</t>
  </si>
  <si>
    <t>link, links</t>
  </si>
  <si>
    <t>loving|j</t>
  </si>
  <si>
    <t>loving</t>
  </si>
  <si>
    <t>manly|j</t>
  </si>
  <si>
    <t>manly</t>
  </si>
  <si>
    <t>manly, manlier, manliest</t>
  </si>
  <si>
    <t>many|j</t>
  </si>
  <si>
    <t>masterpiece|n</t>
  </si>
  <si>
    <t>masterpiece</t>
  </si>
  <si>
    <t>masterpiece, masterpieces</t>
  </si>
  <si>
    <t>obnoxious|j</t>
  </si>
  <si>
    <t>obnoxious</t>
  </si>
  <si>
    <t>Olympic|K</t>
  </si>
  <si>
    <t>Olympic</t>
  </si>
  <si>
    <t>opener|n</t>
  </si>
  <si>
    <t>opener</t>
  </si>
  <si>
    <t>opener, openers</t>
  </si>
  <si>
    <t>orientation|n</t>
  </si>
  <si>
    <t>orientation</t>
  </si>
  <si>
    <t>orientation, orientations</t>
  </si>
  <si>
    <t>origin|n</t>
  </si>
  <si>
    <t>origin</t>
  </si>
  <si>
    <t>origin, origins</t>
  </si>
  <si>
    <t>orphan|n</t>
  </si>
  <si>
    <t>orphan</t>
  </si>
  <si>
    <t>orphan, orphans</t>
  </si>
  <si>
    <t>penalty|n</t>
  </si>
  <si>
    <t>penalty</t>
  </si>
  <si>
    <t>penalty, penalties</t>
  </si>
  <si>
    <t>residence|n</t>
  </si>
  <si>
    <t>residence</t>
  </si>
  <si>
    <t>residence, residences</t>
  </si>
  <si>
    <t>reverse|v</t>
  </si>
  <si>
    <t>reverse, reversed, reverses, reversing</t>
  </si>
  <si>
    <t>shallow|j</t>
  </si>
  <si>
    <t>shallow</t>
  </si>
  <si>
    <t>shallow, shallower, shallowest</t>
  </si>
  <si>
    <t>shipment|n</t>
  </si>
  <si>
    <t>shipment</t>
  </si>
  <si>
    <t>shipment, shipments</t>
  </si>
  <si>
    <t>siren|n</t>
  </si>
  <si>
    <t>siren</t>
  </si>
  <si>
    <t>siren, sirens</t>
  </si>
  <si>
    <t>soothe|v</t>
  </si>
  <si>
    <t>soothe</t>
  </si>
  <si>
    <t>soothe, soothed, soothes, soothing</t>
  </si>
  <si>
    <t>spank|v</t>
  </si>
  <si>
    <t>spank</t>
  </si>
  <si>
    <t>spank, spanked, spanking, spanks</t>
  </si>
  <si>
    <t>strict|j</t>
  </si>
  <si>
    <t>strict</t>
  </si>
  <si>
    <t>strict, stricter, strictest</t>
  </si>
  <si>
    <t>strongly|r</t>
  </si>
  <si>
    <t>strongly</t>
  </si>
  <si>
    <t>superpower|n</t>
  </si>
  <si>
    <t>superpower</t>
  </si>
  <si>
    <t>superpower, superpowers</t>
  </si>
  <si>
    <t>violin|n</t>
  </si>
  <si>
    <t>violin</t>
  </si>
  <si>
    <t>violin, violins</t>
  </si>
  <si>
    <t>volunteer|j</t>
  </si>
  <si>
    <t>wake-up|n</t>
  </si>
  <si>
    <t>wake-up</t>
  </si>
  <si>
    <t>wake-up, wake-ups</t>
  </si>
  <si>
    <t>mass|j</t>
  </si>
  <si>
    <t>mass</t>
  </si>
  <si>
    <t>scent|n</t>
  </si>
  <si>
    <t>scent</t>
  </si>
  <si>
    <t>scent, scents</t>
  </si>
  <si>
    <t>grip|n</t>
  </si>
  <si>
    <t>grip</t>
  </si>
  <si>
    <t>grip, grips</t>
  </si>
  <si>
    <t>recorder|n</t>
  </si>
  <si>
    <t>recorder</t>
  </si>
  <si>
    <t>recorder, recorders</t>
  </si>
  <si>
    <t>acceptance|n</t>
  </si>
  <si>
    <t>acceptance</t>
  </si>
  <si>
    <t>acceptance, acceptances</t>
  </si>
  <si>
    <t>acquaintance|n</t>
  </si>
  <si>
    <t>acquaintance</t>
  </si>
  <si>
    <t>acquaintance, acquaintances</t>
  </si>
  <si>
    <t>acquire|v</t>
  </si>
  <si>
    <t>acquire</t>
  </si>
  <si>
    <t>acquire, acquired, acquires, acquiring</t>
  </si>
  <si>
    <t>alrighty|u</t>
  </si>
  <si>
    <t>alrighty</t>
  </si>
  <si>
    <t>alternative|n</t>
  </si>
  <si>
    <t>alternative</t>
  </si>
  <si>
    <t>alternative, alternatives</t>
  </si>
  <si>
    <t>anxious|j</t>
  </si>
  <si>
    <t>anxious</t>
  </si>
  <si>
    <t>applaud|v</t>
  </si>
  <si>
    <t>applaud</t>
  </si>
  <si>
    <t>applaud, applauded, applauding, applauds</t>
  </si>
  <si>
    <t>baloney|n</t>
  </si>
  <si>
    <t>baloney</t>
  </si>
  <si>
    <t>capacity|n</t>
  </si>
  <si>
    <t>capacity</t>
  </si>
  <si>
    <t>capacity, capacities</t>
  </si>
  <si>
    <t>childish|j</t>
  </si>
  <si>
    <t>childish</t>
  </si>
  <si>
    <t>circle|v</t>
  </si>
  <si>
    <t>circle, circled, circles, circling</t>
  </si>
  <si>
    <t>cola|n</t>
  </si>
  <si>
    <t>cola</t>
  </si>
  <si>
    <t>cola, colas</t>
  </si>
  <si>
    <t>comment|v</t>
  </si>
  <si>
    <t>comment, commented, commenting, comments</t>
  </si>
  <si>
    <t>detect|v</t>
  </si>
  <si>
    <t>detect</t>
  </si>
  <si>
    <t>detect, detected, detecting, detects</t>
  </si>
  <si>
    <t>equal|v</t>
  </si>
  <si>
    <t>equal, equaled, equaling, equals</t>
  </si>
  <si>
    <t>exotic|j</t>
  </si>
  <si>
    <t>exotic</t>
  </si>
  <si>
    <t>giggle|v</t>
  </si>
  <si>
    <t>giggle</t>
  </si>
  <si>
    <t>giggle, giggled, giggles, giggling</t>
  </si>
  <si>
    <t>gnome|n</t>
  </si>
  <si>
    <t>gnome</t>
  </si>
  <si>
    <t>gnome, gnomes</t>
  </si>
  <si>
    <t>guidance|n</t>
  </si>
  <si>
    <t>guidance</t>
  </si>
  <si>
    <t>historic|j</t>
  </si>
  <si>
    <t>historic</t>
  </si>
  <si>
    <t>kiddo|n</t>
  </si>
  <si>
    <t>kiddo</t>
  </si>
  <si>
    <t>kiddo, kiddoes, kiddos</t>
  </si>
  <si>
    <t>kosher|j</t>
  </si>
  <si>
    <t>kosher</t>
  </si>
  <si>
    <t>limbo|n</t>
  </si>
  <si>
    <t>limbo</t>
  </si>
  <si>
    <t>limbo, limbos</t>
  </si>
  <si>
    <t>marvelous|j</t>
  </si>
  <si>
    <t>marvelous</t>
  </si>
  <si>
    <t>minimum|n</t>
  </si>
  <si>
    <t>minimum</t>
  </si>
  <si>
    <t>minimum, minima, minimums</t>
  </si>
  <si>
    <t>missy|n</t>
  </si>
  <si>
    <t>missy</t>
  </si>
  <si>
    <t>mix|n</t>
  </si>
  <si>
    <t>mix, mixes</t>
  </si>
  <si>
    <t>nauseous|j</t>
  </si>
  <si>
    <t>nauseous</t>
  </si>
  <si>
    <t>nurse|v</t>
  </si>
  <si>
    <t>nurse, nursed, nurses, nursing</t>
  </si>
  <si>
    <t>observation|n</t>
  </si>
  <si>
    <t>observation</t>
  </si>
  <si>
    <t>observation, observations</t>
  </si>
  <si>
    <t>obstacle|n</t>
  </si>
  <si>
    <t>obstacle</t>
  </si>
  <si>
    <t>obstacle, obstacles</t>
  </si>
  <si>
    <t>overlook|v</t>
  </si>
  <si>
    <t>overlook</t>
  </si>
  <si>
    <t>overlook, overlooked, overlooking, overlooks</t>
  </si>
  <si>
    <t>philosophy|n</t>
  </si>
  <si>
    <t>philosophy</t>
  </si>
  <si>
    <t>philosophy, philosophies</t>
  </si>
  <si>
    <t>racist|n</t>
  </si>
  <si>
    <t>racist, racists</t>
  </si>
  <si>
    <t>recruit|v</t>
  </si>
  <si>
    <t>recruit</t>
  </si>
  <si>
    <t>recruit, recruited, recruiting, recruits</t>
  </si>
  <si>
    <t>sexuality|n</t>
  </si>
  <si>
    <t>sexuality</t>
  </si>
  <si>
    <t>shenanigan|n</t>
  </si>
  <si>
    <t>shenanigan</t>
  </si>
  <si>
    <t>shenanigan, shenanigans</t>
  </si>
  <si>
    <t>silk|n</t>
  </si>
  <si>
    <t>silk</t>
  </si>
  <si>
    <t>silk, silks</t>
  </si>
  <si>
    <t>swipe|v</t>
  </si>
  <si>
    <t>swipe</t>
  </si>
  <si>
    <t>swipe, swiped, swipes, swiping</t>
  </si>
  <si>
    <t>topless|j</t>
  </si>
  <si>
    <t>topless</t>
  </si>
  <si>
    <t>trauma|n</t>
  </si>
  <si>
    <t>trauma</t>
  </si>
  <si>
    <t>trauma, traumas, traumata</t>
  </si>
  <si>
    <t>tunnel|n</t>
  </si>
  <si>
    <t>tunnel, tunnels</t>
  </si>
  <si>
    <t>unemployed|j</t>
  </si>
  <si>
    <t>unemployed</t>
  </si>
  <si>
    <t>unlikely|j</t>
  </si>
  <si>
    <t>unlikely</t>
  </si>
  <si>
    <t>unlikely, unlikelier, unlikeliest</t>
  </si>
  <si>
    <t>update|v</t>
  </si>
  <si>
    <t>update, updated, updates, updating</t>
  </si>
  <si>
    <t>verdict|n</t>
  </si>
  <si>
    <t>verdict</t>
  </si>
  <si>
    <t>verdict, verdicts</t>
  </si>
  <si>
    <t>virginity|n</t>
  </si>
  <si>
    <t>virginity</t>
  </si>
  <si>
    <t>vitamin|n</t>
  </si>
  <si>
    <t>vitamin</t>
  </si>
  <si>
    <t>vitamin, vitamins</t>
  </si>
  <si>
    <t>whistle|v</t>
  </si>
  <si>
    <t>whistle, whistled, whistles, whistling</t>
  </si>
  <si>
    <t>x-ray|n</t>
  </si>
  <si>
    <t>x-ray</t>
  </si>
  <si>
    <t>X-ray, X-rays</t>
  </si>
  <si>
    <t>oral|j</t>
  </si>
  <si>
    <t>oral</t>
  </si>
  <si>
    <t>affairs|n</t>
  </si>
  <si>
    <t>affairs</t>
  </si>
  <si>
    <t>anthem|n</t>
  </si>
  <si>
    <t>anthem</t>
  </si>
  <si>
    <t>anthem, anthems</t>
  </si>
  <si>
    <t>ashtray|n</t>
  </si>
  <si>
    <t>ashtray</t>
  </si>
  <si>
    <t>ashtray, ashtrays</t>
  </si>
  <si>
    <t>assist|v</t>
  </si>
  <si>
    <t>assist</t>
  </si>
  <si>
    <t>assist, assisted, assisting, assists</t>
  </si>
  <si>
    <t>banker|n</t>
  </si>
  <si>
    <t>banker</t>
  </si>
  <si>
    <t>banker, bankers</t>
  </si>
  <si>
    <t>benefit|v</t>
  </si>
  <si>
    <t>benefit, benefits, benefiting, benefitting, benefited, benefitted</t>
  </si>
  <si>
    <t>cafe|n</t>
  </si>
  <si>
    <t>cafe</t>
  </si>
  <si>
    <t>cafe, cafes</t>
  </si>
  <si>
    <t>caffeine|n</t>
  </si>
  <si>
    <t>caffeine</t>
  </si>
  <si>
    <t>chase|n</t>
  </si>
  <si>
    <t>chase, chases</t>
  </si>
  <si>
    <t>con|n</t>
  </si>
  <si>
    <t>con</t>
  </si>
  <si>
    <t>con, cons</t>
  </si>
  <si>
    <t>container|n</t>
  </si>
  <si>
    <t>container</t>
  </si>
  <si>
    <t>container, containers</t>
  </si>
  <si>
    <t>convenient|j</t>
  </si>
  <si>
    <t>convenient</t>
  </si>
  <si>
    <t>cord|n</t>
  </si>
  <si>
    <t>cord</t>
  </si>
  <si>
    <t>cord, cords</t>
  </si>
  <si>
    <t>courthouse|n</t>
  </si>
  <si>
    <t>courthouse</t>
  </si>
  <si>
    <t>courthouse, courthouses</t>
  </si>
  <si>
    <t>criticism|n</t>
  </si>
  <si>
    <t>criticism</t>
  </si>
  <si>
    <t>criticism, criticisms</t>
  </si>
  <si>
    <t>curb|n</t>
  </si>
  <si>
    <t>curb</t>
  </si>
  <si>
    <t>curb, curbs</t>
  </si>
  <si>
    <t>dawg|n</t>
  </si>
  <si>
    <t>dawg</t>
  </si>
  <si>
    <t>dawg, dawgs</t>
  </si>
  <si>
    <t>delight|v</t>
  </si>
  <si>
    <t>delight</t>
  </si>
  <si>
    <t>delight, delighted, delighting, delights</t>
  </si>
  <si>
    <t>distant|j</t>
  </si>
  <si>
    <t>distant</t>
  </si>
  <si>
    <t>dizzy|j</t>
  </si>
  <si>
    <t>dizzy</t>
  </si>
  <si>
    <t>dizzy, dizzier, dizziest</t>
  </si>
  <si>
    <t>dressing|n</t>
  </si>
  <si>
    <t>dressing</t>
  </si>
  <si>
    <t>dressing, dressings</t>
  </si>
  <si>
    <t>erotic|j</t>
  </si>
  <si>
    <t>erotic</t>
  </si>
  <si>
    <t>eyeball|n</t>
  </si>
  <si>
    <t>eyeball</t>
  </si>
  <si>
    <t>eyeball, eyeballs</t>
  </si>
  <si>
    <t>facial|j</t>
  </si>
  <si>
    <t>facial</t>
  </si>
  <si>
    <t>flap|v</t>
  </si>
  <si>
    <t>flap</t>
  </si>
  <si>
    <t>flap, flapped, flapping, flaps</t>
  </si>
  <si>
    <t>freshen|v</t>
  </si>
  <si>
    <t>freshen</t>
  </si>
  <si>
    <t>freshen, freshened, freshening, freshens</t>
  </si>
  <si>
    <t>galaxy|n</t>
  </si>
  <si>
    <t>galaxy</t>
  </si>
  <si>
    <t>galaxy, galaxies</t>
  </si>
  <si>
    <t>guardian|n</t>
  </si>
  <si>
    <t>guardian</t>
  </si>
  <si>
    <t>guardian, guardians</t>
  </si>
  <si>
    <t>highlight|n</t>
  </si>
  <si>
    <t>highlight</t>
  </si>
  <si>
    <t>highlight, highlights</t>
  </si>
  <si>
    <t>hoard|v</t>
  </si>
  <si>
    <t>hoard</t>
  </si>
  <si>
    <t>hoard, hoarded, hoarding, hoards</t>
  </si>
  <si>
    <t>hygiene|n</t>
  </si>
  <si>
    <t>hygiene</t>
  </si>
  <si>
    <t>institution|n</t>
  </si>
  <si>
    <t>institution</t>
  </si>
  <si>
    <t>institution, institutions</t>
  </si>
  <si>
    <t>keeper|n</t>
  </si>
  <si>
    <t>keeper</t>
  </si>
  <si>
    <t>keeper, keepers</t>
  </si>
  <si>
    <t>lettuce|n</t>
  </si>
  <si>
    <t>lettuce</t>
  </si>
  <si>
    <t>lettuce, lettuces</t>
  </si>
  <si>
    <t>maiden|n</t>
  </si>
  <si>
    <t>maiden</t>
  </si>
  <si>
    <t>maiden, maidens</t>
  </si>
  <si>
    <t>membership|n</t>
  </si>
  <si>
    <t>membership</t>
  </si>
  <si>
    <t>membership, memberships</t>
  </si>
  <si>
    <t>mild|j</t>
  </si>
  <si>
    <t>mild</t>
  </si>
  <si>
    <t>mild, milder, mildest</t>
  </si>
  <si>
    <t>misery|n</t>
  </si>
  <si>
    <t>misery</t>
  </si>
  <si>
    <t>misery, miseries</t>
  </si>
  <si>
    <t>mistaken|j</t>
  </si>
  <si>
    <t>mistaken</t>
  </si>
  <si>
    <t>mixer|n</t>
  </si>
  <si>
    <t>mixer</t>
  </si>
  <si>
    <t>mixer, mixers</t>
  </si>
  <si>
    <t>parlor|n</t>
  </si>
  <si>
    <t>parlor</t>
  </si>
  <si>
    <t>parlor, parlors</t>
  </si>
  <si>
    <t>pity|v</t>
  </si>
  <si>
    <t>pity, pitied, pities, pitying</t>
  </si>
  <si>
    <t>platter|n</t>
  </si>
  <si>
    <t>platter</t>
  </si>
  <si>
    <t>platter, platters</t>
  </si>
  <si>
    <t>pointy|j</t>
  </si>
  <si>
    <t>pointy</t>
  </si>
  <si>
    <t>pointy, pointier, pointiest</t>
  </si>
  <si>
    <t>poorly|r</t>
  </si>
  <si>
    <t>poorly</t>
  </si>
  <si>
    <t>population|n</t>
  </si>
  <si>
    <t>population</t>
  </si>
  <si>
    <t>population, populations</t>
  </si>
  <si>
    <t>psychology|n</t>
  </si>
  <si>
    <t>psychology</t>
  </si>
  <si>
    <t>psychology, psychologies</t>
  </si>
  <si>
    <t>risky|j</t>
  </si>
  <si>
    <t>risky</t>
  </si>
  <si>
    <t>risky, riskier, riskiest</t>
  </si>
  <si>
    <t>robber|n</t>
  </si>
  <si>
    <t>robber</t>
  </si>
  <si>
    <t>robber, robbers</t>
  </si>
  <si>
    <t>runner|n</t>
  </si>
  <si>
    <t>runner</t>
  </si>
  <si>
    <t>runner, runners</t>
  </si>
  <si>
    <t>runway|n</t>
  </si>
  <si>
    <t>runway</t>
  </si>
  <si>
    <t>runway, runways</t>
  </si>
  <si>
    <t>scholarship|n</t>
  </si>
  <si>
    <t>scholarship</t>
  </si>
  <si>
    <t>scholarship, scholarships</t>
  </si>
  <si>
    <t>slim|j</t>
  </si>
  <si>
    <t>slim</t>
  </si>
  <si>
    <t>slim, slimmer, slimmest</t>
  </si>
  <si>
    <t>swimsuit|n</t>
  </si>
  <si>
    <t>swimsuit</t>
  </si>
  <si>
    <t>swimsuit, swimsuits</t>
  </si>
  <si>
    <t>temporary|j</t>
  </si>
  <si>
    <t>temporary</t>
  </si>
  <si>
    <t>tequila|n</t>
  </si>
  <si>
    <t>tequila</t>
  </si>
  <si>
    <t>tequila, tequilas</t>
  </si>
  <si>
    <t>thankful|j</t>
  </si>
  <si>
    <t>thankful</t>
  </si>
  <si>
    <t>triple|j</t>
  </si>
  <si>
    <t>triple</t>
  </si>
  <si>
    <t>urinate|v</t>
  </si>
  <si>
    <t>urinate</t>
  </si>
  <si>
    <t>urinate, urinated, urinates, urinating</t>
  </si>
  <si>
    <t>valid|j</t>
  </si>
  <si>
    <t>valid</t>
  </si>
  <si>
    <t>wing|v</t>
  </si>
  <si>
    <t>wing, winged, winging, wings</t>
  </si>
  <si>
    <t>winning|j</t>
  </si>
  <si>
    <t>winning</t>
  </si>
  <si>
    <t>convict|n</t>
  </si>
  <si>
    <t>convict</t>
  </si>
  <si>
    <t>convict, convicts</t>
  </si>
  <si>
    <t>crown|n</t>
  </si>
  <si>
    <t>crown</t>
  </si>
  <si>
    <t>crown, crowns</t>
  </si>
  <si>
    <t>floss|v</t>
  </si>
  <si>
    <t>floss</t>
  </si>
  <si>
    <t>floss, flossed, flosses, flossing</t>
  </si>
  <si>
    <t>stew|n</t>
  </si>
  <si>
    <t>stew</t>
  </si>
  <si>
    <t>stew, stews</t>
  </si>
  <si>
    <t>administration|n</t>
  </si>
  <si>
    <t>administration</t>
  </si>
  <si>
    <t>administration, administrations</t>
  </si>
  <si>
    <t>auction|n</t>
  </si>
  <si>
    <t>auction</t>
  </si>
  <si>
    <t>auction, auctions</t>
  </si>
  <si>
    <t>billboard|n</t>
  </si>
  <si>
    <t>billboard</t>
  </si>
  <si>
    <t>billboard, billboards</t>
  </si>
  <si>
    <t>bouquet|n</t>
  </si>
  <si>
    <t>bouquet</t>
  </si>
  <si>
    <t>bouquet, bouquets</t>
  </si>
  <si>
    <t>bourbon|n</t>
  </si>
  <si>
    <t>bourbon</t>
  </si>
  <si>
    <t>bourbon, bourbons</t>
  </si>
  <si>
    <t>brainwash|v</t>
  </si>
  <si>
    <t>brainwash</t>
  </si>
  <si>
    <t>brainwash, brainwashed, brainwashes, brainwashing</t>
  </si>
  <si>
    <t>breakdown|n</t>
  </si>
  <si>
    <t>breakdown</t>
  </si>
  <si>
    <t>breakdown, breakdowns</t>
  </si>
  <si>
    <t>caramel|n</t>
  </si>
  <si>
    <t>caramel</t>
  </si>
  <si>
    <t>caramel, caramels</t>
  </si>
  <si>
    <t>casting|n</t>
  </si>
  <si>
    <t>casting</t>
  </si>
  <si>
    <t>casting, castings</t>
  </si>
  <si>
    <t>cease|v</t>
  </si>
  <si>
    <t>cease</t>
  </si>
  <si>
    <t>cease, ceased, ceases, ceasing</t>
  </si>
  <si>
    <t>cheesy|j</t>
  </si>
  <si>
    <t>cheesy</t>
  </si>
  <si>
    <t>cheesy, cheesier, cheesiest</t>
  </si>
  <si>
    <t>chip|v</t>
  </si>
  <si>
    <t>chip, chipped, chipping, chips</t>
  </si>
  <si>
    <t>choir|n</t>
  </si>
  <si>
    <t>choir</t>
  </si>
  <si>
    <t>choir, choirs</t>
  </si>
  <si>
    <t>cocky|j</t>
  </si>
  <si>
    <t>cocky</t>
  </si>
  <si>
    <t>cocky, cockier, cockiest</t>
  </si>
  <si>
    <t>contraction|n</t>
  </si>
  <si>
    <t>contraction</t>
  </si>
  <si>
    <t>contraction, contractions</t>
  </si>
  <si>
    <t>creator|n</t>
  </si>
  <si>
    <t>creator</t>
  </si>
  <si>
    <t>creator, creators</t>
  </si>
  <si>
    <t>drain|n</t>
  </si>
  <si>
    <t>drain, drains</t>
  </si>
  <si>
    <t>drip|v</t>
  </si>
  <si>
    <t>drip</t>
  </si>
  <si>
    <t>drip, dripped, dripping, drips</t>
  </si>
  <si>
    <t>espresso|n</t>
  </si>
  <si>
    <t>espresso</t>
  </si>
  <si>
    <t>espresso, espressos</t>
  </si>
  <si>
    <t>essence|n</t>
  </si>
  <si>
    <t>essence</t>
  </si>
  <si>
    <t>essence, essences</t>
  </si>
  <si>
    <t>exclamation|n</t>
  </si>
  <si>
    <t>exclamation</t>
  </si>
  <si>
    <t>exclamation, exclamations</t>
  </si>
  <si>
    <t>experimental|j</t>
  </si>
  <si>
    <t>experimental</t>
  </si>
  <si>
    <t>faculty|n</t>
  </si>
  <si>
    <t>faculty</t>
  </si>
  <si>
    <t>faculty, faculties</t>
  </si>
  <si>
    <t>female|n</t>
  </si>
  <si>
    <t>female, females</t>
  </si>
  <si>
    <t>finale|n</t>
  </si>
  <si>
    <t>finale</t>
  </si>
  <si>
    <t>finale, finales</t>
  </si>
  <si>
    <t>flaw|n</t>
  </si>
  <si>
    <t>flaw</t>
  </si>
  <si>
    <t>flaw, flaws</t>
  </si>
  <si>
    <t>gallon|n</t>
  </si>
  <si>
    <t>gallon</t>
  </si>
  <si>
    <t>gallon, gallons</t>
  </si>
  <si>
    <t>gardener|n</t>
  </si>
  <si>
    <t>gardener</t>
  </si>
  <si>
    <t>gardener, gardeners</t>
  </si>
  <si>
    <t>greasy|j</t>
  </si>
  <si>
    <t>greasy</t>
  </si>
  <si>
    <t>greasy, greasier, greasiest</t>
  </si>
  <si>
    <t>guide|v</t>
  </si>
  <si>
    <t>guide, guided, guides, guiding</t>
  </si>
  <si>
    <t>hammock|n</t>
  </si>
  <si>
    <t>hammock</t>
  </si>
  <si>
    <t>hammock, hammocks</t>
  </si>
  <si>
    <t>HIV|abbr</t>
  </si>
  <si>
    <t>HIV</t>
  </si>
  <si>
    <t>hostess|n</t>
  </si>
  <si>
    <t>hostess</t>
  </si>
  <si>
    <t>hostess, hostesses</t>
  </si>
  <si>
    <t>initiative|n</t>
  </si>
  <si>
    <t>initiative</t>
  </si>
  <si>
    <t>initiative, initiatives</t>
  </si>
  <si>
    <t>live|j</t>
  </si>
  <si>
    <t>liver|n</t>
  </si>
  <si>
    <t>liver</t>
  </si>
  <si>
    <t>liver, livers</t>
  </si>
  <si>
    <t>loan|n</t>
  </si>
  <si>
    <t>loan, loans</t>
  </si>
  <si>
    <t>mermaid|n</t>
  </si>
  <si>
    <t>mermaid</t>
  </si>
  <si>
    <t>mermaid, mermaids</t>
  </si>
  <si>
    <t>military|j</t>
  </si>
  <si>
    <t>mingle|v</t>
  </si>
  <si>
    <t>mingle</t>
  </si>
  <si>
    <t>mingle, mingled, mingles, mingling</t>
  </si>
  <si>
    <t>moose|n</t>
  </si>
  <si>
    <t>moose</t>
  </si>
  <si>
    <t>mosquito|n</t>
  </si>
  <si>
    <t>mosquito</t>
  </si>
  <si>
    <t>mosquito, mosquitoes, mosquitos</t>
  </si>
  <si>
    <t>mural|n</t>
  </si>
  <si>
    <t>mural</t>
  </si>
  <si>
    <t>mural, murals</t>
  </si>
  <si>
    <t>no-one|fw</t>
  </si>
  <si>
    <t>no-one</t>
  </si>
  <si>
    <t>non|fw</t>
  </si>
  <si>
    <t>non</t>
  </si>
  <si>
    <t>non, non-</t>
  </si>
  <si>
    <t>opening|j</t>
  </si>
  <si>
    <t>orchestra|n</t>
  </si>
  <si>
    <t>orchestra</t>
  </si>
  <si>
    <t>orchestra, orchestras</t>
  </si>
  <si>
    <t>orphanage|n</t>
  </si>
  <si>
    <t>orphanage</t>
  </si>
  <si>
    <t>orphanage, orphanages</t>
  </si>
  <si>
    <t>pimple|n</t>
  </si>
  <si>
    <t>pimple</t>
  </si>
  <si>
    <t>pimple, pimples</t>
  </si>
  <si>
    <t>portal|n</t>
  </si>
  <si>
    <t>portal</t>
  </si>
  <si>
    <t>portal, portals</t>
  </si>
  <si>
    <t>prick|n</t>
  </si>
  <si>
    <t>prick</t>
  </si>
  <si>
    <t>prick, pricks</t>
  </si>
  <si>
    <t>psychological|j</t>
  </si>
  <si>
    <t>psychological</t>
  </si>
  <si>
    <t>rebuild|v</t>
  </si>
  <si>
    <t>rebuild</t>
  </si>
  <si>
    <t>rebuild, rebuilding, rebuilds, rebuilt</t>
  </si>
  <si>
    <t>reckon|v</t>
  </si>
  <si>
    <t>reckon</t>
  </si>
  <si>
    <t>reckon, reckoned, reckoning, reckons</t>
  </si>
  <si>
    <t>recovery|n</t>
  </si>
  <si>
    <t>recovery</t>
  </si>
  <si>
    <t>recovery, recoveries</t>
  </si>
  <si>
    <t>rip-off|n</t>
  </si>
  <si>
    <t>rip-off</t>
  </si>
  <si>
    <t>rip-off, rip-offs</t>
  </si>
  <si>
    <t>scare|n</t>
  </si>
  <si>
    <t>scare, scares</t>
  </si>
  <si>
    <t>simulate|v</t>
  </si>
  <si>
    <t>simulate</t>
  </si>
  <si>
    <t>simulate, simulated, simulates, simulating</t>
  </si>
  <si>
    <t>simulation|n</t>
  </si>
  <si>
    <t>simulation</t>
  </si>
  <si>
    <t>simulation, simulations</t>
  </si>
  <si>
    <t>squad|n</t>
  </si>
  <si>
    <t>squad</t>
  </si>
  <si>
    <t>squad, squads</t>
  </si>
  <si>
    <t>technical|j</t>
  </si>
  <si>
    <t>technical</t>
  </si>
  <si>
    <t>tolerance|n</t>
  </si>
  <si>
    <t>tolerance</t>
  </si>
  <si>
    <t>tolerance, tolerances</t>
  </si>
  <si>
    <t>tribute|n</t>
  </si>
  <si>
    <t>tribute</t>
  </si>
  <si>
    <t>tribute, tributes</t>
  </si>
  <si>
    <t>vice|j</t>
  </si>
  <si>
    <t>vice</t>
  </si>
  <si>
    <t>vile|j</t>
  </si>
  <si>
    <t>vile</t>
  </si>
  <si>
    <t>vile, viler, vilest</t>
  </si>
  <si>
    <t>wilderness|n</t>
  </si>
  <si>
    <t>wilderness</t>
  </si>
  <si>
    <t>wilderness, wildernesses</t>
  </si>
  <si>
    <t>worm|n</t>
  </si>
  <si>
    <t>worm</t>
  </si>
  <si>
    <t>worm, worms</t>
  </si>
  <si>
    <t>trigger|n</t>
  </si>
  <si>
    <t>trigger</t>
  </si>
  <si>
    <t>trigger, triggers</t>
  </si>
  <si>
    <t>calf|n</t>
  </si>
  <si>
    <t>calf</t>
  </si>
  <si>
    <t>calf, calves</t>
  </si>
  <si>
    <t>scoop|v</t>
  </si>
  <si>
    <t>scoop, scooped, scooping, scoops</t>
  </si>
  <si>
    <t>accomplishment|n</t>
  </si>
  <si>
    <t>accomplishment</t>
  </si>
  <si>
    <t>accomplishment, accomplishments</t>
  </si>
  <si>
    <t>admission|n</t>
  </si>
  <si>
    <t>admission</t>
  </si>
  <si>
    <t>admission, admissions</t>
  </si>
  <si>
    <t>age|v</t>
  </si>
  <si>
    <t>age, aged, ages, aging</t>
  </si>
  <si>
    <t>beside|fw</t>
  </si>
  <si>
    <t>beside</t>
  </si>
  <si>
    <t>blame|n</t>
  </si>
  <si>
    <t>blame, blames</t>
  </si>
  <si>
    <t>cabbage|n</t>
  </si>
  <si>
    <t>cabbage</t>
  </si>
  <si>
    <t>cabbage, cabbages</t>
  </si>
  <si>
    <t>cocaine|n</t>
  </si>
  <si>
    <t>cocaine</t>
  </si>
  <si>
    <t>colorful|j</t>
  </si>
  <si>
    <t>colorful</t>
  </si>
  <si>
    <t>controversial|j</t>
  </si>
  <si>
    <t>controversial</t>
  </si>
  <si>
    <t>courtroom|n</t>
  </si>
  <si>
    <t>courtroom</t>
  </si>
  <si>
    <t>courtroom, courtrooms</t>
  </si>
  <si>
    <t>crispy|j</t>
  </si>
  <si>
    <t>crispy</t>
  </si>
  <si>
    <t>crispy, crispier, crispiest</t>
  </si>
  <si>
    <t>delay|v</t>
  </si>
  <si>
    <t>delay</t>
  </si>
  <si>
    <t>delay, delayed, delaying, delays</t>
  </si>
  <si>
    <t>domestic|j</t>
  </si>
  <si>
    <t>domestic</t>
  </si>
  <si>
    <t>eastern|j</t>
  </si>
  <si>
    <t>eastern</t>
  </si>
  <si>
    <t>eastern, easternmost</t>
  </si>
  <si>
    <t>elsewhere|r</t>
  </si>
  <si>
    <t>elsewhere</t>
  </si>
  <si>
    <t>ex-husband|n</t>
  </si>
  <si>
    <t>ex-husband</t>
  </si>
  <si>
    <t>ex-husband, ex-husbands</t>
  </si>
  <si>
    <t>exaggerate|v</t>
  </si>
  <si>
    <t>exaggerate</t>
  </si>
  <si>
    <t>exaggerate, exaggerated, exaggerates, exaggerating</t>
  </si>
  <si>
    <t>exercise|v</t>
  </si>
  <si>
    <t>exercise, exercised, exercises, exercising</t>
  </si>
  <si>
    <t>father-in-law|n</t>
  </si>
  <si>
    <t>father-in-law</t>
  </si>
  <si>
    <t>father-in-law, father-in-laws</t>
  </si>
  <si>
    <t>feces|n</t>
  </si>
  <si>
    <t>feces</t>
  </si>
  <si>
    <t>formula|n</t>
  </si>
  <si>
    <t>formula</t>
  </si>
  <si>
    <t>formula, formulae, formulas</t>
  </si>
  <si>
    <t>freeway|n</t>
  </si>
  <si>
    <t>freeway</t>
  </si>
  <si>
    <t>freeway, freeways</t>
  </si>
  <si>
    <t>grade|v</t>
  </si>
  <si>
    <t>grade, graded, grades, grading</t>
  </si>
  <si>
    <t>grownup|n</t>
  </si>
  <si>
    <t>grownup</t>
  </si>
  <si>
    <t>grownup, grownups</t>
  </si>
  <si>
    <t>hallelujah|u</t>
  </si>
  <si>
    <t>hallelujah</t>
  </si>
  <si>
    <t>hostile|j</t>
  </si>
  <si>
    <t>hostile</t>
  </si>
  <si>
    <t>hurtful|j</t>
  </si>
  <si>
    <t>hurtful</t>
  </si>
  <si>
    <t>industrial|j</t>
  </si>
  <si>
    <t>industrial</t>
  </si>
  <si>
    <t>intern|n</t>
  </si>
  <si>
    <t>intern</t>
  </si>
  <si>
    <t>intern, interns</t>
  </si>
  <si>
    <t>ironically|r</t>
  </si>
  <si>
    <t>ironically</t>
  </si>
  <si>
    <t>irrelevant|j</t>
  </si>
  <si>
    <t>irrelevant</t>
  </si>
  <si>
    <t>isolate|v</t>
  </si>
  <si>
    <t>isolate</t>
  </si>
  <si>
    <t>isolate, isolated, isolates, isolating</t>
  </si>
  <si>
    <t>knot|n</t>
  </si>
  <si>
    <t>knot</t>
  </si>
  <si>
    <t>knot, knots</t>
  </si>
  <si>
    <t>landlord|n</t>
  </si>
  <si>
    <t>landlord</t>
  </si>
  <si>
    <t>landlord, landlords</t>
  </si>
  <si>
    <t>leadership|n</t>
  </si>
  <si>
    <t>leadership</t>
  </si>
  <si>
    <t>leadership, leaderships</t>
  </si>
  <si>
    <t>majesty|n</t>
  </si>
  <si>
    <t>majesty</t>
  </si>
  <si>
    <t>majesty, majesties</t>
  </si>
  <si>
    <t>merge|v</t>
  </si>
  <si>
    <t>merge</t>
  </si>
  <si>
    <t>merge, merged, merges, merging</t>
  </si>
  <si>
    <t>monologue|n</t>
  </si>
  <si>
    <t>monologue</t>
  </si>
  <si>
    <t>monologue, monolog, monologs, monologues</t>
  </si>
  <si>
    <t>nine thirty|m</t>
  </si>
  <si>
    <t>nine thirty</t>
  </si>
  <si>
    <t>orgy|n</t>
  </si>
  <si>
    <t>orgy</t>
  </si>
  <si>
    <t>orgy, orgies</t>
  </si>
  <si>
    <t>overdue|j</t>
  </si>
  <si>
    <t>overdue</t>
  </si>
  <si>
    <t>postpone|v</t>
  </si>
  <si>
    <t>postpone</t>
  </si>
  <si>
    <t>postpone, postponed, postpones, postponing</t>
  </si>
  <si>
    <t>rag|n</t>
  </si>
  <si>
    <t>rag</t>
  </si>
  <si>
    <t>rag, rags</t>
  </si>
  <si>
    <t>registration|n</t>
  </si>
  <si>
    <t>registration</t>
  </si>
  <si>
    <t>registration, registrations</t>
  </si>
  <si>
    <t>rhythm|n</t>
  </si>
  <si>
    <t>rhythm</t>
  </si>
  <si>
    <t>rhythm, rhythms</t>
  </si>
  <si>
    <t>screwdriver|n</t>
  </si>
  <si>
    <t>screwdriver</t>
  </si>
  <si>
    <t>screwdriver, screwdrivers</t>
  </si>
  <si>
    <t>scuba|n</t>
  </si>
  <si>
    <t>scuba</t>
  </si>
  <si>
    <t>scuba, scubas</t>
  </si>
  <si>
    <t>selection|n</t>
  </si>
  <si>
    <t>selection</t>
  </si>
  <si>
    <t>selection, selections</t>
  </si>
  <si>
    <t>shell|n</t>
  </si>
  <si>
    <t>shell</t>
  </si>
  <si>
    <t>shell, shells</t>
  </si>
  <si>
    <t>sincerely|r</t>
  </si>
  <si>
    <t>sincerely</t>
  </si>
  <si>
    <t>sitter|n</t>
  </si>
  <si>
    <t>sitter</t>
  </si>
  <si>
    <t>sitter, sitters</t>
  </si>
  <si>
    <t>startle|v</t>
  </si>
  <si>
    <t>startle</t>
  </si>
  <si>
    <t>startle, startled, startles, startling</t>
  </si>
  <si>
    <t>stripe|n</t>
  </si>
  <si>
    <t>stripe</t>
  </si>
  <si>
    <t>stripe, stripes</t>
  </si>
  <si>
    <t>stroller|n</t>
  </si>
  <si>
    <t>stroller</t>
  </si>
  <si>
    <t>stroller, strollers</t>
  </si>
  <si>
    <t>stud|n</t>
  </si>
  <si>
    <t>stud</t>
  </si>
  <si>
    <t>stud, studs</t>
  </si>
  <si>
    <t>subscription|n</t>
  </si>
  <si>
    <t>subscription</t>
  </si>
  <si>
    <t>subscription, subscriptions</t>
  </si>
  <si>
    <t>sunrise|n</t>
  </si>
  <si>
    <t>sunrise</t>
  </si>
  <si>
    <t>sunrise, sunrises</t>
  </si>
  <si>
    <t>toupee|n</t>
  </si>
  <si>
    <t>toupee</t>
  </si>
  <si>
    <t>toupee, toupees</t>
  </si>
  <si>
    <t>unconscious|j</t>
  </si>
  <si>
    <t>unconscious</t>
  </si>
  <si>
    <t>underestimate|v</t>
  </si>
  <si>
    <t>underestimate</t>
  </si>
  <si>
    <t>underestimate, underestimated, underestimates, underestimating</t>
  </si>
  <si>
    <t>unique|j</t>
  </si>
  <si>
    <t>unique</t>
  </si>
  <si>
    <t>unique, uniquer, uniquest</t>
  </si>
  <si>
    <t>various|j</t>
  </si>
  <si>
    <t>various</t>
  </si>
  <si>
    <t>vein|n</t>
  </si>
  <si>
    <t>vein</t>
  </si>
  <si>
    <t>vein, veins</t>
  </si>
  <si>
    <t>weep|v</t>
  </si>
  <si>
    <t>weep</t>
  </si>
  <si>
    <t>weep, weeping, weeps, wept</t>
  </si>
  <si>
    <t>whiskey|n</t>
  </si>
  <si>
    <t>whiskey</t>
  </si>
  <si>
    <t>whiskey, whiskeys, whiskies</t>
  </si>
  <si>
    <t>witty|j</t>
  </si>
  <si>
    <t>witty</t>
  </si>
  <si>
    <t>witty, wittier, wittiest</t>
  </si>
  <si>
    <t>worry|n</t>
  </si>
  <si>
    <t>worry, worries</t>
  </si>
  <si>
    <t>memorial|n</t>
  </si>
  <si>
    <t>memorial</t>
  </si>
  <si>
    <t>memorial, memorials</t>
  </si>
  <si>
    <t>permit|n</t>
  </si>
  <si>
    <t>permit</t>
  </si>
  <si>
    <t>permit, permits</t>
  </si>
  <si>
    <t>© 2014-2019 Fabien Snauwaert</t>
  </si>
  <si>
    <t>Term or code</t>
  </si>
  <si>
    <t>Full name</t>
  </si>
  <si>
    <t>Meaning or comment</t>
  </si>
  <si>
    <t>lemma</t>
  </si>
  <si>
    <r>
      <rPr>
        <rFont val="Helvetica Neue"/>
        <color rgb="FF000000"/>
        <sz val="10.0"/>
      </rPr>
      <t xml:space="preserve">A lemma is the canonical form of a word, i.e.: a word as typically found in the dictionary. For example, </t>
    </r>
    <r>
      <rPr>
        <rFont val="Helvetica Neue"/>
        <i/>
        <color rgb="FF000000"/>
        <sz val="10.0"/>
      </rPr>
      <t>be</t>
    </r>
    <r>
      <rPr>
        <rFont val="Helvetica Neue"/>
        <color rgb="FF000000"/>
        <sz val="10.0"/>
      </rPr>
      <t xml:space="preserve"> for the verb "to be" and all its inflections: </t>
    </r>
    <r>
      <rPr>
        <rFont val="Helvetica Neue"/>
        <i/>
        <color rgb="FF000000"/>
        <sz val="10.0"/>
      </rPr>
      <t>be, am, are, been, being, is, was, were</t>
    </r>
    <r>
      <rPr>
        <rFont val="Helvetica Neue"/>
        <color rgb="FF000000"/>
        <sz val="10.0"/>
      </rPr>
      <t xml:space="preserve">. A single word may exist as different lemmas; for example, </t>
    </r>
    <r>
      <rPr>
        <rFont val="Helvetica Neue"/>
        <i/>
        <color rgb="FF000000"/>
        <sz val="10.0"/>
      </rPr>
      <t>book</t>
    </r>
    <r>
      <rPr>
        <rFont val="Helvetica Neue"/>
        <color rgb="FF000000"/>
        <sz val="10.0"/>
      </rPr>
      <t xml:space="preserve"> will be found as two lemmas, once as the noun (</t>
    </r>
    <r>
      <rPr>
        <rFont val="Helvetica Neue"/>
        <i/>
        <color rgb="FF000000"/>
        <sz val="10.0"/>
      </rPr>
      <t>book, books</t>
    </r>
    <r>
      <rPr>
        <rFont val="Helvetica Neue"/>
        <color rgb="FF000000"/>
        <sz val="10.0"/>
      </rPr>
      <t>), once as the verb (</t>
    </r>
    <r>
      <rPr>
        <rFont val="Helvetica Neue"/>
        <i/>
        <color rgb="FF000000"/>
        <sz val="10.0"/>
      </rPr>
      <t>book, booked, booking, books</t>
    </r>
    <r>
      <rPr>
        <rFont val="Helvetica Neue"/>
        <color rgb="FF000000"/>
        <sz val="10.0"/>
      </rPr>
      <t>).</t>
    </r>
  </si>
  <si>
    <t>part of speech</t>
  </si>
  <si>
    <t>The grammatical category a word belongs to.</t>
  </si>
  <si>
    <t>frequency</t>
  </si>
  <si>
    <r>
      <rPr>
        <rFont val="Helvetica Neue"/>
        <color rgb="FF000000"/>
        <sz val="10.0"/>
      </rPr>
      <t xml:space="preserve">How many times we found a given lemma inside of our </t>
    </r>
    <r>
      <rPr>
        <rFont val="Helvetica Neue"/>
        <i/>
        <color rgb="FF000000"/>
        <sz val="10.0"/>
      </rPr>
      <t>corpus</t>
    </r>
    <r>
      <rPr>
        <rFont val="Helvetica Neue"/>
        <color rgb="FF000000"/>
        <sz val="10.0"/>
      </rPr>
      <t>.</t>
    </r>
  </si>
  <si>
    <t>inflection</t>
  </si>
  <si>
    <r>
      <rPr>
        <rFont val="Helvetica Neue"/>
        <color rgb="FF000000"/>
        <sz val="10.0"/>
      </rPr>
      <t>The different forms a verb can take. For example, singular or plural (</t>
    </r>
    <r>
      <rPr>
        <rFont val="Helvetica Neue"/>
        <i/>
        <color rgb="FF000000"/>
        <sz val="10.0"/>
      </rPr>
      <t>person, people</t>
    </r>
    <r>
      <rPr>
        <rFont val="Helvetica Neue"/>
        <color rgb="FF000000"/>
        <sz val="10.0"/>
      </rPr>
      <t>); the conjugations of verbs; the regular, comparative and superlative forms of adjectives (</t>
    </r>
    <r>
      <rPr>
        <rFont val="Helvetica Neue"/>
        <i/>
        <color rgb="FF000000"/>
        <sz val="10.0"/>
      </rPr>
      <t>good, better, best</t>
    </r>
    <r>
      <rPr>
        <rFont val="Helvetica Neue"/>
        <color rgb="FF000000"/>
        <sz val="10.0"/>
      </rPr>
      <t>).</t>
    </r>
  </si>
  <si>
    <t>function word</t>
  </si>
  <si>
    <r>
      <rPr>
        <rFont val="Helvetica Neue"/>
        <color rgb="FF000000"/>
        <sz val="10.0"/>
      </rPr>
      <t xml:space="preserve">A word that carries little meaning on its own, but is used to structure and organize the sentence. You can think of function words as the </t>
    </r>
    <r>
      <rPr>
        <rFont val="Helvetica Neue"/>
        <i/>
        <color rgb="FF000000"/>
        <sz val="10.0"/>
      </rPr>
      <t>cement</t>
    </r>
    <r>
      <rPr>
        <rFont val="Helvetica Neue"/>
        <color rgb="FF000000"/>
        <sz val="10.0"/>
      </rPr>
      <t xml:space="preserve"> that glues the other words together (the other words are called </t>
    </r>
    <r>
      <rPr>
        <rFont val="Helvetica Neue"/>
        <i/>
        <color rgb="FF000000"/>
        <sz val="10.0"/>
      </rPr>
      <t>content words</t>
    </r>
    <r>
      <rPr>
        <rFont val="Helvetica Neue"/>
        <color rgb="FF000000"/>
        <sz val="10.0"/>
      </rPr>
      <t xml:space="preserve"> and can be thought of as the </t>
    </r>
    <r>
      <rPr>
        <rFont val="Helvetica Neue"/>
        <i/>
        <color rgb="FF000000"/>
        <sz val="10.0"/>
      </rPr>
      <t>bricks</t>
    </r>
    <r>
      <rPr>
        <rFont val="Helvetica Neue"/>
        <color rgb="FF000000"/>
        <sz val="10.0"/>
      </rPr>
      <t xml:space="preserve"> of the language.) e.g.: </t>
    </r>
    <r>
      <rPr>
        <rFont val="Helvetica Neue"/>
        <i/>
        <color rgb="FF000000"/>
        <sz val="10.0"/>
      </rPr>
      <t>I, that, and</t>
    </r>
    <r>
      <rPr>
        <rFont val="Helvetica Neue"/>
        <color rgb="FF000000"/>
        <sz val="10.0"/>
      </rPr>
      <t>.</t>
    </r>
  </si>
  <si>
    <t>verb</t>
  </si>
  <si>
    <r>
      <rPr>
        <rFont val="Helvetica Neue"/>
        <color rgb="FF000000"/>
        <sz val="10.0"/>
      </rPr>
      <t xml:space="preserve">A word used to describe an action, occurence, or state. e.g.: </t>
    </r>
    <r>
      <rPr>
        <rFont val="Helvetica Neue"/>
        <i/>
        <color rgb="FF000000"/>
        <sz val="10.0"/>
      </rPr>
      <t>to do, to happen, to be</t>
    </r>
    <r>
      <rPr>
        <rFont val="Helvetica Neue"/>
        <color rgb="FF000000"/>
        <sz val="10.0"/>
      </rPr>
      <t>.</t>
    </r>
  </si>
  <si>
    <t>noun</t>
  </si>
  <si>
    <r>
      <rPr>
        <rFont val="Helvetica Neue"/>
        <color rgb="FF000000"/>
        <sz val="10.0"/>
      </rPr>
      <t xml:space="preserve">A common noun. e.g.: </t>
    </r>
    <r>
      <rPr>
        <rFont val="Helvetica Neue"/>
        <i/>
        <color rgb="FF000000"/>
        <sz val="10.0"/>
      </rPr>
      <t>thing, people, night</t>
    </r>
    <r>
      <rPr>
        <rFont val="Helvetica Neue"/>
        <color rgb="FF000000"/>
        <sz val="10.0"/>
      </rPr>
      <t>.</t>
    </r>
  </si>
  <si>
    <t>adverb</t>
  </si>
  <si>
    <r>
      <rPr>
        <rFont val="Helvetica Neue"/>
        <color rgb="FF000000"/>
        <sz val="10.0"/>
      </rPr>
      <t xml:space="preserve">Adverbs modify the meaning of verbs and sentences. e.g.: </t>
    </r>
    <r>
      <rPr>
        <rFont val="Helvetica Neue"/>
        <i/>
        <color rgb="FF000000"/>
        <sz val="10.0"/>
      </rPr>
      <t>well, really, down</t>
    </r>
    <r>
      <rPr>
        <rFont val="Helvetica Neue"/>
        <color rgb="FF000000"/>
        <sz val="10.0"/>
      </rPr>
      <t>.</t>
    </r>
  </si>
  <si>
    <t>adjective</t>
  </si>
  <si>
    <r>
      <rPr>
        <rFont val="Helvetica Neue"/>
        <color rgb="FF000000"/>
        <sz val="10.0"/>
      </rPr>
      <t xml:space="preserve">Adjectives modify the meaning of nouns. e.g.: </t>
    </r>
    <r>
      <rPr>
        <rFont val="Helvetica Neue"/>
        <i/>
        <color rgb="FF000000"/>
        <sz val="10.0"/>
      </rPr>
      <t>good, wrong, crazy</t>
    </r>
    <r>
      <rPr>
        <rFont val="Helvetica Neue"/>
        <color rgb="FF000000"/>
        <sz val="10.0"/>
      </rPr>
      <t>.</t>
    </r>
  </si>
  <si>
    <t>interjection</t>
  </si>
  <si>
    <r>
      <rPr>
        <rFont val="Helvetica Neue"/>
        <color rgb="FF000000"/>
        <sz val="10.0"/>
      </rPr>
      <t xml:space="preserve">A type of exclamation, expressing an emotion or reaction. e.g.: </t>
    </r>
    <r>
      <rPr>
        <rFont val="Helvetica Neue"/>
        <i/>
        <color rgb="FF000000"/>
        <sz val="10.0"/>
      </rPr>
      <t>oh! hey! hmm…</t>
    </r>
  </si>
  <si>
    <t>numerals</t>
  </si>
  <si>
    <r>
      <rPr>
        <rFont val="Helvetica Neue"/>
        <color rgb="FF000000"/>
        <sz val="10.0"/>
      </rPr>
      <t xml:space="preserve">Numbers. e.g.: </t>
    </r>
    <r>
      <rPr>
        <rFont val="Helvetica Neue"/>
        <i/>
        <color rgb="FF000000"/>
        <sz val="10.0"/>
      </rPr>
      <t>one, sixth,</t>
    </r>
    <r>
      <rPr>
        <rFont val="Helvetica Neue"/>
        <color rgb="FF000000"/>
        <sz val="10.0"/>
      </rPr>
      <t xml:space="preserve"> </t>
    </r>
    <r>
      <rPr>
        <rFont val="Helvetica Neue"/>
        <i/>
        <color rgb="FF000000"/>
        <sz val="10.0"/>
      </rPr>
      <t>two hundred</t>
    </r>
    <r>
      <rPr>
        <rFont val="Helvetica Neue"/>
        <color rgb="FF000000"/>
        <sz val="10.0"/>
      </rPr>
      <t>.</t>
    </r>
  </si>
  <si>
    <t>proper noun</t>
  </si>
  <si>
    <r>
      <rPr>
        <rFont val="Helvetica Neue"/>
        <color rgb="FF000000"/>
        <sz val="10.0"/>
      </rPr>
      <t xml:space="preserve">Only proper nouns used as common words (e.g.: the days of the week) have been kept. People's names were removed from the list. e.g.: </t>
    </r>
    <r>
      <rPr>
        <rFont val="Helvetica Neue"/>
        <i/>
        <color rgb="FF000000"/>
        <sz val="10.0"/>
      </rPr>
      <t>God, Saturday, English</t>
    </r>
    <r>
      <rPr>
        <rFont val="Helvetica Neue"/>
        <color rgb="FF000000"/>
        <sz val="10.0"/>
      </rPr>
      <t>.</t>
    </r>
  </si>
  <si>
    <t>abbreviation</t>
  </si>
  <si>
    <r>
      <rPr>
        <rFont val="Helvetica Neue"/>
        <color rgb="FF000000"/>
        <sz val="10.0"/>
      </rPr>
      <t xml:space="preserve">A shortened word of a form or phrase. e.g.: </t>
    </r>
    <r>
      <rPr>
        <rFont val="Helvetica Neue"/>
        <i/>
        <color rgb="FF000000"/>
        <sz val="10.0"/>
      </rPr>
      <t>ID, DVD, FYI</t>
    </r>
    <r>
      <rPr>
        <rFont val="Helvetica Neue"/>
        <color rgb="FF000000"/>
        <sz val="10.0"/>
      </rPr>
      <t>. A common type of abbreviation is the acronym, which is formed by the initial letters of other words.</t>
    </r>
  </si>
  <si>
    <t>Website</t>
  </si>
  <si>
    <t>URL</t>
  </si>
  <si>
    <t>Description</t>
  </si>
  <si>
    <t>American IPA Chart</t>
  </si>
  <si>
    <r>
      <rPr>
        <rFont val="Helvetica Neue"/>
        <color rgb="FF000000"/>
        <sz val="10.0"/>
        <u/>
      </rPr>
      <t>AmericanIPAchart.com</t>
    </r>
  </si>
  <si>
    <t>All the sounds of American English, in one interactive infographic!</t>
  </si>
  <si>
    <t>Click &amp; Speak™ English</t>
  </si>
  <si>
    <r>
      <rPr>
        <rFont val="Helvetica Neue"/>
        <color rgb="FF000000"/>
        <sz val="10.0"/>
        <u/>
      </rPr>
      <t>ClickandSpeak.com</t>
    </r>
  </si>
  <si>
    <t>Learn 96% of American English, with fun modern content, including phonetics, vocab’ and grammar.</t>
  </si>
  <si>
    <t>Teacher Tool</t>
  </si>
  <si>
    <r>
      <rPr>
        <rFont val="Helvetica Neue"/>
        <color rgb="FF000000"/>
        <sz val="10.0"/>
        <u/>
      </rPr>
      <t>TeacherTool.io</t>
    </r>
  </si>
  <si>
    <t>Share a live document with your English teacher, with phonetic transcriptions and more!</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</si>
</sst>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Helvetica Neue"/>
      <scheme val="minor"/>
    </font>
    <font>
      <sz val="12.0"/>
      <color rgb="FF000000"/>
      <name val="Helvetica Neue"/>
    </font>
    <font>
      <sz val="14.0"/>
      <color rgb="FF000000"/>
      <name val="Helvetica Neue"/>
    </font>
    <font>
      <u/>
      <sz val="12.0"/>
      <color rgb="FF0000FF"/>
      <name val="Helvetica Neue"/>
    </font>
    <font>
      <sz val="10.0"/>
      <color rgb="FF000000"/>
      <name val="Helvetica Neue"/>
    </font>
    <font>
      <b/>
      <i/>
      <sz val="12.0"/>
      <color rgb="FF000000"/>
      <name val="Helvetica Neue"/>
    </font>
    <font/>
    <font>
      <sz val="11.0"/>
      <color rgb="FF000000"/>
      <name val="Helvetica Neue"/>
    </font>
    <font>
      <u/>
      <sz val="10.0"/>
      <color rgb="FF000000"/>
      <name val="Helvetica Neue"/>
    </font>
    <font>
      <u/>
      <sz val="10.0"/>
      <color rgb="FF000000"/>
      <name val="Helvetica Neue"/>
    </font>
    <font>
      <u/>
      <sz val="11.0"/>
      <color rgb="FF000000"/>
      <name val="Helvetica Neue"/>
    </font>
    <font>
      <u/>
      <sz val="10.0"/>
      <color rgb="FF000000"/>
      <name val="Helvetica Neue"/>
    </font>
    <font>
      <u/>
      <sz val="10.0"/>
      <color rgb="FF000000"/>
      <name val="Helvetica Neue"/>
    </font>
    <font>
      <b/>
      <sz val="10.0"/>
      <color rgb="FF000000"/>
      <name val="Helvetica Neue"/>
    </font>
    <font>
      <u/>
      <sz val="10.0"/>
      <color rgb="FF000000"/>
      <name val="Helvetica Neue"/>
    </font>
    <font>
      <u/>
      <sz val="10.0"/>
      <color rgb="FF000000"/>
      <name val="Helvetica Neue"/>
    </font>
  </fonts>
  <fills count="7">
    <fill>
      <patternFill patternType="none"/>
    </fill>
    <fill>
      <patternFill patternType="lightGray"/>
    </fill>
    <fill>
      <patternFill patternType="solid">
        <fgColor rgb="FF5E88B1"/>
        <bgColor rgb="FF5E88B1"/>
      </patternFill>
    </fill>
    <fill>
      <patternFill patternType="solid">
        <fgColor rgb="FFEEF3F4"/>
        <bgColor rgb="FFEEF3F4"/>
      </patternFill>
    </fill>
    <fill>
      <patternFill patternType="solid">
        <fgColor rgb="FFD5D5D5"/>
        <bgColor rgb="FFD5D5D5"/>
      </patternFill>
    </fill>
    <fill>
      <patternFill patternType="solid">
        <fgColor rgb="FFBDC0BF"/>
        <bgColor rgb="FFBDC0BF"/>
      </patternFill>
    </fill>
    <fill>
      <patternFill patternType="solid">
        <fgColor rgb="FFDBDBDB"/>
        <bgColor rgb="FFDBDBDB"/>
      </patternFill>
    </fill>
  </fills>
  <borders count="25">
    <border/>
    <border>
      <left/>
      <right/>
      <top/>
      <bottom/>
    </border>
    <border>
      <left style="thick">
        <color rgb="FFED220B"/>
      </left>
      <top style="thick">
        <color rgb="FFED220B"/>
      </top>
      <bottom style="thin">
        <color rgb="FF3F3F3F"/>
      </bottom>
    </border>
    <border>
      <top style="thick">
        <color rgb="FFED220B"/>
      </top>
      <bottom style="thin">
        <color rgb="FF3F3F3F"/>
      </bottom>
    </border>
    <border>
      <right style="thick">
        <color rgb="FFED220B"/>
      </right>
      <top style="thick">
        <color rgb="FFED220B"/>
      </top>
      <bottom style="thin">
        <color rgb="FF3F3F3F"/>
      </bottom>
    </border>
    <border>
      <left style="thick">
        <color rgb="FFED220B"/>
      </left>
      <right style="thin">
        <color rgb="FFF8B1A9"/>
      </right>
      <top style="thin">
        <color rgb="FFF25948"/>
      </top>
      <bottom style="thin">
        <color rgb="FFF8B1A9"/>
      </bottom>
    </border>
    <border>
      <left style="thin">
        <color rgb="FFF8B1A9"/>
      </left>
      <top style="thin">
        <color rgb="FF3F3F3F"/>
      </top>
    </border>
    <border>
      <right style="thick">
        <color rgb="FFED220B"/>
      </right>
      <top style="thin">
        <color rgb="FF3F3F3F"/>
      </top>
      <bottom style="thin">
        <color rgb="FFA5A5A5"/>
      </bottom>
    </border>
    <border>
      <left style="thick">
        <color rgb="FFED220B"/>
      </left>
      <top style="thin">
        <color rgb="FFF8B1A9"/>
      </top>
    </border>
    <border>
      <right style="thick">
        <color rgb="FFED220B"/>
      </right>
      <top style="thin">
        <color rgb="FFA5A5A5"/>
      </top>
      <bottom style="thin">
        <color rgb="FFA5A5A5"/>
      </bottom>
    </border>
    <border>
      <left style="thick">
        <color rgb="FFED220B"/>
      </left>
      <right style="thin">
        <color rgb="FFA5A5A5"/>
      </right>
      <bottom style="thick">
        <color rgb="FFED220B"/>
      </bottom>
    </border>
    <border>
      <left style="thin">
        <color rgb="FFA5A5A5"/>
      </left>
      <right style="thin">
        <color rgb="FFA5A5A5"/>
      </right>
      <bottom style="thick">
        <color rgb="FFED220B"/>
      </bottom>
    </border>
    <border>
      <left style="thin">
        <color rgb="FFA5A5A5"/>
      </left>
      <right style="thick">
        <color rgb="FFED220B"/>
      </right>
      <top style="thin">
        <color rgb="FFA5A5A5"/>
      </top>
      <bottom style="thick">
        <color rgb="FFED220B"/>
      </bottom>
    </border>
    <border>
      <left style="thin">
        <color rgb="FFA5A5A5"/>
      </left>
      <right style="thin">
        <color rgb="FFA5A5A5"/>
      </right>
      <top style="thin">
        <color rgb="FFA5A5A5"/>
      </top>
      <bottom style="thin">
        <color rgb="FF3F3F3F"/>
      </bottom>
    </border>
    <border>
      <left style="thin">
        <color rgb="FFA5A5A5"/>
      </left>
      <right style="thin">
        <color rgb="FF3F3F3F"/>
      </right>
      <top style="thin">
        <color rgb="FF3F3F3F"/>
      </top>
      <bottom style="thin">
        <color rgb="FFA5A5A5"/>
      </bottom>
    </border>
    <border>
      <left style="thin">
        <color rgb="FF3F3F3F"/>
      </left>
      <right style="thin">
        <color rgb="FFA5A5A5"/>
      </right>
      <top style="thin">
        <color rgb="FF3F3F3F"/>
      </top>
      <bottom style="thin">
        <color rgb="FFA5A5A5"/>
      </bottom>
    </border>
    <border>
      <left style="thin">
        <color rgb="FFA5A5A5"/>
      </left>
      <right style="thin">
        <color rgb="FFA5A5A5"/>
      </right>
      <top style="thin">
        <color rgb="FF3F3F3F"/>
      </top>
      <bottom style="thin">
        <color rgb="FFA5A5A5"/>
      </bottom>
    </border>
    <border>
      <left style="thin">
        <color rgb="FFA5A5A5"/>
      </left>
      <right style="thin">
        <color rgb="FF3F3F3F"/>
      </right>
      <top style="thin">
        <color rgb="FFA5A5A5"/>
      </top>
      <bottom style="thin">
        <color rgb="FFA5A5A5"/>
      </bottom>
    </border>
    <border>
      <left style="thin">
        <color rgb="FF3F3F3F"/>
      </left>
      <right style="thin">
        <color rgb="FFA5A5A5"/>
      </right>
      <top style="thin">
        <color rgb="FFA5A5A5"/>
      </top>
      <bottom style="thin">
        <color rgb="FFA5A5A5"/>
      </bottom>
    </border>
    <border>
      <left style="thin">
        <color rgb="FFA5A5A5"/>
      </left>
      <right style="thin">
        <color rgb="FFA5A5A5"/>
      </right>
      <top style="thin">
        <color rgb="FFA5A5A5"/>
      </top>
      <bottom style="thin">
        <color rgb="FFA5A5A5"/>
      </bottom>
    </border>
    <border>
      <left style="thin">
        <color rgb="FFA5A5A5"/>
      </left>
      <right style="thin">
        <color rgb="FF3F3F3F"/>
      </right>
      <top style="thin">
        <color rgb="FFA5A5A5"/>
      </top>
      <bottom style="thin">
        <color rgb="FF3F3F3F"/>
      </bottom>
    </border>
    <border>
      <left style="thin">
        <color rgb="FF3F3F3F"/>
      </left>
      <right style="thin">
        <color rgb="FFA5A5A5"/>
      </right>
      <top style="thin">
        <color rgb="FFA5A5A5"/>
      </top>
      <bottom style="thin">
        <color rgb="FF3F3F3F"/>
      </bottom>
    </border>
    <border>
      <left style="thin">
        <color rgb="FFA5A5A5"/>
      </left>
      <top style="thin">
        <color rgb="FF3F3F3F"/>
      </top>
      <bottom style="thin">
        <color rgb="FFA5A5A5"/>
      </bottom>
    </border>
    <border>
      <top style="thin">
        <color rgb="FF3F3F3F"/>
      </top>
      <bottom style="thin">
        <color rgb="FFA5A5A5"/>
      </bottom>
    </border>
    <border>
      <right style="thin">
        <color rgb="FFA5A5A5"/>
      </right>
      <top style="thin">
        <color rgb="FF3F3F3F"/>
      </top>
      <bottom style="thin">
        <color rgb="FFA5A5A5"/>
      </bottom>
    </border>
  </borders>
  <cellStyleXfs count="1">
    <xf borderId="0" fillId="0" fontId="0" numFmtId="0" applyAlignment="1" applyFont="1"/>
  </cellStyleXfs>
  <cellXfs count="41">
    <xf borderId="0" fillId="0" fontId="0" numFmtId="0" xfId="0" applyAlignment="1" applyFont="1">
      <alignment readingOrder="0" shrinkToFit="0" vertical="top" wrapText="1"/>
    </xf>
    <xf borderId="0" fillId="0" fontId="1" numFmtId="0" xfId="0" applyAlignment="1" applyFont="1">
      <alignment horizontal="left" shrinkToFit="0" vertical="top" wrapText="1"/>
    </xf>
    <xf borderId="0" fillId="0" fontId="2" numFmtId="0" xfId="0" applyAlignment="1" applyFont="1">
      <alignment horizontal="left" shrinkToFit="0" vertical="top" wrapText="1"/>
    </xf>
    <xf borderId="1" fillId="2" fontId="1" numFmtId="0" xfId="0" applyAlignment="1" applyBorder="1" applyFill="1" applyFont="1">
      <alignment horizontal="left" shrinkToFit="0" vertical="top" wrapText="1"/>
    </xf>
    <xf borderId="1" fillId="3" fontId="1" numFmtId="0" xfId="0" applyAlignment="1" applyBorder="1" applyFill="1" applyFont="1">
      <alignment horizontal="left" shrinkToFit="0" vertical="top" wrapText="1"/>
    </xf>
    <xf borderId="1" fillId="3" fontId="3" numFmtId="0" xfId="0" applyAlignment="1" applyBorder="1" applyFont="1">
      <alignment horizontal="left" shrinkToFit="0" vertical="top" wrapText="1"/>
    </xf>
    <xf borderId="0" fillId="0" fontId="1" numFmtId="0" xfId="0" applyAlignment="1" applyFont="1">
      <alignment horizontal="center" shrinkToFit="0" vertical="center" wrapText="0"/>
    </xf>
    <xf borderId="0" fillId="0" fontId="4" numFmtId="0" xfId="0" applyAlignment="1" applyFont="1">
      <alignment shrinkToFit="0" vertical="top" wrapText="1"/>
    </xf>
    <xf borderId="2" fillId="4" fontId="5" numFmtId="49" xfId="0" applyAlignment="1" applyBorder="1" applyFill="1" applyFont="1" applyNumberFormat="1">
      <alignment horizontal="center" shrinkToFit="0" vertical="top" wrapText="1"/>
    </xf>
    <xf borderId="3" fillId="0" fontId="6" numFmtId="0" xfId="0" applyAlignment="1" applyBorder="1" applyFont="1">
      <alignment shrinkToFit="0" vertical="top" wrapText="1"/>
    </xf>
    <xf borderId="4" fillId="0" fontId="6" numFmtId="0" xfId="0" applyAlignment="1" applyBorder="1" applyFont="1">
      <alignment shrinkToFit="0" vertical="top" wrapText="1"/>
    </xf>
    <xf borderId="5" fillId="0" fontId="7" numFmtId="49" xfId="0" applyAlignment="1" applyBorder="1" applyFont="1" applyNumberFormat="1">
      <alignment shrinkToFit="0" vertical="top" wrapText="1"/>
    </xf>
    <xf borderId="6" fillId="0" fontId="4" numFmtId="49" xfId="0" applyAlignment="1" applyBorder="1" applyFont="1" applyNumberFormat="1">
      <alignment shrinkToFit="0" vertical="top" wrapText="1"/>
    </xf>
    <xf borderId="7" fillId="0" fontId="8" numFmtId="49" xfId="0" applyAlignment="1" applyBorder="1" applyFont="1" applyNumberFormat="1">
      <alignment shrinkToFit="0" vertical="top" wrapText="1"/>
    </xf>
    <xf borderId="8" fillId="0" fontId="9" numFmtId="49" xfId="0" applyAlignment="1" applyBorder="1" applyFont="1" applyNumberFormat="1">
      <alignment shrinkToFit="0" vertical="top" wrapText="1"/>
    </xf>
    <xf borderId="0" fillId="0" fontId="10" numFmtId="49" xfId="0" applyAlignment="1" applyFont="1" applyNumberFormat="1">
      <alignment shrinkToFit="0" vertical="center" wrapText="1"/>
    </xf>
    <xf borderId="9" fillId="0" fontId="7" numFmtId="49" xfId="0" applyAlignment="1" applyBorder="1" applyFont="1" applyNumberFormat="1">
      <alignment shrinkToFit="0" vertical="top" wrapText="1"/>
    </xf>
    <xf borderId="10" fillId="0" fontId="4" numFmtId="49" xfId="0" applyAlignment="1" applyBorder="1" applyFont="1" applyNumberFormat="1">
      <alignment shrinkToFit="0" vertical="bottom" wrapText="1"/>
    </xf>
    <xf borderId="11" fillId="0" fontId="11" numFmtId="49" xfId="0" applyAlignment="1" applyBorder="1" applyFont="1" applyNumberFormat="1">
      <alignment horizontal="center" shrinkToFit="0" vertical="bottom" wrapText="1"/>
    </xf>
    <xf borderId="12" fillId="0" fontId="12" numFmtId="49" xfId="0" applyAlignment="1" applyBorder="1" applyFont="1" applyNumberFormat="1">
      <alignment horizontal="right" shrinkToFit="0" vertical="bottom" wrapText="1"/>
    </xf>
    <xf borderId="13" fillId="5" fontId="13" numFmtId="49" xfId="0" applyAlignment="1" applyBorder="1" applyFill="1" applyFont="1" applyNumberFormat="1">
      <alignment shrinkToFit="0" vertical="top" wrapText="1"/>
    </xf>
    <xf borderId="0" fillId="0" fontId="4" numFmtId="0" xfId="0" applyAlignment="1" applyFont="1">
      <alignment readingOrder="0" shrinkToFit="0" vertical="top" wrapText="1"/>
    </xf>
    <xf borderId="14" fillId="6" fontId="13" numFmtId="49" xfId="0" applyAlignment="1" applyBorder="1" applyFill="1" applyFont="1" applyNumberFormat="1">
      <alignment shrinkToFit="0" vertical="top" wrapText="1"/>
    </xf>
    <xf borderId="15" fillId="0" fontId="4" numFmtId="49" xfId="0" applyAlignment="1" applyBorder="1" applyFont="1" applyNumberFormat="1">
      <alignment shrinkToFit="0" vertical="top" wrapText="1"/>
    </xf>
    <xf borderId="16" fillId="0" fontId="4" numFmtId="49" xfId="0" applyAlignment="1" applyBorder="1" applyFont="1" applyNumberFormat="1">
      <alignment shrinkToFit="0" vertical="top" wrapText="1"/>
    </xf>
    <xf borderId="16" fillId="0" fontId="4" numFmtId="0" xfId="0" applyAlignment="1" applyBorder="1" applyFont="1">
      <alignment shrinkToFit="0" vertical="top" wrapText="1"/>
    </xf>
    <xf borderId="17" fillId="6" fontId="13" numFmtId="49" xfId="0" applyAlignment="1" applyBorder="1" applyFont="1" applyNumberFormat="1">
      <alignment shrinkToFit="0" vertical="top" wrapText="1"/>
    </xf>
    <xf borderId="18" fillId="0" fontId="4" numFmtId="49" xfId="0" applyAlignment="1" applyBorder="1" applyFont="1" applyNumberFormat="1">
      <alignment shrinkToFit="0" vertical="top" wrapText="1"/>
    </xf>
    <xf borderId="19" fillId="0" fontId="4" numFmtId="49" xfId="0" applyAlignment="1" applyBorder="1" applyFont="1" applyNumberFormat="1">
      <alignment shrinkToFit="0" vertical="top" wrapText="1"/>
    </xf>
    <xf borderId="19" fillId="0" fontId="4" numFmtId="0" xfId="0" applyAlignment="1" applyBorder="1" applyFont="1">
      <alignment shrinkToFit="0" vertical="top" wrapText="1"/>
    </xf>
    <xf borderId="20" fillId="6" fontId="13" numFmtId="49" xfId="0" applyAlignment="1" applyBorder="1" applyFont="1" applyNumberFormat="1">
      <alignment shrinkToFit="0" vertical="top" wrapText="1"/>
    </xf>
    <xf borderId="21" fillId="0" fontId="4" numFmtId="49" xfId="0" applyAlignment="1" applyBorder="1" applyFont="1" applyNumberFormat="1">
      <alignment shrinkToFit="0" vertical="top" wrapText="1"/>
    </xf>
    <xf borderId="13" fillId="0" fontId="4" numFmtId="49" xfId="0" applyAlignment="1" applyBorder="1" applyFont="1" applyNumberFormat="1">
      <alignment shrinkToFit="0" vertical="top" wrapText="1"/>
    </xf>
    <xf borderId="13" fillId="0" fontId="4" numFmtId="0" xfId="0" applyAlignment="1" applyBorder="1" applyFont="1">
      <alignment shrinkToFit="0" vertical="top" wrapText="1"/>
    </xf>
    <xf borderId="22" fillId="0" fontId="13" numFmtId="49" xfId="0" applyAlignment="1" applyBorder="1" applyFont="1" applyNumberFormat="1">
      <alignment horizontal="center" shrinkToFit="0" vertical="top" wrapText="1"/>
    </xf>
    <xf borderId="23" fillId="0" fontId="6" numFmtId="0" xfId="0" applyAlignment="1" applyBorder="1" applyFont="1">
      <alignment shrinkToFit="0" vertical="top" wrapText="1"/>
    </xf>
    <xf borderId="24" fillId="0" fontId="6" numFmtId="0" xfId="0" applyAlignment="1" applyBorder="1" applyFont="1">
      <alignment shrinkToFit="0" vertical="top" wrapText="1"/>
    </xf>
    <xf borderId="16" fillId="0" fontId="13" numFmtId="49" xfId="0" applyAlignment="1" applyBorder="1" applyFont="1" applyNumberFormat="1">
      <alignment shrinkToFit="0" vertical="top" wrapText="1"/>
    </xf>
    <xf borderId="16" fillId="0" fontId="14" numFmtId="49" xfId="0" applyAlignment="1" applyBorder="1" applyFont="1" applyNumberFormat="1">
      <alignment shrinkToFit="0" vertical="top" wrapText="1"/>
    </xf>
    <xf borderId="19" fillId="0" fontId="13" numFmtId="49" xfId="0" applyAlignment="1" applyBorder="1" applyFont="1" applyNumberFormat="1">
      <alignment shrinkToFit="0" vertical="top" wrapText="1"/>
    </xf>
    <xf borderId="19" fillId="0" fontId="15" numFmtId="49" xfId="0" applyAlignment="1" applyBorder="1" applyFont="1" applyNumberForma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frequencylist.com" TargetMode="External"/><Relationship Id="rId2" Type="http://schemas.openxmlformats.org/officeDocument/2006/relationships/hyperlink" Target="https://creativecommons.org/licenses/by-nc-nd/4.0/deed.en" TargetMode="External"/><Relationship Id="rId3" Type="http://schemas.openxmlformats.org/officeDocument/2006/relationships/hyperlink" Target="http://frequencylist.com" TargetMode="External"/><Relationship Id="rId4" Type="http://schemas.openxmlformats.org/officeDocument/2006/relationships/hyperlink" Target="https://creativecommons.org/licenses/by-nc-nd/4.0/deed.en" TargetMode="External"/><Relationship Id="rId5" Type="http://schemas.openxmlformats.org/officeDocument/2006/relationships/hyperlink" Target="https://frequencylist.com" TargetMode="External"/><Relationship Id="rId6"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americanipachart.com" TargetMode="External"/><Relationship Id="rId2" Type="http://schemas.openxmlformats.org/officeDocument/2006/relationships/hyperlink" Target="http://clickandspeak.com" TargetMode="External"/><Relationship Id="rId3" Type="http://schemas.openxmlformats.org/officeDocument/2006/relationships/hyperlink" Target="http://teachertool.io" TargetMode="Externa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showGridLines="0" workbookViewId="0"/>
  </sheetViews>
  <sheetFormatPr customHeight="1" defaultColWidth="14.43" defaultRowHeight="15.0"/>
  <cols>
    <col customWidth="1" min="1" max="1" width="2.0"/>
    <col customWidth="1" min="2" max="4" width="33.57"/>
    <col customWidth="1" min="5" max="26" width="10.0"/>
  </cols>
  <sheetData>
    <row r="1" ht="12.75" customHeight="1"/>
    <row r="2" ht="12.75" customHeight="1"/>
    <row r="3" ht="49.5" customHeight="1">
      <c r="B3" s="1" t="s">
        <v>0</v>
      </c>
    </row>
    <row r="4" ht="12.75" customHeight="1"/>
    <row r="5" ht="12.75" customHeight="1"/>
    <row r="6" ht="12.75" customHeight="1"/>
    <row r="7" ht="12.75" customHeight="1">
      <c r="B7" s="2" t="s">
        <v>1</v>
      </c>
      <c r="C7" s="2" t="s">
        <v>2</v>
      </c>
      <c r="D7" s="2" t="s">
        <v>3</v>
      </c>
    </row>
    <row r="8" ht="12.75" customHeight="1"/>
    <row r="9" ht="12.75" customHeight="1">
      <c r="B9" s="3" t="s">
        <v>4</v>
      </c>
      <c r="C9" s="3"/>
      <c r="D9" s="3"/>
    </row>
    <row r="10" ht="12.75" customHeight="1">
      <c r="B10" s="4"/>
      <c r="C10" s="4" t="s">
        <v>5</v>
      </c>
      <c r="D10" s="5" t="s">
        <v>6</v>
      </c>
    </row>
    <row r="11" ht="12.75" customHeight="1">
      <c r="B11" s="3" t="s">
        <v>7</v>
      </c>
      <c r="C11" s="3"/>
      <c r="D11" s="3"/>
    </row>
    <row r="12" ht="12.75" customHeight="1">
      <c r="B12" s="4"/>
      <c r="C12" s="4" t="s">
        <v>8</v>
      </c>
      <c r="D12" s="5" t="s">
        <v>9</v>
      </c>
    </row>
    <row r="13" ht="12.75" customHeight="1">
      <c r="B13" s="3" t="s">
        <v>10</v>
      </c>
      <c r="C13" s="3"/>
      <c r="D13" s="3"/>
    </row>
    <row r="14" ht="12.75" customHeight="1">
      <c r="B14" s="4"/>
      <c r="C14" s="4" t="s">
        <v>10</v>
      </c>
      <c r="D14" s="5" t="s">
        <v>11</v>
      </c>
    </row>
    <row r="15" ht="12.75" customHeight="1">
      <c r="B15" s="4"/>
      <c r="C15" s="4" t="s">
        <v>12</v>
      </c>
      <c r="D15" s="5" t="s">
        <v>13</v>
      </c>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B3:D3"/>
  </mergeCells>
  <hyperlinks>
    <hyperlink display="About - About the Frequency Lis" location="'About - About the Frequency Lis'!R2C1" ref="D10"/>
    <hyperlink display="The List - Frequency List" location="'The List - Frequency List'!R2C1" ref="D12"/>
    <hyperlink display="Legend - Legend" location="'Legend - Legend'!R2C1" ref="D14"/>
    <hyperlink display="Legend - Other projects you mig" location="'Legend - Other projects you mig'!R2C1" ref="D15"/>
  </hyperlin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2.0" topLeftCell="A3" activePane="bottomLeft" state="frozen"/>
      <selection activeCell="B4" sqref="B4" pane="bottomLeft"/>
    </sheetView>
  </sheetViews>
  <sheetFormatPr customHeight="1" defaultColWidth="14.43" defaultRowHeight="15.0"/>
  <cols>
    <col customWidth="1" min="1" max="3" width="53.29"/>
    <col customWidth="1" min="4" max="26" width="16.29"/>
  </cols>
  <sheetData>
    <row r="1" ht="27.0" customHeight="1">
      <c r="A1" s="6" t="s">
        <v>5</v>
      </c>
      <c r="D1" s="7"/>
      <c r="E1" s="7"/>
      <c r="F1" s="7"/>
      <c r="G1" s="7"/>
      <c r="H1" s="7"/>
      <c r="I1" s="7"/>
      <c r="J1" s="7"/>
      <c r="K1" s="7"/>
      <c r="L1" s="7"/>
      <c r="M1" s="7"/>
      <c r="N1" s="7"/>
      <c r="O1" s="7"/>
      <c r="P1" s="7"/>
      <c r="Q1" s="7"/>
      <c r="R1" s="7"/>
      <c r="S1" s="7"/>
      <c r="T1" s="7"/>
      <c r="U1" s="7"/>
      <c r="V1" s="7"/>
      <c r="W1" s="7"/>
      <c r="X1" s="7"/>
      <c r="Y1" s="7"/>
      <c r="Z1" s="7"/>
    </row>
    <row r="2" ht="63.0" customHeight="1">
      <c r="A2" s="8" t="s">
        <v>14</v>
      </c>
      <c r="B2" s="9"/>
      <c r="C2" s="10"/>
      <c r="D2" s="7"/>
      <c r="E2" s="7"/>
      <c r="F2" s="7"/>
      <c r="G2" s="7"/>
      <c r="H2" s="7"/>
      <c r="I2" s="7"/>
      <c r="J2" s="7"/>
      <c r="K2" s="7"/>
      <c r="L2" s="7"/>
      <c r="M2" s="7"/>
      <c r="N2" s="7"/>
      <c r="O2" s="7"/>
      <c r="P2" s="7"/>
      <c r="Q2" s="7"/>
      <c r="R2" s="7"/>
      <c r="S2" s="7"/>
      <c r="T2" s="7"/>
      <c r="U2" s="7"/>
      <c r="V2" s="7"/>
      <c r="W2" s="7"/>
      <c r="X2" s="7"/>
      <c r="Y2" s="7"/>
      <c r="Z2" s="7"/>
    </row>
    <row r="3" ht="319.5" customHeight="1">
      <c r="A3" s="11" t="s">
        <v>15</v>
      </c>
      <c r="B3" s="12" t="s">
        <v>16</v>
      </c>
      <c r="C3" s="13" t="s">
        <v>17</v>
      </c>
      <c r="D3" s="7"/>
      <c r="E3" s="7"/>
      <c r="F3" s="7"/>
      <c r="G3" s="7"/>
      <c r="H3" s="7"/>
      <c r="I3" s="7"/>
      <c r="J3" s="7"/>
      <c r="K3" s="7"/>
      <c r="L3" s="7"/>
      <c r="M3" s="7"/>
      <c r="N3" s="7"/>
      <c r="O3" s="7"/>
      <c r="P3" s="7"/>
      <c r="Q3" s="7"/>
      <c r="R3" s="7"/>
      <c r="S3" s="7"/>
      <c r="T3" s="7"/>
      <c r="U3" s="7"/>
      <c r="V3" s="7"/>
      <c r="W3" s="7"/>
      <c r="X3" s="7"/>
      <c r="Y3" s="7"/>
      <c r="Z3" s="7"/>
    </row>
    <row r="4" ht="319.5" customHeight="1">
      <c r="A4" s="14" t="s">
        <v>18</v>
      </c>
      <c r="B4" s="15" t="s">
        <v>19</v>
      </c>
      <c r="C4" s="16" t="s">
        <v>20</v>
      </c>
      <c r="D4" s="7"/>
      <c r="E4" s="7"/>
      <c r="F4" s="7"/>
      <c r="G4" s="7"/>
      <c r="H4" s="7"/>
      <c r="I4" s="7"/>
      <c r="J4" s="7"/>
      <c r="K4" s="7"/>
      <c r="L4" s="7"/>
      <c r="M4" s="7"/>
      <c r="N4" s="7"/>
      <c r="O4" s="7"/>
      <c r="P4" s="7"/>
      <c r="Q4" s="7"/>
      <c r="R4" s="7"/>
      <c r="S4" s="7"/>
      <c r="T4" s="7"/>
      <c r="U4" s="7"/>
      <c r="V4" s="7"/>
      <c r="W4" s="7"/>
      <c r="X4" s="7"/>
      <c r="Y4" s="7"/>
      <c r="Z4" s="7"/>
    </row>
    <row r="5" ht="33.0" customHeight="1">
      <c r="A5" s="17" t="s">
        <v>21</v>
      </c>
      <c r="B5" s="18" t="s">
        <v>22</v>
      </c>
      <c r="C5" s="19" t="s">
        <v>23</v>
      </c>
      <c r="D5" s="7"/>
      <c r="E5" s="7"/>
      <c r="F5" s="7"/>
      <c r="G5" s="7"/>
      <c r="H5" s="7"/>
      <c r="I5" s="7"/>
      <c r="J5" s="7"/>
      <c r="K5" s="7"/>
      <c r="L5" s="7"/>
      <c r="M5" s="7"/>
      <c r="N5" s="7"/>
      <c r="O5" s="7"/>
      <c r="P5" s="7"/>
      <c r="Q5" s="7"/>
      <c r="R5" s="7"/>
      <c r="S5" s="7"/>
      <c r="T5" s="7"/>
      <c r="U5" s="7"/>
      <c r="V5" s="7"/>
      <c r="W5" s="7"/>
      <c r="X5" s="7"/>
      <c r="Y5" s="7"/>
      <c r="Z5" s="7"/>
    </row>
    <row r="6" ht="19.5" customHeight="1">
      <c r="A6" s="7"/>
      <c r="B6" s="7"/>
      <c r="C6" s="7"/>
      <c r="D6" s="7"/>
      <c r="E6" s="7"/>
      <c r="F6" s="7"/>
      <c r="G6" s="7"/>
      <c r="H6" s="7"/>
      <c r="I6" s="7"/>
      <c r="J6" s="7"/>
      <c r="K6" s="7"/>
      <c r="L6" s="7"/>
      <c r="M6" s="7"/>
      <c r="N6" s="7"/>
      <c r="O6" s="7"/>
      <c r="P6" s="7"/>
      <c r="Q6" s="7"/>
      <c r="R6" s="7"/>
      <c r="S6" s="7"/>
      <c r="T6" s="7"/>
      <c r="U6" s="7"/>
      <c r="V6" s="7"/>
      <c r="W6" s="7"/>
      <c r="X6" s="7"/>
      <c r="Y6" s="7"/>
      <c r="Z6" s="7"/>
    </row>
    <row r="7" ht="19.5" customHeight="1">
      <c r="A7" s="7"/>
      <c r="B7" s="7"/>
      <c r="C7" s="7"/>
      <c r="D7" s="7"/>
      <c r="E7" s="7"/>
      <c r="F7" s="7"/>
      <c r="G7" s="7"/>
      <c r="H7" s="7"/>
      <c r="I7" s="7"/>
      <c r="J7" s="7"/>
      <c r="K7" s="7"/>
      <c r="L7" s="7"/>
      <c r="M7" s="7"/>
      <c r="N7" s="7"/>
      <c r="O7" s="7"/>
      <c r="P7" s="7"/>
      <c r="Q7" s="7"/>
      <c r="R7" s="7"/>
      <c r="S7" s="7"/>
      <c r="T7" s="7"/>
      <c r="U7" s="7"/>
      <c r="V7" s="7"/>
      <c r="W7" s="7"/>
      <c r="X7" s="7"/>
      <c r="Y7" s="7"/>
      <c r="Z7" s="7"/>
    </row>
    <row r="8" ht="19.5" customHeight="1">
      <c r="A8" s="7"/>
      <c r="B8" s="7"/>
      <c r="C8" s="7"/>
      <c r="D8" s="7"/>
      <c r="E8" s="7"/>
      <c r="F8" s="7"/>
      <c r="G8" s="7"/>
      <c r="H8" s="7"/>
      <c r="I8" s="7"/>
      <c r="J8" s="7"/>
      <c r="K8" s="7"/>
      <c r="L8" s="7"/>
      <c r="M8" s="7"/>
      <c r="N8" s="7"/>
      <c r="O8" s="7"/>
      <c r="P8" s="7"/>
      <c r="Q8" s="7"/>
      <c r="R8" s="7"/>
      <c r="S8" s="7"/>
      <c r="T8" s="7"/>
      <c r="U8" s="7"/>
      <c r="V8" s="7"/>
      <c r="W8" s="7"/>
      <c r="X8" s="7"/>
      <c r="Y8" s="7"/>
      <c r="Z8" s="7"/>
    </row>
    <row r="9" ht="19.5" customHeight="1">
      <c r="A9" s="7"/>
      <c r="B9" s="7"/>
      <c r="C9" s="7"/>
      <c r="D9" s="7"/>
      <c r="E9" s="7"/>
      <c r="F9" s="7"/>
      <c r="G9" s="7"/>
      <c r="H9" s="7"/>
      <c r="I9" s="7"/>
      <c r="J9" s="7"/>
      <c r="K9" s="7"/>
      <c r="L9" s="7"/>
      <c r="M9" s="7"/>
      <c r="N9" s="7"/>
      <c r="O9" s="7"/>
      <c r="P9" s="7"/>
      <c r="Q9" s="7"/>
      <c r="R9" s="7"/>
      <c r="S9" s="7"/>
      <c r="T9" s="7"/>
      <c r="U9" s="7"/>
      <c r="V9" s="7"/>
      <c r="W9" s="7"/>
      <c r="X9" s="7"/>
      <c r="Y9" s="7"/>
      <c r="Z9" s="7"/>
    </row>
    <row r="10" ht="19.5" customHeight="1">
      <c r="A10" s="7"/>
      <c r="B10" s="7"/>
      <c r="C10" s="7"/>
      <c r="D10" s="7"/>
      <c r="E10" s="7"/>
      <c r="F10" s="7"/>
      <c r="G10" s="7"/>
      <c r="H10" s="7"/>
      <c r="I10" s="7"/>
      <c r="J10" s="7"/>
      <c r="K10" s="7"/>
      <c r="L10" s="7"/>
      <c r="M10" s="7"/>
      <c r="N10" s="7"/>
      <c r="O10" s="7"/>
      <c r="P10" s="7"/>
      <c r="Q10" s="7"/>
      <c r="R10" s="7"/>
      <c r="S10" s="7"/>
      <c r="T10" s="7"/>
      <c r="U10" s="7"/>
      <c r="V10" s="7"/>
      <c r="W10" s="7"/>
      <c r="X10" s="7"/>
      <c r="Y10" s="7"/>
      <c r="Z10" s="7"/>
    </row>
    <row r="11" ht="19.5" customHeight="1">
      <c r="A11" s="7"/>
      <c r="B11" s="7"/>
      <c r="C11" s="7"/>
      <c r="D11" s="7"/>
      <c r="E11" s="7"/>
      <c r="F11" s="7"/>
      <c r="G11" s="7"/>
      <c r="H11" s="7"/>
      <c r="I11" s="7"/>
      <c r="J11" s="7"/>
      <c r="K11" s="7"/>
      <c r="L11" s="7"/>
      <c r="M11" s="7"/>
      <c r="N11" s="7"/>
      <c r="O11" s="7"/>
      <c r="P11" s="7"/>
      <c r="Q11" s="7"/>
      <c r="R11" s="7"/>
      <c r="S11" s="7"/>
      <c r="T11" s="7"/>
      <c r="U11" s="7"/>
      <c r="V11" s="7"/>
      <c r="W11" s="7"/>
      <c r="X11" s="7"/>
      <c r="Y11" s="7"/>
      <c r="Z11" s="7"/>
    </row>
    <row r="12" ht="19.5" customHeight="1">
      <c r="A12" s="7"/>
      <c r="B12" s="7"/>
      <c r="C12" s="7"/>
      <c r="D12" s="7"/>
      <c r="E12" s="7"/>
      <c r="F12" s="7"/>
      <c r="G12" s="7"/>
      <c r="H12" s="7"/>
      <c r="I12" s="7"/>
      <c r="J12" s="7"/>
      <c r="K12" s="7"/>
      <c r="L12" s="7"/>
      <c r="M12" s="7"/>
      <c r="N12" s="7"/>
      <c r="O12" s="7"/>
      <c r="P12" s="7"/>
      <c r="Q12" s="7"/>
      <c r="R12" s="7"/>
      <c r="S12" s="7"/>
      <c r="T12" s="7"/>
      <c r="U12" s="7"/>
      <c r="V12" s="7"/>
      <c r="W12" s="7"/>
      <c r="X12" s="7"/>
      <c r="Y12" s="7"/>
      <c r="Z12" s="7"/>
    </row>
    <row r="13" ht="19.5" customHeight="1">
      <c r="A13" s="7"/>
      <c r="B13" s="7"/>
      <c r="C13" s="7"/>
      <c r="D13" s="7"/>
      <c r="E13" s="7"/>
      <c r="F13" s="7"/>
      <c r="G13" s="7"/>
      <c r="H13" s="7"/>
      <c r="I13" s="7"/>
      <c r="J13" s="7"/>
      <c r="K13" s="7"/>
      <c r="L13" s="7"/>
      <c r="M13" s="7"/>
      <c r="N13" s="7"/>
      <c r="O13" s="7"/>
      <c r="P13" s="7"/>
      <c r="Q13" s="7"/>
      <c r="R13" s="7"/>
      <c r="S13" s="7"/>
      <c r="T13" s="7"/>
      <c r="U13" s="7"/>
      <c r="V13" s="7"/>
      <c r="W13" s="7"/>
      <c r="X13" s="7"/>
      <c r="Y13" s="7"/>
      <c r="Z13" s="7"/>
    </row>
    <row r="14" ht="19.5" customHeight="1">
      <c r="A14" s="7"/>
      <c r="B14" s="7"/>
      <c r="C14" s="7"/>
      <c r="D14" s="7"/>
      <c r="E14" s="7"/>
      <c r="F14" s="7"/>
      <c r="G14" s="7"/>
      <c r="H14" s="7"/>
      <c r="I14" s="7"/>
      <c r="J14" s="7"/>
      <c r="K14" s="7"/>
      <c r="L14" s="7"/>
      <c r="M14" s="7"/>
      <c r="N14" s="7"/>
      <c r="O14" s="7"/>
      <c r="P14" s="7"/>
      <c r="Q14" s="7"/>
      <c r="R14" s="7"/>
      <c r="S14" s="7"/>
      <c r="T14" s="7"/>
      <c r="U14" s="7"/>
      <c r="V14" s="7"/>
      <c r="W14" s="7"/>
      <c r="X14" s="7"/>
      <c r="Y14" s="7"/>
      <c r="Z14" s="7"/>
    </row>
    <row r="15" ht="19.5" customHeight="1">
      <c r="A15" s="7"/>
      <c r="B15" s="7"/>
      <c r="C15" s="7"/>
      <c r="D15" s="7"/>
      <c r="E15" s="7"/>
      <c r="F15" s="7"/>
      <c r="G15" s="7"/>
      <c r="H15" s="7"/>
      <c r="I15" s="7"/>
      <c r="J15" s="7"/>
      <c r="K15" s="7"/>
      <c r="L15" s="7"/>
      <c r="M15" s="7"/>
      <c r="N15" s="7"/>
      <c r="O15" s="7"/>
      <c r="P15" s="7"/>
      <c r="Q15" s="7"/>
      <c r="R15" s="7"/>
      <c r="S15" s="7"/>
      <c r="T15" s="7"/>
      <c r="U15" s="7"/>
      <c r="V15" s="7"/>
      <c r="W15" s="7"/>
      <c r="X15" s="7"/>
      <c r="Y15" s="7"/>
      <c r="Z15" s="7"/>
    </row>
    <row r="16" ht="19.5" customHeight="1">
      <c r="A16" s="7"/>
      <c r="B16" s="7"/>
      <c r="C16" s="7"/>
      <c r="D16" s="7"/>
      <c r="E16" s="7"/>
      <c r="F16" s="7"/>
      <c r="G16" s="7"/>
      <c r="H16" s="7"/>
      <c r="I16" s="7"/>
      <c r="J16" s="7"/>
      <c r="K16" s="7"/>
      <c r="L16" s="7"/>
      <c r="M16" s="7"/>
      <c r="N16" s="7"/>
      <c r="O16" s="7"/>
      <c r="P16" s="7"/>
      <c r="Q16" s="7"/>
      <c r="R16" s="7"/>
      <c r="S16" s="7"/>
      <c r="T16" s="7"/>
      <c r="U16" s="7"/>
      <c r="V16" s="7"/>
      <c r="W16" s="7"/>
      <c r="X16" s="7"/>
      <c r="Y16" s="7"/>
      <c r="Z16" s="7"/>
    </row>
    <row r="17" ht="19.5" customHeight="1">
      <c r="A17" s="7"/>
      <c r="B17" s="7"/>
      <c r="C17" s="7"/>
      <c r="D17" s="7"/>
      <c r="E17" s="7"/>
      <c r="F17" s="7"/>
      <c r="G17" s="7"/>
      <c r="H17" s="7"/>
      <c r="I17" s="7"/>
      <c r="J17" s="7"/>
      <c r="K17" s="7"/>
      <c r="L17" s="7"/>
      <c r="M17" s="7"/>
      <c r="N17" s="7"/>
      <c r="O17" s="7"/>
      <c r="P17" s="7"/>
      <c r="Q17" s="7"/>
      <c r="R17" s="7"/>
      <c r="S17" s="7"/>
      <c r="T17" s="7"/>
      <c r="U17" s="7"/>
      <c r="V17" s="7"/>
      <c r="W17" s="7"/>
      <c r="X17" s="7"/>
      <c r="Y17" s="7"/>
      <c r="Z17" s="7"/>
    </row>
    <row r="18" ht="19.5" customHeight="1">
      <c r="A18" s="7"/>
      <c r="B18" s="7"/>
      <c r="C18" s="7"/>
      <c r="D18" s="7"/>
      <c r="E18" s="7"/>
      <c r="F18" s="7"/>
      <c r="G18" s="7"/>
      <c r="H18" s="7"/>
      <c r="I18" s="7"/>
      <c r="J18" s="7"/>
      <c r="K18" s="7"/>
      <c r="L18" s="7"/>
      <c r="M18" s="7"/>
      <c r="N18" s="7"/>
      <c r="O18" s="7"/>
      <c r="P18" s="7"/>
      <c r="Q18" s="7"/>
      <c r="R18" s="7"/>
      <c r="S18" s="7"/>
      <c r="T18" s="7"/>
      <c r="U18" s="7"/>
      <c r="V18" s="7"/>
      <c r="W18" s="7"/>
      <c r="X18" s="7"/>
      <c r="Y18" s="7"/>
      <c r="Z18" s="7"/>
    </row>
    <row r="19" ht="19.5" customHeight="1">
      <c r="A19" s="7"/>
      <c r="B19" s="7"/>
      <c r="C19" s="7"/>
      <c r="D19" s="7"/>
      <c r="E19" s="7"/>
      <c r="F19" s="7"/>
      <c r="G19" s="7"/>
      <c r="H19" s="7"/>
      <c r="I19" s="7"/>
      <c r="J19" s="7"/>
      <c r="K19" s="7"/>
      <c r="L19" s="7"/>
      <c r="M19" s="7"/>
      <c r="N19" s="7"/>
      <c r="O19" s="7"/>
      <c r="P19" s="7"/>
      <c r="Q19" s="7"/>
      <c r="R19" s="7"/>
      <c r="S19" s="7"/>
      <c r="T19" s="7"/>
      <c r="U19" s="7"/>
      <c r="V19" s="7"/>
      <c r="W19" s="7"/>
      <c r="X19" s="7"/>
      <c r="Y19" s="7"/>
      <c r="Z19" s="7"/>
    </row>
    <row r="20" ht="19.5" customHeight="1">
      <c r="A20" s="7"/>
      <c r="B20" s="7"/>
      <c r="C20" s="7"/>
      <c r="D20" s="7"/>
      <c r="E20" s="7"/>
      <c r="F20" s="7"/>
      <c r="G20" s="7"/>
      <c r="H20" s="7"/>
      <c r="I20" s="7"/>
      <c r="J20" s="7"/>
      <c r="K20" s="7"/>
      <c r="L20" s="7"/>
      <c r="M20" s="7"/>
      <c r="N20" s="7"/>
      <c r="O20" s="7"/>
      <c r="P20" s="7"/>
      <c r="Q20" s="7"/>
      <c r="R20" s="7"/>
      <c r="S20" s="7"/>
      <c r="T20" s="7"/>
      <c r="U20" s="7"/>
      <c r="V20" s="7"/>
      <c r="W20" s="7"/>
      <c r="X20" s="7"/>
      <c r="Y20" s="7"/>
      <c r="Z20" s="7"/>
    </row>
    <row r="21" ht="19.5" customHeight="1">
      <c r="A21" s="7"/>
      <c r="B21" s="7"/>
      <c r="C21" s="7"/>
      <c r="D21" s="7"/>
      <c r="E21" s="7"/>
      <c r="F21" s="7"/>
      <c r="G21" s="7"/>
      <c r="H21" s="7"/>
      <c r="I21" s="7"/>
      <c r="J21" s="7"/>
      <c r="K21" s="7"/>
      <c r="L21" s="7"/>
      <c r="M21" s="7"/>
      <c r="N21" s="7"/>
      <c r="O21" s="7"/>
      <c r="P21" s="7"/>
      <c r="Q21" s="7"/>
      <c r="R21" s="7"/>
      <c r="S21" s="7"/>
      <c r="T21" s="7"/>
      <c r="U21" s="7"/>
      <c r="V21" s="7"/>
      <c r="W21" s="7"/>
      <c r="X21" s="7"/>
      <c r="Y21" s="7"/>
      <c r="Z21" s="7"/>
    </row>
    <row r="22" ht="19.5" customHeight="1">
      <c r="A22" s="7"/>
      <c r="B22" s="7"/>
      <c r="C22" s="7"/>
      <c r="D22" s="7"/>
      <c r="E22" s="7"/>
      <c r="F22" s="7"/>
      <c r="G22" s="7"/>
      <c r="H22" s="7"/>
      <c r="I22" s="7"/>
      <c r="J22" s="7"/>
      <c r="K22" s="7"/>
      <c r="L22" s="7"/>
      <c r="M22" s="7"/>
      <c r="N22" s="7"/>
      <c r="O22" s="7"/>
      <c r="P22" s="7"/>
      <c r="Q22" s="7"/>
      <c r="R22" s="7"/>
      <c r="S22" s="7"/>
      <c r="T22" s="7"/>
      <c r="U22" s="7"/>
      <c r="V22" s="7"/>
      <c r="W22" s="7"/>
      <c r="X22" s="7"/>
      <c r="Y22" s="7"/>
      <c r="Z22" s="7"/>
    </row>
    <row r="23" ht="19.5" customHeight="1">
      <c r="A23" s="7"/>
      <c r="B23" s="7"/>
      <c r="C23" s="7"/>
      <c r="D23" s="7"/>
      <c r="E23" s="7"/>
      <c r="F23" s="7"/>
      <c r="G23" s="7"/>
      <c r="H23" s="7"/>
      <c r="I23" s="7"/>
      <c r="J23" s="7"/>
      <c r="K23" s="7"/>
      <c r="L23" s="7"/>
      <c r="M23" s="7"/>
      <c r="N23" s="7"/>
      <c r="O23" s="7"/>
      <c r="P23" s="7"/>
      <c r="Q23" s="7"/>
      <c r="R23" s="7"/>
      <c r="S23" s="7"/>
      <c r="T23" s="7"/>
      <c r="U23" s="7"/>
      <c r="V23" s="7"/>
      <c r="W23" s="7"/>
      <c r="X23" s="7"/>
      <c r="Y23" s="7"/>
      <c r="Z23" s="7"/>
    </row>
    <row r="24" ht="19.5" customHeight="1">
      <c r="A24" s="7"/>
      <c r="B24" s="7"/>
      <c r="C24" s="7"/>
      <c r="D24" s="7"/>
      <c r="E24" s="7"/>
      <c r="F24" s="7"/>
      <c r="G24" s="7"/>
      <c r="H24" s="7"/>
      <c r="I24" s="7"/>
      <c r="J24" s="7"/>
      <c r="K24" s="7"/>
      <c r="L24" s="7"/>
      <c r="M24" s="7"/>
      <c r="N24" s="7"/>
      <c r="O24" s="7"/>
      <c r="P24" s="7"/>
      <c r="Q24" s="7"/>
      <c r="R24" s="7"/>
      <c r="S24" s="7"/>
      <c r="T24" s="7"/>
      <c r="U24" s="7"/>
      <c r="V24" s="7"/>
      <c r="W24" s="7"/>
      <c r="X24" s="7"/>
      <c r="Y24" s="7"/>
      <c r="Z24" s="7"/>
    </row>
    <row r="25" ht="19.5" customHeight="1">
      <c r="A25" s="7"/>
      <c r="B25" s="7"/>
      <c r="C25" s="7"/>
      <c r="D25" s="7"/>
      <c r="E25" s="7"/>
      <c r="F25" s="7"/>
      <c r="G25" s="7"/>
      <c r="H25" s="7"/>
      <c r="I25" s="7"/>
      <c r="J25" s="7"/>
      <c r="K25" s="7"/>
      <c r="L25" s="7"/>
      <c r="M25" s="7"/>
      <c r="N25" s="7"/>
      <c r="O25" s="7"/>
      <c r="P25" s="7"/>
      <c r="Q25" s="7"/>
      <c r="R25" s="7"/>
      <c r="S25" s="7"/>
      <c r="T25" s="7"/>
      <c r="U25" s="7"/>
      <c r="V25" s="7"/>
      <c r="W25" s="7"/>
      <c r="X25" s="7"/>
      <c r="Y25" s="7"/>
      <c r="Z25" s="7"/>
    </row>
    <row r="26" ht="19.5" customHeight="1">
      <c r="A26" s="7"/>
      <c r="B26" s="7"/>
      <c r="C26" s="7"/>
      <c r="D26" s="7"/>
      <c r="E26" s="7"/>
      <c r="F26" s="7"/>
      <c r="G26" s="7"/>
      <c r="H26" s="7"/>
      <c r="I26" s="7"/>
      <c r="J26" s="7"/>
      <c r="K26" s="7"/>
      <c r="L26" s="7"/>
      <c r="M26" s="7"/>
      <c r="N26" s="7"/>
      <c r="O26" s="7"/>
      <c r="P26" s="7"/>
      <c r="Q26" s="7"/>
      <c r="R26" s="7"/>
      <c r="S26" s="7"/>
      <c r="T26" s="7"/>
      <c r="U26" s="7"/>
      <c r="V26" s="7"/>
      <c r="W26" s="7"/>
      <c r="X26" s="7"/>
      <c r="Y26" s="7"/>
      <c r="Z26" s="7"/>
    </row>
    <row r="27" ht="19.5" customHeight="1">
      <c r="A27" s="7"/>
      <c r="B27" s="7"/>
      <c r="C27" s="7"/>
      <c r="D27" s="7"/>
      <c r="E27" s="7"/>
      <c r="F27" s="7"/>
      <c r="G27" s="7"/>
      <c r="H27" s="7"/>
      <c r="I27" s="7"/>
      <c r="J27" s="7"/>
      <c r="K27" s="7"/>
      <c r="L27" s="7"/>
      <c r="M27" s="7"/>
      <c r="N27" s="7"/>
      <c r="O27" s="7"/>
      <c r="P27" s="7"/>
      <c r="Q27" s="7"/>
      <c r="R27" s="7"/>
      <c r="S27" s="7"/>
      <c r="T27" s="7"/>
      <c r="U27" s="7"/>
      <c r="V27" s="7"/>
      <c r="W27" s="7"/>
      <c r="X27" s="7"/>
      <c r="Y27" s="7"/>
      <c r="Z27" s="7"/>
    </row>
    <row r="28" ht="19.5" customHeight="1">
      <c r="A28" s="7"/>
      <c r="B28" s="7"/>
      <c r="C28" s="7"/>
      <c r="D28" s="7"/>
      <c r="E28" s="7"/>
      <c r="F28" s="7"/>
      <c r="G28" s="7"/>
      <c r="H28" s="7"/>
      <c r="I28" s="7"/>
      <c r="J28" s="7"/>
      <c r="K28" s="7"/>
      <c r="L28" s="7"/>
      <c r="M28" s="7"/>
      <c r="N28" s="7"/>
      <c r="O28" s="7"/>
      <c r="P28" s="7"/>
      <c r="Q28" s="7"/>
      <c r="R28" s="7"/>
      <c r="S28" s="7"/>
      <c r="T28" s="7"/>
      <c r="U28" s="7"/>
      <c r="V28" s="7"/>
      <c r="W28" s="7"/>
      <c r="X28" s="7"/>
      <c r="Y28" s="7"/>
      <c r="Z28" s="7"/>
    </row>
    <row r="29" ht="19.5" customHeight="1">
      <c r="A29" s="7"/>
      <c r="B29" s="7"/>
      <c r="C29" s="7"/>
      <c r="D29" s="7"/>
      <c r="E29" s="7"/>
      <c r="F29" s="7"/>
      <c r="G29" s="7"/>
      <c r="H29" s="7"/>
      <c r="I29" s="7"/>
      <c r="J29" s="7"/>
      <c r="K29" s="7"/>
      <c r="L29" s="7"/>
      <c r="M29" s="7"/>
      <c r="N29" s="7"/>
      <c r="O29" s="7"/>
      <c r="P29" s="7"/>
      <c r="Q29" s="7"/>
      <c r="R29" s="7"/>
      <c r="S29" s="7"/>
      <c r="T29" s="7"/>
      <c r="U29" s="7"/>
      <c r="V29" s="7"/>
      <c r="W29" s="7"/>
      <c r="X29" s="7"/>
      <c r="Y29" s="7"/>
      <c r="Z29" s="7"/>
    </row>
    <row r="30" ht="19.5" customHeight="1">
      <c r="A30" s="7"/>
      <c r="B30" s="7"/>
      <c r="C30" s="7"/>
      <c r="D30" s="7"/>
      <c r="E30" s="7"/>
      <c r="F30" s="7"/>
      <c r="G30" s="7"/>
      <c r="H30" s="7"/>
      <c r="I30" s="7"/>
      <c r="J30" s="7"/>
      <c r="K30" s="7"/>
      <c r="L30" s="7"/>
      <c r="M30" s="7"/>
      <c r="N30" s="7"/>
      <c r="O30" s="7"/>
      <c r="P30" s="7"/>
      <c r="Q30" s="7"/>
      <c r="R30" s="7"/>
      <c r="S30" s="7"/>
      <c r="T30" s="7"/>
      <c r="U30" s="7"/>
      <c r="V30" s="7"/>
      <c r="W30" s="7"/>
      <c r="X30" s="7"/>
      <c r="Y30" s="7"/>
      <c r="Z30" s="7"/>
    </row>
    <row r="31" ht="19.5" customHeight="1">
      <c r="A31" s="7"/>
      <c r="B31" s="7"/>
      <c r="C31" s="7"/>
      <c r="D31" s="7"/>
      <c r="E31" s="7"/>
      <c r="F31" s="7"/>
      <c r="G31" s="7"/>
      <c r="H31" s="7"/>
      <c r="I31" s="7"/>
      <c r="J31" s="7"/>
      <c r="K31" s="7"/>
      <c r="L31" s="7"/>
      <c r="M31" s="7"/>
      <c r="N31" s="7"/>
      <c r="O31" s="7"/>
      <c r="P31" s="7"/>
      <c r="Q31" s="7"/>
      <c r="R31" s="7"/>
      <c r="S31" s="7"/>
      <c r="T31" s="7"/>
      <c r="U31" s="7"/>
      <c r="V31" s="7"/>
      <c r="W31" s="7"/>
      <c r="X31" s="7"/>
      <c r="Y31" s="7"/>
      <c r="Z31" s="7"/>
    </row>
    <row r="32" ht="19.5" customHeight="1">
      <c r="A32" s="7"/>
      <c r="B32" s="7"/>
      <c r="C32" s="7"/>
      <c r="D32" s="7"/>
      <c r="E32" s="7"/>
      <c r="F32" s="7"/>
      <c r="G32" s="7"/>
      <c r="H32" s="7"/>
      <c r="I32" s="7"/>
      <c r="J32" s="7"/>
      <c r="K32" s="7"/>
      <c r="L32" s="7"/>
      <c r="M32" s="7"/>
      <c r="N32" s="7"/>
      <c r="O32" s="7"/>
      <c r="P32" s="7"/>
      <c r="Q32" s="7"/>
      <c r="R32" s="7"/>
      <c r="S32" s="7"/>
      <c r="T32" s="7"/>
      <c r="U32" s="7"/>
      <c r="V32" s="7"/>
      <c r="W32" s="7"/>
      <c r="X32" s="7"/>
      <c r="Y32" s="7"/>
      <c r="Z32" s="7"/>
    </row>
    <row r="33" ht="19.5" customHeight="1">
      <c r="A33" s="7"/>
      <c r="B33" s="7"/>
      <c r="C33" s="7"/>
      <c r="D33" s="7"/>
      <c r="E33" s="7"/>
      <c r="F33" s="7"/>
      <c r="G33" s="7"/>
      <c r="H33" s="7"/>
      <c r="I33" s="7"/>
      <c r="J33" s="7"/>
      <c r="K33" s="7"/>
      <c r="L33" s="7"/>
      <c r="M33" s="7"/>
      <c r="N33" s="7"/>
      <c r="O33" s="7"/>
      <c r="P33" s="7"/>
      <c r="Q33" s="7"/>
      <c r="R33" s="7"/>
      <c r="S33" s="7"/>
      <c r="T33" s="7"/>
      <c r="U33" s="7"/>
      <c r="V33" s="7"/>
      <c r="W33" s="7"/>
      <c r="X33" s="7"/>
      <c r="Y33" s="7"/>
      <c r="Z33" s="7"/>
    </row>
    <row r="34" ht="19.5" customHeight="1">
      <c r="A34" s="7"/>
      <c r="B34" s="7"/>
      <c r="C34" s="7"/>
      <c r="D34" s="7"/>
      <c r="E34" s="7"/>
      <c r="F34" s="7"/>
      <c r="G34" s="7"/>
      <c r="H34" s="7"/>
      <c r="I34" s="7"/>
      <c r="J34" s="7"/>
      <c r="K34" s="7"/>
      <c r="L34" s="7"/>
      <c r="M34" s="7"/>
      <c r="N34" s="7"/>
      <c r="O34" s="7"/>
      <c r="P34" s="7"/>
      <c r="Q34" s="7"/>
      <c r="R34" s="7"/>
      <c r="S34" s="7"/>
      <c r="T34" s="7"/>
      <c r="U34" s="7"/>
      <c r="V34" s="7"/>
      <c r="W34" s="7"/>
      <c r="X34" s="7"/>
      <c r="Y34" s="7"/>
      <c r="Z34" s="7"/>
    </row>
    <row r="35" ht="19.5" customHeight="1">
      <c r="A35" s="7"/>
      <c r="B35" s="7"/>
      <c r="C35" s="7"/>
      <c r="D35" s="7"/>
      <c r="E35" s="7"/>
      <c r="F35" s="7"/>
      <c r="G35" s="7"/>
      <c r="H35" s="7"/>
      <c r="I35" s="7"/>
      <c r="J35" s="7"/>
      <c r="K35" s="7"/>
      <c r="L35" s="7"/>
      <c r="M35" s="7"/>
      <c r="N35" s="7"/>
      <c r="O35" s="7"/>
      <c r="P35" s="7"/>
      <c r="Q35" s="7"/>
      <c r="R35" s="7"/>
      <c r="S35" s="7"/>
      <c r="T35" s="7"/>
      <c r="U35" s="7"/>
      <c r="V35" s="7"/>
      <c r="W35" s="7"/>
      <c r="X35" s="7"/>
      <c r="Y35" s="7"/>
      <c r="Z35" s="7"/>
    </row>
    <row r="36" ht="19.5" customHeight="1">
      <c r="A36" s="7"/>
      <c r="B36" s="7"/>
      <c r="C36" s="7"/>
      <c r="D36" s="7"/>
      <c r="E36" s="7"/>
      <c r="F36" s="7"/>
      <c r="G36" s="7"/>
      <c r="H36" s="7"/>
      <c r="I36" s="7"/>
      <c r="J36" s="7"/>
      <c r="K36" s="7"/>
      <c r="L36" s="7"/>
      <c r="M36" s="7"/>
      <c r="N36" s="7"/>
      <c r="O36" s="7"/>
      <c r="P36" s="7"/>
      <c r="Q36" s="7"/>
      <c r="R36" s="7"/>
      <c r="S36" s="7"/>
      <c r="T36" s="7"/>
      <c r="U36" s="7"/>
      <c r="V36" s="7"/>
      <c r="W36" s="7"/>
      <c r="X36" s="7"/>
      <c r="Y36" s="7"/>
      <c r="Z36" s="7"/>
    </row>
    <row r="37" ht="19.5" customHeight="1">
      <c r="A37" s="7"/>
      <c r="B37" s="7"/>
      <c r="C37" s="7"/>
      <c r="D37" s="7"/>
      <c r="E37" s="7"/>
      <c r="F37" s="7"/>
      <c r="G37" s="7"/>
      <c r="H37" s="7"/>
      <c r="I37" s="7"/>
      <c r="J37" s="7"/>
      <c r="K37" s="7"/>
      <c r="L37" s="7"/>
      <c r="M37" s="7"/>
      <c r="N37" s="7"/>
      <c r="O37" s="7"/>
      <c r="P37" s="7"/>
      <c r="Q37" s="7"/>
      <c r="R37" s="7"/>
      <c r="S37" s="7"/>
      <c r="T37" s="7"/>
      <c r="U37" s="7"/>
      <c r="V37" s="7"/>
      <c r="W37" s="7"/>
      <c r="X37" s="7"/>
      <c r="Y37" s="7"/>
      <c r="Z37" s="7"/>
    </row>
    <row r="38" ht="19.5" customHeight="1">
      <c r="A38" s="7"/>
      <c r="B38" s="7"/>
      <c r="C38" s="7"/>
      <c r="D38" s="7"/>
      <c r="E38" s="7"/>
      <c r="F38" s="7"/>
      <c r="G38" s="7"/>
      <c r="H38" s="7"/>
      <c r="I38" s="7"/>
      <c r="J38" s="7"/>
      <c r="K38" s="7"/>
      <c r="L38" s="7"/>
      <c r="M38" s="7"/>
      <c r="N38" s="7"/>
      <c r="O38" s="7"/>
      <c r="P38" s="7"/>
      <c r="Q38" s="7"/>
      <c r="R38" s="7"/>
      <c r="S38" s="7"/>
      <c r="T38" s="7"/>
      <c r="U38" s="7"/>
      <c r="V38" s="7"/>
      <c r="W38" s="7"/>
      <c r="X38" s="7"/>
      <c r="Y38" s="7"/>
      <c r="Z38" s="7"/>
    </row>
    <row r="39" ht="19.5" customHeight="1">
      <c r="A39" s="7"/>
      <c r="B39" s="7"/>
      <c r="C39" s="7"/>
      <c r="D39" s="7"/>
      <c r="E39" s="7"/>
      <c r="F39" s="7"/>
      <c r="G39" s="7"/>
      <c r="H39" s="7"/>
      <c r="I39" s="7"/>
      <c r="J39" s="7"/>
      <c r="K39" s="7"/>
      <c r="L39" s="7"/>
      <c r="M39" s="7"/>
      <c r="N39" s="7"/>
      <c r="O39" s="7"/>
      <c r="P39" s="7"/>
      <c r="Q39" s="7"/>
      <c r="R39" s="7"/>
      <c r="S39" s="7"/>
      <c r="T39" s="7"/>
      <c r="U39" s="7"/>
      <c r="V39" s="7"/>
      <c r="W39" s="7"/>
      <c r="X39" s="7"/>
      <c r="Y39" s="7"/>
      <c r="Z39" s="7"/>
    </row>
    <row r="40" ht="19.5" customHeight="1">
      <c r="A40" s="7"/>
      <c r="B40" s="7"/>
      <c r="C40" s="7"/>
      <c r="D40" s="7"/>
      <c r="E40" s="7"/>
      <c r="F40" s="7"/>
      <c r="G40" s="7"/>
      <c r="H40" s="7"/>
      <c r="I40" s="7"/>
      <c r="J40" s="7"/>
      <c r="K40" s="7"/>
      <c r="L40" s="7"/>
      <c r="M40" s="7"/>
      <c r="N40" s="7"/>
      <c r="O40" s="7"/>
      <c r="P40" s="7"/>
      <c r="Q40" s="7"/>
      <c r="R40" s="7"/>
      <c r="S40" s="7"/>
      <c r="T40" s="7"/>
      <c r="U40" s="7"/>
      <c r="V40" s="7"/>
      <c r="W40" s="7"/>
      <c r="X40" s="7"/>
      <c r="Y40" s="7"/>
      <c r="Z40" s="7"/>
    </row>
    <row r="41" ht="19.5" customHeight="1">
      <c r="A41" s="7"/>
      <c r="B41" s="7"/>
      <c r="C41" s="7"/>
      <c r="D41" s="7"/>
      <c r="E41" s="7"/>
      <c r="F41" s="7"/>
      <c r="G41" s="7"/>
      <c r="H41" s="7"/>
      <c r="I41" s="7"/>
      <c r="J41" s="7"/>
      <c r="K41" s="7"/>
      <c r="L41" s="7"/>
      <c r="M41" s="7"/>
      <c r="N41" s="7"/>
      <c r="O41" s="7"/>
      <c r="P41" s="7"/>
      <c r="Q41" s="7"/>
      <c r="R41" s="7"/>
      <c r="S41" s="7"/>
      <c r="T41" s="7"/>
      <c r="U41" s="7"/>
      <c r="V41" s="7"/>
      <c r="W41" s="7"/>
      <c r="X41" s="7"/>
      <c r="Y41" s="7"/>
      <c r="Z41" s="7"/>
    </row>
    <row r="42" ht="19.5" customHeight="1">
      <c r="A42" s="7"/>
      <c r="B42" s="7"/>
      <c r="C42" s="7"/>
      <c r="D42" s="7"/>
      <c r="E42" s="7"/>
      <c r="F42" s="7"/>
      <c r="G42" s="7"/>
      <c r="H42" s="7"/>
      <c r="I42" s="7"/>
      <c r="J42" s="7"/>
      <c r="K42" s="7"/>
      <c r="L42" s="7"/>
      <c r="M42" s="7"/>
      <c r="N42" s="7"/>
      <c r="O42" s="7"/>
      <c r="P42" s="7"/>
      <c r="Q42" s="7"/>
      <c r="R42" s="7"/>
      <c r="S42" s="7"/>
      <c r="T42" s="7"/>
      <c r="U42" s="7"/>
      <c r="V42" s="7"/>
      <c r="W42" s="7"/>
      <c r="X42" s="7"/>
      <c r="Y42" s="7"/>
      <c r="Z42" s="7"/>
    </row>
    <row r="43" ht="19.5" customHeight="1">
      <c r="A43" s="7"/>
      <c r="B43" s="7"/>
      <c r="C43" s="7"/>
      <c r="D43" s="7"/>
      <c r="E43" s="7"/>
      <c r="F43" s="7"/>
      <c r="G43" s="7"/>
      <c r="H43" s="7"/>
      <c r="I43" s="7"/>
      <c r="J43" s="7"/>
      <c r="K43" s="7"/>
      <c r="L43" s="7"/>
      <c r="M43" s="7"/>
      <c r="N43" s="7"/>
      <c r="O43" s="7"/>
      <c r="P43" s="7"/>
      <c r="Q43" s="7"/>
      <c r="R43" s="7"/>
      <c r="S43" s="7"/>
      <c r="T43" s="7"/>
      <c r="U43" s="7"/>
      <c r="V43" s="7"/>
      <c r="W43" s="7"/>
      <c r="X43" s="7"/>
      <c r="Y43" s="7"/>
      <c r="Z43" s="7"/>
    </row>
    <row r="44" ht="19.5" customHeight="1">
      <c r="A44" s="7"/>
      <c r="B44" s="7"/>
      <c r="C44" s="7"/>
      <c r="D44" s="7"/>
      <c r="E44" s="7"/>
      <c r="F44" s="7"/>
      <c r="G44" s="7"/>
      <c r="H44" s="7"/>
      <c r="I44" s="7"/>
      <c r="J44" s="7"/>
      <c r="K44" s="7"/>
      <c r="L44" s="7"/>
      <c r="M44" s="7"/>
      <c r="N44" s="7"/>
      <c r="O44" s="7"/>
      <c r="P44" s="7"/>
      <c r="Q44" s="7"/>
      <c r="R44" s="7"/>
      <c r="S44" s="7"/>
      <c r="T44" s="7"/>
      <c r="U44" s="7"/>
      <c r="V44" s="7"/>
      <c r="W44" s="7"/>
      <c r="X44" s="7"/>
      <c r="Y44" s="7"/>
      <c r="Z44" s="7"/>
    </row>
    <row r="45" ht="19.5" customHeight="1">
      <c r="A45" s="7"/>
      <c r="B45" s="7"/>
      <c r="C45" s="7"/>
      <c r="D45" s="7"/>
      <c r="E45" s="7"/>
      <c r="F45" s="7"/>
      <c r="G45" s="7"/>
      <c r="H45" s="7"/>
      <c r="I45" s="7"/>
      <c r="J45" s="7"/>
      <c r="K45" s="7"/>
      <c r="L45" s="7"/>
      <c r="M45" s="7"/>
      <c r="N45" s="7"/>
      <c r="O45" s="7"/>
      <c r="P45" s="7"/>
      <c r="Q45" s="7"/>
      <c r="R45" s="7"/>
      <c r="S45" s="7"/>
      <c r="T45" s="7"/>
      <c r="U45" s="7"/>
      <c r="V45" s="7"/>
      <c r="W45" s="7"/>
      <c r="X45" s="7"/>
      <c r="Y45" s="7"/>
      <c r="Z45" s="7"/>
    </row>
    <row r="46" ht="19.5" customHeight="1">
      <c r="A46" s="7"/>
      <c r="B46" s="7"/>
      <c r="C46" s="7"/>
      <c r="D46" s="7"/>
      <c r="E46" s="7"/>
      <c r="F46" s="7"/>
      <c r="G46" s="7"/>
      <c r="H46" s="7"/>
      <c r="I46" s="7"/>
      <c r="J46" s="7"/>
      <c r="K46" s="7"/>
      <c r="L46" s="7"/>
      <c r="M46" s="7"/>
      <c r="N46" s="7"/>
      <c r="O46" s="7"/>
      <c r="P46" s="7"/>
      <c r="Q46" s="7"/>
      <c r="R46" s="7"/>
      <c r="S46" s="7"/>
      <c r="T46" s="7"/>
      <c r="U46" s="7"/>
      <c r="V46" s="7"/>
      <c r="W46" s="7"/>
      <c r="X46" s="7"/>
      <c r="Y46" s="7"/>
      <c r="Z46" s="7"/>
    </row>
    <row r="47" ht="19.5" customHeight="1">
      <c r="A47" s="7"/>
      <c r="B47" s="7"/>
      <c r="C47" s="7"/>
      <c r="D47" s="7"/>
      <c r="E47" s="7"/>
      <c r="F47" s="7"/>
      <c r="G47" s="7"/>
      <c r="H47" s="7"/>
      <c r="I47" s="7"/>
      <c r="J47" s="7"/>
      <c r="K47" s="7"/>
      <c r="L47" s="7"/>
      <c r="M47" s="7"/>
      <c r="N47" s="7"/>
      <c r="O47" s="7"/>
      <c r="P47" s="7"/>
      <c r="Q47" s="7"/>
      <c r="R47" s="7"/>
      <c r="S47" s="7"/>
      <c r="T47" s="7"/>
      <c r="U47" s="7"/>
      <c r="V47" s="7"/>
      <c r="W47" s="7"/>
      <c r="X47" s="7"/>
      <c r="Y47" s="7"/>
      <c r="Z47" s="7"/>
    </row>
    <row r="48" ht="19.5" customHeight="1">
      <c r="A48" s="7"/>
      <c r="B48" s="7"/>
      <c r="C48" s="7"/>
      <c r="D48" s="7"/>
      <c r="E48" s="7"/>
      <c r="F48" s="7"/>
      <c r="G48" s="7"/>
      <c r="H48" s="7"/>
      <c r="I48" s="7"/>
      <c r="J48" s="7"/>
      <c r="K48" s="7"/>
      <c r="L48" s="7"/>
      <c r="M48" s="7"/>
      <c r="N48" s="7"/>
      <c r="O48" s="7"/>
      <c r="P48" s="7"/>
      <c r="Q48" s="7"/>
      <c r="R48" s="7"/>
      <c r="S48" s="7"/>
      <c r="T48" s="7"/>
      <c r="U48" s="7"/>
      <c r="V48" s="7"/>
      <c r="W48" s="7"/>
      <c r="X48" s="7"/>
      <c r="Y48" s="7"/>
      <c r="Z48" s="7"/>
    </row>
    <row r="49" ht="19.5" customHeight="1">
      <c r="A49" s="7"/>
      <c r="B49" s="7"/>
      <c r="C49" s="7"/>
      <c r="D49" s="7"/>
      <c r="E49" s="7"/>
      <c r="F49" s="7"/>
      <c r="G49" s="7"/>
      <c r="H49" s="7"/>
      <c r="I49" s="7"/>
      <c r="J49" s="7"/>
      <c r="K49" s="7"/>
      <c r="L49" s="7"/>
      <c r="M49" s="7"/>
      <c r="N49" s="7"/>
      <c r="O49" s="7"/>
      <c r="P49" s="7"/>
      <c r="Q49" s="7"/>
      <c r="R49" s="7"/>
      <c r="S49" s="7"/>
      <c r="T49" s="7"/>
      <c r="U49" s="7"/>
      <c r="V49" s="7"/>
      <c r="W49" s="7"/>
      <c r="X49" s="7"/>
      <c r="Y49" s="7"/>
      <c r="Z49" s="7"/>
    </row>
    <row r="50" ht="19.5" customHeight="1">
      <c r="A50" s="7"/>
      <c r="B50" s="7"/>
      <c r="C50" s="7"/>
      <c r="D50" s="7"/>
      <c r="E50" s="7"/>
      <c r="F50" s="7"/>
      <c r="G50" s="7"/>
      <c r="H50" s="7"/>
      <c r="I50" s="7"/>
      <c r="J50" s="7"/>
      <c r="K50" s="7"/>
      <c r="L50" s="7"/>
      <c r="M50" s="7"/>
      <c r="N50" s="7"/>
      <c r="O50" s="7"/>
      <c r="P50" s="7"/>
      <c r="Q50" s="7"/>
      <c r="R50" s="7"/>
      <c r="S50" s="7"/>
      <c r="T50" s="7"/>
      <c r="U50" s="7"/>
      <c r="V50" s="7"/>
      <c r="W50" s="7"/>
      <c r="X50" s="7"/>
      <c r="Y50" s="7"/>
      <c r="Z50" s="7"/>
    </row>
    <row r="51" ht="19.5" customHeight="1">
      <c r="A51" s="7"/>
      <c r="B51" s="7"/>
      <c r="C51" s="7"/>
      <c r="D51" s="7"/>
      <c r="E51" s="7"/>
      <c r="F51" s="7"/>
      <c r="G51" s="7"/>
      <c r="H51" s="7"/>
      <c r="I51" s="7"/>
      <c r="J51" s="7"/>
      <c r="K51" s="7"/>
      <c r="L51" s="7"/>
      <c r="M51" s="7"/>
      <c r="N51" s="7"/>
      <c r="O51" s="7"/>
      <c r="P51" s="7"/>
      <c r="Q51" s="7"/>
      <c r="R51" s="7"/>
      <c r="S51" s="7"/>
      <c r="T51" s="7"/>
      <c r="U51" s="7"/>
      <c r="V51" s="7"/>
      <c r="W51" s="7"/>
      <c r="X51" s="7"/>
      <c r="Y51" s="7"/>
      <c r="Z51" s="7"/>
    </row>
    <row r="52" ht="19.5" customHeight="1">
      <c r="A52" s="7"/>
      <c r="B52" s="7"/>
      <c r="C52" s="7"/>
      <c r="D52" s="7"/>
      <c r="E52" s="7"/>
      <c r="F52" s="7"/>
      <c r="G52" s="7"/>
      <c r="H52" s="7"/>
      <c r="I52" s="7"/>
      <c r="J52" s="7"/>
      <c r="K52" s="7"/>
      <c r="L52" s="7"/>
      <c r="M52" s="7"/>
      <c r="N52" s="7"/>
      <c r="O52" s="7"/>
      <c r="P52" s="7"/>
      <c r="Q52" s="7"/>
      <c r="R52" s="7"/>
      <c r="S52" s="7"/>
      <c r="T52" s="7"/>
      <c r="U52" s="7"/>
      <c r="V52" s="7"/>
      <c r="W52" s="7"/>
      <c r="X52" s="7"/>
      <c r="Y52" s="7"/>
      <c r="Z52" s="7"/>
    </row>
    <row r="53" ht="19.5" customHeight="1">
      <c r="A53" s="7"/>
      <c r="B53" s="7"/>
      <c r="C53" s="7"/>
      <c r="D53" s="7"/>
      <c r="E53" s="7"/>
      <c r="F53" s="7"/>
      <c r="G53" s="7"/>
      <c r="H53" s="7"/>
      <c r="I53" s="7"/>
      <c r="J53" s="7"/>
      <c r="K53" s="7"/>
      <c r="L53" s="7"/>
      <c r="M53" s="7"/>
      <c r="N53" s="7"/>
      <c r="O53" s="7"/>
      <c r="P53" s="7"/>
      <c r="Q53" s="7"/>
      <c r="R53" s="7"/>
      <c r="S53" s="7"/>
      <c r="T53" s="7"/>
      <c r="U53" s="7"/>
      <c r="V53" s="7"/>
      <c r="W53" s="7"/>
      <c r="X53" s="7"/>
      <c r="Y53" s="7"/>
      <c r="Z53" s="7"/>
    </row>
    <row r="54" ht="19.5" customHeight="1">
      <c r="A54" s="7"/>
      <c r="B54" s="7"/>
      <c r="C54" s="7"/>
      <c r="D54" s="7"/>
      <c r="E54" s="7"/>
      <c r="F54" s="7"/>
      <c r="G54" s="7"/>
      <c r="H54" s="7"/>
      <c r="I54" s="7"/>
      <c r="J54" s="7"/>
      <c r="K54" s="7"/>
      <c r="L54" s="7"/>
      <c r="M54" s="7"/>
      <c r="N54" s="7"/>
      <c r="O54" s="7"/>
      <c r="P54" s="7"/>
      <c r="Q54" s="7"/>
      <c r="R54" s="7"/>
      <c r="S54" s="7"/>
      <c r="T54" s="7"/>
      <c r="U54" s="7"/>
      <c r="V54" s="7"/>
      <c r="W54" s="7"/>
      <c r="X54" s="7"/>
      <c r="Y54" s="7"/>
      <c r="Z54" s="7"/>
    </row>
    <row r="55" ht="19.5" customHeight="1">
      <c r="A55" s="7"/>
      <c r="B55" s="7"/>
      <c r="C55" s="7"/>
      <c r="D55" s="7"/>
      <c r="E55" s="7"/>
      <c r="F55" s="7"/>
      <c r="G55" s="7"/>
      <c r="H55" s="7"/>
      <c r="I55" s="7"/>
      <c r="J55" s="7"/>
      <c r="K55" s="7"/>
      <c r="L55" s="7"/>
      <c r="M55" s="7"/>
      <c r="N55" s="7"/>
      <c r="O55" s="7"/>
      <c r="P55" s="7"/>
      <c r="Q55" s="7"/>
      <c r="R55" s="7"/>
      <c r="S55" s="7"/>
      <c r="T55" s="7"/>
      <c r="U55" s="7"/>
      <c r="V55" s="7"/>
      <c r="W55" s="7"/>
      <c r="X55" s="7"/>
      <c r="Y55" s="7"/>
      <c r="Z55" s="7"/>
    </row>
    <row r="56" ht="19.5" customHeight="1">
      <c r="A56" s="7"/>
      <c r="B56" s="7"/>
      <c r="C56" s="7"/>
      <c r="D56" s="7"/>
      <c r="E56" s="7"/>
      <c r="F56" s="7"/>
      <c r="G56" s="7"/>
      <c r="H56" s="7"/>
      <c r="I56" s="7"/>
      <c r="J56" s="7"/>
      <c r="K56" s="7"/>
      <c r="L56" s="7"/>
      <c r="M56" s="7"/>
      <c r="N56" s="7"/>
      <c r="O56" s="7"/>
      <c r="P56" s="7"/>
      <c r="Q56" s="7"/>
      <c r="R56" s="7"/>
      <c r="S56" s="7"/>
      <c r="T56" s="7"/>
      <c r="U56" s="7"/>
      <c r="V56" s="7"/>
      <c r="W56" s="7"/>
      <c r="X56" s="7"/>
      <c r="Y56" s="7"/>
      <c r="Z56" s="7"/>
    </row>
    <row r="57" ht="19.5" customHeight="1">
      <c r="A57" s="7"/>
      <c r="B57" s="7"/>
      <c r="C57" s="7"/>
      <c r="D57" s="7"/>
      <c r="E57" s="7"/>
      <c r="F57" s="7"/>
      <c r="G57" s="7"/>
      <c r="H57" s="7"/>
      <c r="I57" s="7"/>
      <c r="J57" s="7"/>
      <c r="K57" s="7"/>
      <c r="L57" s="7"/>
      <c r="M57" s="7"/>
      <c r="N57" s="7"/>
      <c r="O57" s="7"/>
      <c r="P57" s="7"/>
      <c r="Q57" s="7"/>
      <c r="R57" s="7"/>
      <c r="S57" s="7"/>
      <c r="T57" s="7"/>
      <c r="U57" s="7"/>
      <c r="V57" s="7"/>
      <c r="W57" s="7"/>
      <c r="X57" s="7"/>
      <c r="Y57" s="7"/>
      <c r="Z57" s="7"/>
    </row>
    <row r="58" ht="19.5" customHeight="1">
      <c r="A58" s="7"/>
      <c r="B58" s="7"/>
      <c r="C58" s="7"/>
      <c r="D58" s="7"/>
      <c r="E58" s="7"/>
      <c r="F58" s="7"/>
      <c r="G58" s="7"/>
      <c r="H58" s="7"/>
      <c r="I58" s="7"/>
      <c r="J58" s="7"/>
      <c r="K58" s="7"/>
      <c r="L58" s="7"/>
      <c r="M58" s="7"/>
      <c r="N58" s="7"/>
      <c r="O58" s="7"/>
      <c r="P58" s="7"/>
      <c r="Q58" s="7"/>
      <c r="R58" s="7"/>
      <c r="S58" s="7"/>
      <c r="T58" s="7"/>
      <c r="U58" s="7"/>
      <c r="V58" s="7"/>
      <c r="W58" s="7"/>
      <c r="X58" s="7"/>
      <c r="Y58" s="7"/>
      <c r="Z58" s="7"/>
    </row>
    <row r="59" ht="19.5" customHeight="1">
      <c r="A59" s="7"/>
      <c r="B59" s="7"/>
      <c r="C59" s="7"/>
      <c r="D59" s="7"/>
      <c r="E59" s="7"/>
      <c r="F59" s="7"/>
      <c r="G59" s="7"/>
      <c r="H59" s="7"/>
      <c r="I59" s="7"/>
      <c r="J59" s="7"/>
      <c r="K59" s="7"/>
      <c r="L59" s="7"/>
      <c r="M59" s="7"/>
      <c r="N59" s="7"/>
      <c r="O59" s="7"/>
      <c r="P59" s="7"/>
      <c r="Q59" s="7"/>
      <c r="R59" s="7"/>
      <c r="S59" s="7"/>
      <c r="T59" s="7"/>
      <c r="U59" s="7"/>
      <c r="V59" s="7"/>
      <c r="W59" s="7"/>
      <c r="X59" s="7"/>
      <c r="Y59" s="7"/>
      <c r="Z59" s="7"/>
    </row>
    <row r="60" ht="19.5" customHeight="1">
      <c r="A60" s="7"/>
      <c r="B60" s="7"/>
      <c r="C60" s="7"/>
      <c r="D60" s="7"/>
      <c r="E60" s="7"/>
      <c r="F60" s="7"/>
      <c r="G60" s="7"/>
      <c r="H60" s="7"/>
      <c r="I60" s="7"/>
      <c r="J60" s="7"/>
      <c r="K60" s="7"/>
      <c r="L60" s="7"/>
      <c r="M60" s="7"/>
      <c r="N60" s="7"/>
      <c r="O60" s="7"/>
      <c r="P60" s="7"/>
      <c r="Q60" s="7"/>
      <c r="R60" s="7"/>
      <c r="S60" s="7"/>
      <c r="T60" s="7"/>
      <c r="U60" s="7"/>
      <c r="V60" s="7"/>
      <c r="W60" s="7"/>
      <c r="X60" s="7"/>
      <c r="Y60" s="7"/>
      <c r="Z60" s="7"/>
    </row>
    <row r="61" ht="19.5" customHeight="1">
      <c r="A61" s="7"/>
      <c r="B61" s="7"/>
      <c r="C61" s="7"/>
      <c r="D61" s="7"/>
      <c r="E61" s="7"/>
      <c r="F61" s="7"/>
      <c r="G61" s="7"/>
      <c r="H61" s="7"/>
      <c r="I61" s="7"/>
      <c r="J61" s="7"/>
      <c r="K61" s="7"/>
      <c r="L61" s="7"/>
      <c r="M61" s="7"/>
      <c r="N61" s="7"/>
      <c r="O61" s="7"/>
      <c r="P61" s="7"/>
      <c r="Q61" s="7"/>
      <c r="R61" s="7"/>
      <c r="S61" s="7"/>
      <c r="T61" s="7"/>
      <c r="U61" s="7"/>
      <c r="V61" s="7"/>
      <c r="W61" s="7"/>
      <c r="X61" s="7"/>
      <c r="Y61" s="7"/>
      <c r="Z61" s="7"/>
    </row>
    <row r="62" ht="19.5" customHeight="1">
      <c r="A62" s="7"/>
      <c r="B62" s="7"/>
      <c r="C62" s="7"/>
      <c r="D62" s="7"/>
      <c r="E62" s="7"/>
      <c r="F62" s="7"/>
      <c r="G62" s="7"/>
      <c r="H62" s="7"/>
      <c r="I62" s="7"/>
      <c r="J62" s="7"/>
      <c r="K62" s="7"/>
      <c r="L62" s="7"/>
      <c r="M62" s="7"/>
      <c r="N62" s="7"/>
      <c r="O62" s="7"/>
      <c r="P62" s="7"/>
      <c r="Q62" s="7"/>
      <c r="R62" s="7"/>
      <c r="S62" s="7"/>
      <c r="T62" s="7"/>
      <c r="U62" s="7"/>
      <c r="V62" s="7"/>
      <c r="W62" s="7"/>
      <c r="X62" s="7"/>
      <c r="Y62" s="7"/>
      <c r="Z62" s="7"/>
    </row>
    <row r="63" ht="19.5" customHeight="1">
      <c r="A63" s="7"/>
      <c r="B63" s="7"/>
      <c r="C63" s="7"/>
      <c r="D63" s="7"/>
      <c r="E63" s="7"/>
      <c r="F63" s="7"/>
      <c r="G63" s="7"/>
      <c r="H63" s="7"/>
      <c r="I63" s="7"/>
      <c r="J63" s="7"/>
      <c r="K63" s="7"/>
      <c r="L63" s="7"/>
      <c r="M63" s="7"/>
      <c r="N63" s="7"/>
      <c r="O63" s="7"/>
      <c r="P63" s="7"/>
      <c r="Q63" s="7"/>
      <c r="R63" s="7"/>
      <c r="S63" s="7"/>
      <c r="T63" s="7"/>
      <c r="U63" s="7"/>
      <c r="V63" s="7"/>
      <c r="W63" s="7"/>
      <c r="X63" s="7"/>
      <c r="Y63" s="7"/>
      <c r="Z63" s="7"/>
    </row>
    <row r="64" ht="19.5" customHeight="1">
      <c r="A64" s="7"/>
      <c r="B64" s="7"/>
      <c r="C64" s="7"/>
      <c r="D64" s="7"/>
      <c r="E64" s="7"/>
      <c r="F64" s="7"/>
      <c r="G64" s="7"/>
      <c r="H64" s="7"/>
      <c r="I64" s="7"/>
      <c r="J64" s="7"/>
      <c r="K64" s="7"/>
      <c r="L64" s="7"/>
      <c r="M64" s="7"/>
      <c r="N64" s="7"/>
      <c r="O64" s="7"/>
      <c r="P64" s="7"/>
      <c r="Q64" s="7"/>
      <c r="R64" s="7"/>
      <c r="S64" s="7"/>
      <c r="T64" s="7"/>
      <c r="U64" s="7"/>
      <c r="V64" s="7"/>
      <c r="W64" s="7"/>
      <c r="X64" s="7"/>
      <c r="Y64" s="7"/>
      <c r="Z64" s="7"/>
    </row>
    <row r="65" ht="19.5" customHeight="1">
      <c r="A65" s="7"/>
      <c r="B65" s="7"/>
      <c r="C65" s="7"/>
      <c r="D65" s="7"/>
      <c r="E65" s="7"/>
      <c r="F65" s="7"/>
      <c r="G65" s="7"/>
      <c r="H65" s="7"/>
      <c r="I65" s="7"/>
      <c r="J65" s="7"/>
      <c r="K65" s="7"/>
      <c r="L65" s="7"/>
      <c r="M65" s="7"/>
      <c r="N65" s="7"/>
      <c r="O65" s="7"/>
      <c r="P65" s="7"/>
      <c r="Q65" s="7"/>
      <c r="R65" s="7"/>
      <c r="S65" s="7"/>
      <c r="T65" s="7"/>
      <c r="U65" s="7"/>
      <c r="V65" s="7"/>
      <c r="W65" s="7"/>
      <c r="X65" s="7"/>
      <c r="Y65" s="7"/>
      <c r="Z65" s="7"/>
    </row>
    <row r="66" ht="19.5" customHeight="1">
      <c r="A66" s="7"/>
      <c r="B66" s="7"/>
      <c r="C66" s="7"/>
      <c r="D66" s="7"/>
      <c r="E66" s="7"/>
      <c r="F66" s="7"/>
      <c r="G66" s="7"/>
      <c r="H66" s="7"/>
      <c r="I66" s="7"/>
      <c r="J66" s="7"/>
      <c r="K66" s="7"/>
      <c r="L66" s="7"/>
      <c r="M66" s="7"/>
      <c r="N66" s="7"/>
      <c r="O66" s="7"/>
      <c r="P66" s="7"/>
      <c r="Q66" s="7"/>
      <c r="R66" s="7"/>
      <c r="S66" s="7"/>
      <c r="T66" s="7"/>
      <c r="U66" s="7"/>
      <c r="V66" s="7"/>
      <c r="W66" s="7"/>
      <c r="X66" s="7"/>
      <c r="Y66" s="7"/>
      <c r="Z66" s="7"/>
    </row>
    <row r="67" ht="19.5" customHeight="1">
      <c r="A67" s="7"/>
      <c r="B67" s="7"/>
      <c r="C67" s="7"/>
      <c r="D67" s="7"/>
      <c r="E67" s="7"/>
      <c r="F67" s="7"/>
      <c r="G67" s="7"/>
      <c r="H67" s="7"/>
      <c r="I67" s="7"/>
      <c r="J67" s="7"/>
      <c r="K67" s="7"/>
      <c r="L67" s="7"/>
      <c r="M67" s="7"/>
      <c r="N67" s="7"/>
      <c r="O67" s="7"/>
      <c r="P67" s="7"/>
      <c r="Q67" s="7"/>
      <c r="R67" s="7"/>
      <c r="S67" s="7"/>
      <c r="T67" s="7"/>
      <c r="U67" s="7"/>
      <c r="V67" s="7"/>
      <c r="W67" s="7"/>
      <c r="X67" s="7"/>
      <c r="Y67" s="7"/>
      <c r="Z67" s="7"/>
    </row>
    <row r="68" ht="19.5" customHeight="1">
      <c r="A68" s="7"/>
      <c r="B68" s="7"/>
      <c r="C68" s="7"/>
      <c r="D68" s="7"/>
      <c r="E68" s="7"/>
      <c r="F68" s="7"/>
      <c r="G68" s="7"/>
      <c r="H68" s="7"/>
      <c r="I68" s="7"/>
      <c r="J68" s="7"/>
      <c r="K68" s="7"/>
      <c r="L68" s="7"/>
      <c r="M68" s="7"/>
      <c r="N68" s="7"/>
      <c r="O68" s="7"/>
      <c r="P68" s="7"/>
      <c r="Q68" s="7"/>
      <c r="R68" s="7"/>
      <c r="S68" s="7"/>
      <c r="T68" s="7"/>
      <c r="U68" s="7"/>
      <c r="V68" s="7"/>
      <c r="W68" s="7"/>
      <c r="X68" s="7"/>
      <c r="Y68" s="7"/>
      <c r="Z68" s="7"/>
    </row>
    <row r="69" ht="19.5" customHeight="1">
      <c r="A69" s="7"/>
      <c r="B69" s="7"/>
      <c r="C69" s="7"/>
      <c r="D69" s="7"/>
      <c r="E69" s="7"/>
      <c r="F69" s="7"/>
      <c r="G69" s="7"/>
      <c r="H69" s="7"/>
      <c r="I69" s="7"/>
      <c r="J69" s="7"/>
      <c r="K69" s="7"/>
      <c r="L69" s="7"/>
      <c r="M69" s="7"/>
      <c r="N69" s="7"/>
      <c r="O69" s="7"/>
      <c r="P69" s="7"/>
      <c r="Q69" s="7"/>
      <c r="R69" s="7"/>
      <c r="S69" s="7"/>
      <c r="T69" s="7"/>
      <c r="U69" s="7"/>
      <c r="V69" s="7"/>
      <c r="W69" s="7"/>
      <c r="X69" s="7"/>
      <c r="Y69" s="7"/>
      <c r="Z69" s="7"/>
    </row>
    <row r="70" ht="19.5" customHeight="1">
      <c r="A70" s="7"/>
      <c r="B70" s="7"/>
      <c r="C70" s="7"/>
      <c r="D70" s="7"/>
      <c r="E70" s="7"/>
      <c r="F70" s="7"/>
      <c r="G70" s="7"/>
      <c r="H70" s="7"/>
      <c r="I70" s="7"/>
      <c r="J70" s="7"/>
      <c r="K70" s="7"/>
      <c r="L70" s="7"/>
      <c r="M70" s="7"/>
      <c r="N70" s="7"/>
      <c r="O70" s="7"/>
      <c r="P70" s="7"/>
      <c r="Q70" s="7"/>
      <c r="R70" s="7"/>
      <c r="S70" s="7"/>
      <c r="T70" s="7"/>
      <c r="U70" s="7"/>
      <c r="V70" s="7"/>
      <c r="W70" s="7"/>
      <c r="X70" s="7"/>
      <c r="Y70" s="7"/>
      <c r="Z70" s="7"/>
    </row>
    <row r="71" ht="19.5" customHeight="1">
      <c r="A71" s="7"/>
      <c r="B71" s="7"/>
      <c r="C71" s="7"/>
      <c r="D71" s="7"/>
      <c r="E71" s="7"/>
      <c r="F71" s="7"/>
      <c r="G71" s="7"/>
      <c r="H71" s="7"/>
      <c r="I71" s="7"/>
      <c r="J71" s="7"/>
      <c r="K71" s="7"/>
      <c r="L71" s="7"/>
      <c r="M71" s="7"/>
      <c r="N71" s="7"/>
      <c r="O71" s="7"/>
      <c r="P71" s="7"/>
      <c r="Q71" s="7"/>
      <c r="R71" s="7"/>
      <c r="S71" s="7"/>
      <c r="T71" s="7"/>
      <c r="U71" s="7"/>
      <c r="V71" s="7"/>
      <c r="W71" s="7"/>
      <c r="X71" s="7"/>
      <c r="Y71" s="7"/>
      <c r="Z71" s="7"/>
    </row>
    <row r="72" ht="19.5" customHeight="1">
      <c r="A72" s="7"/>
      <c r="B72" s="7"/>
      <c r="C72" s="7"/>
      <c r="D72" s="7"/>
      <c r="E72" s="7"/>
      <c r="F72" s="7"/>
      <c r="G72" s="7"/>
      <c r="H72" s="7"/>
      <c r="I72" s="7"/>
      <c r="J72" s="7"/>
      <c r="K72" s="7"/>
      <c r="L72" s="7"/>
      <c r="M72" s="7"/>
      <c r="N72" s="7"/>
      <c r="O72" s="7"/>
      <c r="P72" s="7"/>
      <c r="Q72" s="7"/>
      <c r="R72" s="7"/>
      <c r="S72" s="7"/>
      <c r="T72" s="7"/>
      <c r="U72" s="7"/>
      <c r="V72" s="7"/>
      <c r="W72" s="7"/>
      <c r="X72" s="7"/>
      <c r="Y72" s="7"/>
      <c r="Z72" s="7"/>
    </row>
    <row r="73" ht="19.5" customHeight="1">
      <c r="A73" s="7"/>
      <c r="B73" s="7"/>
      <c r="C73" s="7"/>
      <c r="D73" s="7"/>
      <c r="E73" s="7"/>
      <c r="F73" s="7"/>
      <c r="G73" s="7"/>
      <c r="H73" s="7"/>
      <c r="I73" s="7"/>
      <c r="J73" s="7"/>
      <c r="K73" s="7"/>
      <c r="L73" s="7"/>
      <c r="M73" s="7"/>
      <c r="N73" s="7"/>
      <c r="O73" s="7"/>
      <c r="P73" s="7"/>
      <c r="Q73" s="7"/>
      <c r="R73" s="7"/>
      <c r="S73" s="7"/>
      <c r="T73" s="7"/>
      <c r="U73" s="7"/>
      <c r="V73" s="7"/>
      <c r="W73" s="7"/>
      <c r="X73" s="7"/>
      <c r="Y73" s="7"/>
      <c r="Z73" s="7"/>
    </row>
    <row r="74" ht="19.5" customHeight="1">
      <c r="A74" s="7"/>
      <c r="B74" s="7"/>
      <c r="C74" s="7"/>
      <c r="D74" s="7"/>
      <c r="E74" s="7"/>
      <c r="F74" s="7"/>
      <c r="G74" s="7"/>
      <c r="H74" s="7"/>
      <c r="I74" s="7"/>
      <c r="J74" s="7"/>
      <c r="K74" s="7"/>
      <c r="L74" s="7"/>
      <c r="M74" s="7"/>
      <c r="N74" s="7"/>
      <c r="O74" s="7"/>
      <c r="P74" s="7"/>
      <c r="Q74" s="7"/>
      <c r="R74" s="7"/>
      <c r="S74" s="7"/>
      <c r="T74" s="7"/>
      <c r="U74" s="7"/>
      <c r="V74" s="7"/>
      <c r="W74" s="7"/>
      <c r="X74" s="7"/>
      <c r="Y74" s="7"/>
      <c r="Z74" s="7"/>
    </row>
    <row r="75" ht="19.5" customHeight="1">
      <c r="A75" s="7"/>
      <c r="B75" s="7"/>
      <c r="C75" s="7"/>
      <c r="D75" s="7"/>
      <c r="E75" s="7"/>
      <c r="F75" s="7"/>
      <c r="G75" s="7"/>
      <c r="H75" s="7"/>
      <c r="I75" s="7"/>
      <c r="J75" s="7"/>
      <c r="K75" s="7"/>
      <c r="L75" s="7"/>
      <c r="M75" s="7"/>
      <c r="N75" s="7"/>
      <c r="O75" s="7"/>
      <c r="P75" s="7"/>
      <c r="Q75" s="7"/>
      <c r="R75" s="7"/>
      <c r="S75" s="7"/>
      <c r="T75" s="7"/>
      <c r="U75" s="7"/>
      <c r="V75" s="7"/>
      <c r="W75" s="7"/>
      <c r="X75" s="7"/>
      <c r="Y75" s="7"/>
      <c r="Z75" s="7"/>
    </row>
    <row r="76" ht="19.5" customHeight="1">
      <c r="A76" s="7"/>
      <c r="B76" s="7"/>
      <c r="C76" s="7"/>
      <c r="D76" s="7"/>
      <c r="E76" s="7"/>
      <c r="F76" s="7"/>
      <c r="G76" s="7"/>
      <c r="H76" s="7"/>
      <c r="I76" s="7"/>
      <c r="J76" s="7"/>
      <c r="K76" s="7"/>
      <c r="L76" s="7"/>
      <c r="M76" s="7"/>
      <c r="N76" s="7"/>
      <c r="O76" s="7"/>
      <c r="P76" s="7"/>
      <c r="Q76" s="7"/>
      <c r="R76" s="7"/>
      <c r="S76" s="7"/>
      <c r="T76" s="7"/>
      <c r="U76" s="7"/>
      <c r="V76" s="7"/>
      <c r="W76" s="7"/>
      <c r="X76" s="7"/>
      <c r="Y76" s="7"/>
      <c r="Z76" s="7"/>
    </row>
    <row r="77" ht="19.5" customHeight="1">
      <c r="A77" s="7"/>
      <c r="B77" s="7"/>
      <c r="C77" s="7"/>
      <c r="D77" s="7"/>
      <c r="E77" s="7"/>
      <c r="F77" s="7"/>
      <c r="G77" s="7"/>
      <c r="H77" s="7"/>
      <c r="I77" s="7"/>
      <c r="J77" s="7"/>
      <c r="K77" s="7"/>
      <c r="L77" s="7"/>
      <c r="M77" s="7"/>
      <c r="N77" s="7"/>
      <c r="O77" s="7"/>
      <c r="P77" s="7"/>
      <c r="Q77" s="7"/>
      <c r="R77" s="7"/>
      <c r="S77" s="7"/>
      <c r="T77" s="7"/>
      <c r="U77" s="7"/>
      <c r="V77" s="7"/>
      <c r="W77" s="7"/>
      <c r="X77" s="7"/>
      <c r="Y77" s="7"/>
      <c r="Z77" s="7"/>
    </row>
    <row r="78" ht="19.5" customHeight="1">
      <c r="A78" s="7"/>
      <c r="B78" s="7"/>
      <c r="C78" s="7"/>
      <c r="D78" s="7"/>
      <c r="E78" s="7"/>
      <c r="F78" s="7"/>
      <c r="G78" s="7"/>
      <c r="H78" s="7"/>
      <c r="I78" s="7"/>
      <c r="J78" s="7"/>
      <c r="K78" s="7"/>
      <c r="L78" s="7"/>
      <c r="M78" s="7"/>
      <c r="N78" s="7"/>
      <c r="O78" s="7"/>
      <c r="P78" s="7"/>
      <c r="Q78" s="7"/>
      <c r="R78" s="7"/>
      <c r="S78" s="7"/>
      <c r="T78" s="7"/>
      <c r="U78" s="7"/>
      <c r="V78" s="7"/>
      <c r="W78" s="7"/>
      <c r="X78" s="7"/>
      <c r="Y78" s="7"/>
      <c r="Z78" s="7"/>
    </row>
    <row r="79" ht="19.5" customHeight="1">
      <c r="A79" s="7"/>
      <c r="B79" s="7"/>
      <c r="C79" s="7"/>
      <c r="D79" s="7"/>
      <c r="E79" s="7"/>
      <c r="F79" s="7"/>
      <c r="G79" s="7"/>
      <c r="H79" s="7"/>
      <c r="I79" s="7"/>
      <c r="J79" s="7"/>
      <c r="K79" s="7"/>
      <c r="L79" s="7"/>
      <c r="M79" s="7"/>
      <c r="N79" s="7"/>
      <c r="O79" s="7"/>
      <c r="P79" s="7"/>
      <c r="Q79" s="7"/>
      <c r="R79" s="7"/>
      <c r="S79" s="7"/>
      <c r="T79" s="7"/>
      <c r="U79" s="7"/>
      <c r="V79" s="7"/>
      <c r="W79" s="7"/>
      <c r="X79" s="7"/>
      <c r="Y79" s="7"/>
      <c r="Z79" s="7"/>
    </row>
    <row r="80" ht="19.5" customHeight="1">
      <c r="A80" s="7"/>
      <c r="B80" s="7"/>
      <c r="C80" s="7"/>
      <c r="D80" s="7"/>
      <c r="E80" s="7"/>
      <c r="F80" s="7"/>
      <c r="G80" s="7"/>
      <c r="H80" s="7"/>
      <c r="I80" s="7"/>
      <c r="J80" s="7"/>
      <c r="K80" s="7"/>
      <c r="L80" s="7"/>
      <c r="M80" s="7"/>
      <c r="N80" s="7"/>
      <c r="O80" s="7"/>
      <c r="P80" s="7"/>
      <c r="Q80" s="7"/>
      <c r="R80" s="7"/>
      <c r="S80" s="7"/>
      <c r="T80" s="7"/>
      <c r="U80" s="7"/>
      <c r="V80" s="7"/>
      <c r="W80" s="7"/>
      <c r="X80" s="7"/>
      <c r="Y80" s="7"/>
      <c r="Z80" s="7"/>
    </row>
    <row r="81" ht="19.5" customHeight="1">
      <c r="A81" s="7"/>
      <c r="B81" s="7"/>
      <c r="C81" s="7"/>
      <c r="D81" s="7"/>
      <c r="E81" s="7"/>
      <c r="F81" s="7"/>
      <c r="G81" s="7"/>
      <c r="H81" s="7"/>
      <c r="I81" s="7"/>
      <c r="J81" s="7"/>
      <c r="K81" s="7"/>
      <c r="L81" s="7"/>
      <c r="M81" s="7"/>
      <c r="N81" s="7"/>
      <c r="O81" s="7"/>
      <c r="P81" s="7"/>
      <c r="Q81" s="7"/>
      <c r="R81" s="7"/>
      <c r="S81" s="7"/>
      <c r="T81" s="7"/>
      <c r="U81" s="7"/>
      <c r="V81" s="7"/>
      <c r="W81" s="7"/>
      <c r="X81" s="7"/>
      <c r="Y81" s="7"/>
      <c r="Z81" s="7"/>
    </row>
    <row r="82" ht="19.5" customHeight="1">
      <c r="A82" s="7"/>
      <c r="B82" s="7"/>
      <c r="C82" s="7"/>
      <c r="D82" s="7"/>
      <c r="E82" s="7"/>
      <c r="F82" s="7"/>
      <c r="G82" s="7"/>
      <c r="H82" s="7"/>
      <c r="I82" s="7"/>
      <c r="J82" s="7"/>
      <c r="K82" s="7"/>
      <c r="L82" s="7"/>
      <c r="M82" s="7"/>
      <c r="N82" s="7"/>
      <c r="O82" s="7"/>
      <c r="P82" s="7"/>
      <c r="Q82" s="7"/>
      <c r="R82" s="7"/>
      <c r="S82" s="7"/>
      <c r="T82" s="7"/>
      <c r="U82" s="7"/>
      <c r="V82" s="7"/>
      <c r="W82" s="7"/>
      <c r="X82" s="7"/>
      <c r="Y82" s="7"/>
      <c r="Z82" s="7"/>
    </row>
    <row r="83" ht="19.5" customHeight="1">
      <c r="A83" s="7"/>
      <c r="B83" s="7"/>
      <c r="C83" s="7"/>
      <c r="D83" s="7"/>
      <c r="E83" s="7"/>
      <c r="F83" s="7"/>
      <c r="G83" s="7"/>
      <c r="H83" s="7"/>
      <c r="I83" s="7"/>
      <c r="J83" s="7"/>
      <c r="K83" s="7"/>
      <c r="L83" s="7"/>
      <c r="M83" s="7"/>
      <c r="N83" s="7"/>
      <c r="O83" s="7"/>
      <c r="P83" s="7"/>
      <c r="Q83" s="7"/>
      <c r="R83" s="7"/>
      <c r="S83" s="7"/>
      <c r="T83" s="7"/>
      <c r="U83" s="7"/>
      <c r="V83" s="7"/>
      <c r="W83" s="7"/>
      <c r="X83" s="7"/>
      <c r="Y83" s="7"/>
      <c r="Z83" s="7"/>
    </row>
    <row r="84" ht="19.5" customHeight="1">
      <c r="A84" s="7"/>
      <c r="B84" s="7"/>
      <c r="C84" s="7"/>
      <c r="D84" s="7"/>
      <c r="E84" s="7"/>
      <c r="F84" s="7"/>
      <c r="G84" s="7"/>
      <c r="H84" s="7"/>
      <c r="I84" s="7"/>
      <c r="J84" s="7"/>
      <c r="K84" s="7"/>
      <c r="L84" s="7"/>
      <c r="M84" s="7"/>
      <c r="N84" s="7"/>
      <c r="O84" s="7"/>
      <c r="P84" s="7"/>
      <c r="Q84" s="7"/>
      <c r="R84" s="7"/>
      <c r="S84" s="7"/>
      <c r="T84" s="7"/>
      <c r="U84" s="7"/>
      <c r="V84" s="7"/>
      <c r="W84" s="7"/>
      <c r="X84" s="7"/>
      <c r="Y84" s="7"/>
      <c r="Z84" s="7"/>
    </row>
    <row r="85" ht="19.5" customHeight="1">
      <c r="A85" s="7"/>
      <c r="B85" s="7"/>
      <c r="C85" s="7"/>
      <c r="D85" s="7"/>
      <c r="E85" s="7"/>
      <c r="F85" s="7"/>
      <c r="G85" s="7"/>
      <c r="H85" s="7"/>
      <c r="I85" s="7"/>
      <c r="J85" s="7"/>
      <c r="K85" s="7"/>
      <c r="L85" s="7"/>
      <c r="M85" s="7"/>
      <c r="N85" s="7"/>
      <c r="O85" s="7"/>
      <c r="P85" s="7"/>
      <c r="Q85" s="7"/>
      <c r="R85" s="7"/>
      <c r="S85" s="7"/>
      <c r="T85" s="7"/>
      <c r="U85" s="7"/>
      <c r="V85" s="7"/>
      <c r="W85" s="7"/>
      <c r="X85" s="7"/>
      <c r="Y85" s="7"/>
      <c r="Z85" s="7"/>
    </row>
    <row r="86" ht="19.5" customHeight="1">
      <c r="A86" s="7"/>
      <c r="B86" s="7"/>
      <c r="C86" s="7"/>
      <c r="D86" s="7"/>
      <c r="E86" s="7"/>
      <c r="F86" s="7"/>
      <c r="G86" s="7"/>
      <c r="H86" s="7"/>
      <c r="I86" s="7"/>
      <c r="J86" s="7"/>
      <c r="K86" s="7"/>
      <c r="L86" s="7"/>
      <c r="M86" s="7"/>
      <c r="N86" s="7"/>
      <c r="O86" s="7"/>
      <c r="P86" s="7"/>
      <c r="Q86" s="7"/>
      <c r="R86" s="7"/>
      <c r="S86" s="7"/>
      <c r="T86" s="7"/>
      <c r="U86" s="7"/>
      <c r="V86" s="7"/>
      <c r="W86" s="7"/>
      <c r="X86" s="7"/>
      <c r="Y86" s="7"/>
      <c r="Z86" s="7"/>
    </row>
    <row r="87" ht="19.5" customHeight="1">
      <c r="A87" s="7"/>
      <c r="B87" s="7"/>
      <c r="C87" s="7"/>
      <c r="D87" s="7"/>
      <c r="E87" s="7"/>
      <c r="F87" s="7"/>
      <c r="G87" s="7"/>
      <c r="H87" s="7"/>
      <c r="I87" s="7"/>
      <c r="J87" s="7"/>
      <c r="K87" s="7"/>
      <c r="L87" s="7"/>
      <c r="M87" s="7"/>
      <c r="N87" s="7"/>
      <c r="O87" s="7"/>
      <c r="P87" s="7"/>
      <c r="Q87" s="7"/>
      <c r="R87" s="7"/>
      <c r="S87" s="7"/>
      <c r="T87" s="7"/>
      <c r="U87" s="7"/>
      <c r="V87" s="7"/>
      <c r="W87" s="7"/>
      <c r="X87" s="7"/>
      <c r="Y87" s="7"/>
      <c r="Z87" s="7"/>
    </row>
    <row r="88" ht="19.5" customHeight="1">
      <c r="A88" s="7"/>
      <c r="B88" s="7"/>
      <c r="C88" s="7"/>
      <c r="D88" s="7"/>
      <c r="E88" s="7"/>
      <c r="F88" s="7"/>
      <c r="G88" s="7"/>
      <c r="H88" s="7"/>
      <c r="I88" s="7"/>
      <c r="J88" s="7"/>
      <c r="K88" s="7"/>
      <c r="L88" s="7"/>
      <c r="M88" s="7"/>
      <c r="N88" s="7"/>
      <c r="O88" s="7"/>
      <c r="P88" s="7"/>
      <c r="Q88" s="7"/>
      <c r="R88" s="7"/>
      <c r="S88" s="7"/>
      <c r="T88" s="7"/>
      <c r="U88" s="7"/>
      <c r="V88" s="7"/>
      <c r="W88" s="7"/>
      <c r="X88" s="7"/>
      <c r="Y88" s="7"/>
      <c r="Z88" s="7"/>
    </row>
    <row r="89" ht="19.5" customHeight="1">
      <c r="A89" s="7"/>
      <c r="B89" s="7"/>
      <c r="C89" s="7"/>
      <c r="D89" s="7"/>
      <c r="E89" s="7"/>
      <c r="F89" s="7"/>
      <c r="G89" s="7"/>
      <c r="H89" s="7"/>
      <c r="I89" s="7"/>
      <c r="J89" s="7"/>
      <c r="K89" s="7"/>
      <c r="L89" s="7"/>
      <c r="M89" s="7"/>
      <c r="N89" s="7"/>
      <c r="O89" s="7"/>
      <c r="P89" s="7"/>
      <c r="Q89" s="7"/>
      <c r="R89" s="7"/>
      <c r="S89" s="7"/>
      <c r="T89" s="7"/>
      <c r="U89" s="7"/>
      <c r="V89" s="7"/>
      <c r="W89" s="7"/>
      <c r="X89" s="7"/>
      <c r="Y89" s="7"/>
      <c r="Z89" s="7"/>
    </row>
    <row r="90" ht="19.5" customHeight="1">
      <c r="A90" s="7"/>
      <c r="B90" s="7"/>
      <c r="C90" s="7"/>
      <c r="D90" s="7"/>
      <c r="E90" s="7"/>
      <c r="F90" s="7"/>
      <c r="G90" s="7"/>
      <c r="H90" s="7"/>
      <c r="I90" s="7"/>
      <c r="J90" s="7"/>
      <c r="K90" s="7"/>
      <c r="L90" s="7"/>
      <c r="M90" s="7"/>
      <c r="N90" s="7"/>
      <c r="O90" s="7"/>
      <c r="P90" s="7"/>
      <c r="Q90" s="7"/>
      <c r="R90" s="7"/>
      <c r="S90" s="7"/>
      <c r="T90" s="7"/>
      <c r="U90" s="7"/>
      <c r="V90" s="7"/>
      <c r="W90" s="7"/>
      <c r="X90" s="7"/>
      <c r="Y90" s="7"/>
      <c r="Z90" s="7"/>
    </row>
    <row r="91" ht="19.5" customHeight="1">
      <c r="A91" s="7"/>
      <c r="B91" s="7"/>
      <c r="C91" s="7"/>
      <c r="D91" s="7"/>
      <c r="E91" s="7"/>
      <c r="F91" s="7"/>
      <c r="G91" s="7"/>
      <c r="H91" s="7"/>
      <c r="I91" s="7"/>
      <c r="J91" s="7"/>
      <c r="K91" s="7"/>
      <c r="L91" s="7"/>
      <c r="M91" s="7"/>
      <c r="N91" s="7"/>
      <c r="O91" s="7"/>
      <c r="P91" s="7"/>
      <c r="Q91" s="7"/>
      <c r="R91" s="7"/>
      <c r="S91" s="7"/>
      <c r="T91" s="7"/>
      <c r="U91" s="7"/>
      <c r="V91" s="7"/>
      <c r="W91" s="7"/>
      <c r="X91" s="7"/>
      <c r="Y91" s="7"/>
      <c r="Z91" s="7"/>
    </row>
    <row r="92" ht="19.5" customHeight="1">
      <c r="A92" s="7"/>
      <c r="B92" s="7"/>
      <c r="C92" s="7"/>
      <c r="D92" s="7"/>
      <c r="E92" s="7"/>
      <c r="F92" s="7"/>
      <c r="G92" s="7"/>
      <c r="H92" s="7"/>
      <c r="I92" s="7"/>
      <c r="J92" s="7"/>
      <c r="K92" s="7"/>
      <c r="L92" s="7"/>
      <c r="M92" s="7"/>
      <c r="N92" s="7"/>
      <c r="O92" s="7"/>
      <c r="P92" s="7"/>
      <c r="Q92" s="7"/>
      <c r="R92" s="7"/>
      <c r="S92" s="7"/>
      <c r="T92" s="7"/>
      <c r="U92" s="7"/>
      <c r="V92" s="7"/>
      <c r="W92" s="7"/>
      <c r="X92" s="7"/>
      <c r="Y92" s="7"/>
      <c r="Z92" s="7"/>
    </row>
    <row r="93" ht="19.5" customHeight="1">
      <c r="A93" s="7"/>
      <c r="B93" s="7"/>
      <c r="C93" s="7"/>
      <c r="D93" s="7"/>
      <c r="E93" s="7"/>
      <c r="F93" s="7"/>
      <c r="G93" s="7"/>
      <c r="H93" s="7"/>
      <c r="I93" s="7"/>
      <c r="J93" s="7"/>
      <c r="K93" s="7"/>
      <c r="L93" s="7"/>
      <c r="M93" s="7"/>
      <c r="N93" s="7"/>
      <c r="O93" s="7"/>
      <c r="P93" s="7"/>
      <c r="Q93" s="7"/>
      <c r="R93" s="7"/>
      <c r="S93" s="7"/>
      <c r="T93" s="7"/>
      <c r="U93" s="7"/>
      <c r="V93" s="7"/>
      <c r="W93" s="7"/>
      <c r="X93" s="7"/>
      <c r="Y93" s="7"/>
      <c r="Z93" s="7"/>
    </row>
    <row r="94" ht="19.5" customHeight="1">
      <c r="A94" s="7"/>
      <c r="B94" s="7"/>
      <c r="C94" s="7"/>
      <c r="D94" s="7"/>
      <c r="E94" s="7"/>
      <c r="F94" s="7"/>
      <c r="G94" s="7"/>
      <c r="H94" s="7"/>
      <c r="I94" s="7"/>
      <c r="J94" s="7"/>
      <c r="K94" s="7"/>
      <c r="L94" s="7"/>
      <c r="M94" s="7"/>
      <c r="N94" s="7"/>
      <c r="O94" s="7"/>
      <c r="P94" s="7"/>
      <c r="Q94" s="7"/>
      <c r="R94" s="7"/>
      <c r="S94" s="7"/>
      <c r="T94" s="7"/>
      <c r="U94" s="7"/>
      <c r="V94" s="7"/>
      <c r="W94" s="7"/>
      <c r="X94" s="7"/>
      <c r="Y94" s="7"/>
      <c r="Z94" s="7"/>
    </row>
    <row r="95" ht="19.5" customHeight="1">
      <c r="A95" s="7"/>
      <c r="B95" s="7"/>
      <c r="C95" s="7"/>
      <c r="D95" s="7"/>
      <c r="E95" s="7"/>
      <c r="F95" s="7"/>
      <c r="G95" s="7"/>
      <c r="H95" s="7"/>
      <c r="I95" s="7"/>
      <c r="J95" s="7"/>
      <c r="K95" s="7"/>
      <c r="L95" s="7"/>
      <c r="M95" s="7"/>
      <c r="N95" s="7"/>
      <c r="O95" s="7"/>
      <c r="P95" s="7"/>
      <c r="Q95" s="7"/>
      <c r="R95" s="7"/>
      <c r="S95" s="7"/>
      <c r="T95" s="7"/>
      <c r="U95" s="7"/>
      <c r="V95" s="7"/>
      <c r="W95" s="7"/>
      <c r="X95" s="7"/>
      <c r="Y95" s="7"/>
      <c r="Z95" s="7"/>
    </row>
    <row r="96" ht="19.5" customHeight="1">
      <c r="A96" s="7"/>
      <c r="B96" s="7"/>
      <c r="C96" s="7"/>
      <c r="D96" s="7"/>
      <c r="E96" s="7"/>
      <c r="F96" s="7"/>
      <c r="G96" s="7"/>
      <c r="H96" s="7"/>
      <c r="I96" s="7"/>
      <c r="J96" s="7"/>
      <c r="K96" s="7"/>
      <c r="L96" s="7"/>
      <c r="M96" s="7"/>
      <c r="N96" s="7"/>
      <c r="O96" s="7"/>
      <c r="P96" s="7"/>
      <c r="Q96" s="7"/>
      <c r="R96" s="7"/>
      <c r="S96" s="7"/>
      <c r="T96" s="7"/>
      <c r="U96" s="7"/>
      <c r="V96" s="7"/>
      <c r="W96" s="7"/>
      <c r="X96" s="7"/>
      <c r="Y96" s="7"/>
      <c r="Z96" s="7"/>
    </row>
    <row r="97" ht="19.5" customHeight="1">
      <c r="A97" s="7"/>
      <c r="B97" s="7"/>
      <c r="C97" s="7"/>
      <c r="D97" s="7"/>
      <c r="E97" s="7"/>
      <c r="F97" s="7"/>
      <c r="G97" s="7"/>
      <c r="H97" s="7"/>
      <c r="I97" s="7"/>
      <c r="J97" s="7"/>
      <c r="K97" s="7"/>
      <c r="L97" s="7"/>
      <c r="M97" s="7"/>
      <c r="N97" s="7"/>
      <c r="O97" s="7"/>
      <c r="P97" s="7"/>
      <c r="Q97" s="7"/>
      <c r="R97" s="7"/>
      <c r="S97" s="7"/>
      <c r="T97" s="7"/>
      <c r="U97" s="7"/>
      <c r="V97" s="7"/>
      <c r="W97" s="7"/>
      <c r="X97" s="7"/>
      <c r="Y97" s="7"/>
      <c r="Z97" s="7"/>
    </row>
    <row r="98" ht="19.5" customHeight="1">
      <c r="A98" s="7"/>
      <c r="B98" s="7"/>
      <c r="C98" s="7"/>
      <c r="D98" s="7"/>
      <c r="E98" s="7"/>
      <c r="F98" s="7"/>
      <c r="G98" s="7"/>
      <c r="H98" s="7"/>
      <c r="I98" s="7"/>
      <c r="J98" s="7"/>
      <c r="K98" s="7"/>
      <c r="L98" s="7"/>
      <c r="M98" s="7"/>
      <c r="N98" s="7"/>
      <c r="O98" s="7"/>
      <c r="P98" s="7"/>
      <c r="Q98" s="7"/>
      <c r="R98" s="7"/>
      <c r="S98" s="7"/>
      <c r="T98" s="7"/>
      <c r="U98" s="7"/>
      <c r="V98" s="7"/>
      <c r="W98" s="7"/>
      <c r="X98" s="7"/>
      <c r="Y98" s="7"/>
      <c r="Z98" s="7"/>
    </row>
    <row r="99" ht="19.5" customHeight="1">
      <c r="A99" s="7"/>
      <c r="B99" s="7"/>
      <c r="C99" s="7"/>
      <c r="D99" s="7"/>
      <c r="E99" s="7"/>
      <c r="F99" s="7"/>
      <c r="G99" s="7"/>
      <c r="H99" s="7"/>
      <c r="I99" s="7"/>
      <c r="J99" s="7"/>
      <c r="K99" s="7"/>
      <c r="L99" s="7"/>
      <c r="M99" s="7"/>
      <c r="N99" s="7"/>
      <c r="O99" s="7"/>
      <c r="P99" s="7"/>
      <c r="Q99" s="7"/>
      <c r="R99" s="7"/>
      <c r="S99" s="7"/>
      <c r="T99" s="7"/>
      <c r="U99" s="7"/>
      <c r="V99" s="7"/>
      <c r="W99" s="7"/>
      <c r="X99" s="7"/>
      <c r="Y99" s="7"/>
      <c r="Z99" s="7"/>
    </row>
    <row r="100" ht="19.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ht="19.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ht="19.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ht="19.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ht="19.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ht="19.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ht="19.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ht="19.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ht="19.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ht="19.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ht="19.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ht="19.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ht="19.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ht="19.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ht="19.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ht="19.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ht="19.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ht="19.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ht="19.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ht="19.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ht="19.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ht="19.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ht="19.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ht="19.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ht="19.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ht="19.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ht="19.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ht="19.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ht="19.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ht="19.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ht="19.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ht="19.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ht="19.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ht="19.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ht="19.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ht="19.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ht="19.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ht="19.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ht="19.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ht="19.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ht="19.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ht="19.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ht="19.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ht="19.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ht="19.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ht="19.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ht="19.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ht="19.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ht="19.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ht="19.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ht="19.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ht="19.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ht="19.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ht="19.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ht="19.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ht="19.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ht="19.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ht="19.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ht="19.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ht="19.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ht="19.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ht="19.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ht="19.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ht="19.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ht="19.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ht="19.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ht="19.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ht="19.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ht="19.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ht="19.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ht="19.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ht="19.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ht="19.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ht="19.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ht="19.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ht="19.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ht="19.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ht="19.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ht="19.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ht="19.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ht="19.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ht="19.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ht="19.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ht="19.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ht="19.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ht="19.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ht="19.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ht="19.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ht="19.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ht="19.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ht="19.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ht="19.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ht="19.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ht="19.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ht="19.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ht="19.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ht="19.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ht="19.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ht="19.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ht="19.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ht="19.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ht="19.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ht="19.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ht="19.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ht="19.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ht="19.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ht="19.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ht="19.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ht="19.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ht="19.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ht="19.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ht="19.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ht="19.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ht="19.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ht="19.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ht="19.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ht="19.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ht="19.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ht="19.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ht="19.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ht="19.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ht="19.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ht="19.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ht="19.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ht="19.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ht="19.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ht="19.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ht="19.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ht="19.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ht="19.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ht="19.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ht="19.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ht="19.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ht="19.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ht="19.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ht="19.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ht="19.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ht="19.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ht="19.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ht="19.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ht="19.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ht="19.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ht="19.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ht="19.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ht="19.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ht="19.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ht="19.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ht="19.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ht="19.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ht="19.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ht="19.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ht="19.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ht="19.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ht="19.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ht="19.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ht="19.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ht="19.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ht="19.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ht="19.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ht="19.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ht="19.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ht="19.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ht="19.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ht="19.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ht="19.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ht="19.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ht="19.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ht="19.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ht="19.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ht="19.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ht="19.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ht="19.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ht="19.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ht="19.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ht="19.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ht="19.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ht="19.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ht="19.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ht="19.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ht="19.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ht="19.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ht="19.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ht="19.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ht="19.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ht="19.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ht="19.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ht="19.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ht="19.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ht="19.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ht="19.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ht="19.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ht="19.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ht="19.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ht="19.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ht="19.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ht="19.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ht="19.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ht="19.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ht="19.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ht="19.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ht="19.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ht="19.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ht="19.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ht="19.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ht="19.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ht="19.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ht="19.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ht="19.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ht="19.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ht="19.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ht="19.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ht="19.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ht="19.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ht="19.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ht="19.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ht="19.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ht="19.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ht="19.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ht="19.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ht="19.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ht="19.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ht="19.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ht="19.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ht="19.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ht="19.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ht="19.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ht="19.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ht="19.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ht="19.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ht="19.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ht="19.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ht="19.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ht="19.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ht="19.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ht="19.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ht="19.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ht="19.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ht="19.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ht="19.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ht="19.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ht="19.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ht="19.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ht="19.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ht="19.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ht="19.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ht="19.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ht="19.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ht="19.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ht="19.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ht="19.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ht="19.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ht="19.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ht="19.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ht="19.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ht="19.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ht="19.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ht="19.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ht="19.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ht="19.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ht="19.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ht="19.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ht="19.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ht="19.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ht="19.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ht="19.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ht="19.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ht="19.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ht="19.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ht="19.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ht="19.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ht="19.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ht="19.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ht="19.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ht="19.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ht="19.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ht="19.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ht="19.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ht="19.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ht="19.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ht="19.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ht="19.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ht="19.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ht="19.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ht="19.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ht="19.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ht="19.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ht="19.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ht="19.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ht="19.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ht="19.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ht="19.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ht="19.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ht="19.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ht="19.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ht="19.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ht="19.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ht="19.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ht="19.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ht="19.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ht="19.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ht="19.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ht="19.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ht="19.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ht="19.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ht="19.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ht="19.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ht="19.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ht="19.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ht="19.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ht="19.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ht="19.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ht="19.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ht="19.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ht="19.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ht="19.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ht="19.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ht="19.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ht="19.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ht="19.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ht="19.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ht="19.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ht="19.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ht="19.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ht="19.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ht="19.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ht="19.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ht="19.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ht="19.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ht="19.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ht="19.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ht="19.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ht="19.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ht="19.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ht="19.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ht="19.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ht="19.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ht="19.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ht="19.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ht="19.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ht="19.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ht="19.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ht="19.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ht="19.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ht="19.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ht="19.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ht="19.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ht="19.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ht="19.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ht="19.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ht="19.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ht="19.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ht="19.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ht="19.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ht="19.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ht="19.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ht="19.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ht="19.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ht="19.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ht="19.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ht="19.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ht="19.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ht="19.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ht="19.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ht="19.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ht="19.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ht="19.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ht="19.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ht="19.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ht="19.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ht="19.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ht="19.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ht="19.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ht="19.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ht="19.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ht="19.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ht="19.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ht="19.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ht="19.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ht="19.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ht="19.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ht="19.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ht="19.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ht="19.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ht="19.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ht="19.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ht="19.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ht="19.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ht="19.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ht="19.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ht="19.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ht="19.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ht="19.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ht="19.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ht="19.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ht="19.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ht="19.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ht="19.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ht="19.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ht="19.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ht="19.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ht="19.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ht="19.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ht="19.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ht="19.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ht="19.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ht="19.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ht="19.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ht="19.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ht="19.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ht="19.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ht="19.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ht="19.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ht="19.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ht="19.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ht="19.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ht="19.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ht="19.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ht="19.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ht="19.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ht="19.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ht="19.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ht="19.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ht="19.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ht="19.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ht="19.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ht="19.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ht="19.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ht="19.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ht="19.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ht="19.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ht="19.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ht="19.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ht="19.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ht="19.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ht="19.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ht="19.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ht="19.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ht="19.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ht="19.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ht="19.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ht="19.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ht="19.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ht="19.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ht="19.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ht="19.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ht="19.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ht="19.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ht="19.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ht="19.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ht="19.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ht="19.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ht="19.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ht="19.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ht="19.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ht="19.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ht="19.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ht="19.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ht="19.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ht="19.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ht="19.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ht="19.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ht="19.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ht="19.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ht="19.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ht="19.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ht="19.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ht="19.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ht="19.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ht="19.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ht="19.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ht="19.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ht="19.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ht="19.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ht="19.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ht="19.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ht="19.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ht="19.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ht="19.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ht="19.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ht="19.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ht="19.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ht="19.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ht="19.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ht="19.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ht="19.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ht="19.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ht="19.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ht="19.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ht="19.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ht="19.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ht="19.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ht="19.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ht="19.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ht="19.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ht="19.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ht="19.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ht="19.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ht="19.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ht="19.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ht="19.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ht="19.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ht="19.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ht="19.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ht="19.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ht="19.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ht="19.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ht="19.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ht="19.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ht="19.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ht="19.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ht="19.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ht="19.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ht="19.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ht="19.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ht="19.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ht="19.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ht="19.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ht="19.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ht="19.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ht="19.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ht="19.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ht="19.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ht="19.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ht="19.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ht="19.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ht="19.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ht="19.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ht="19.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ht="19.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ht="19.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ht="19.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ht="19.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ht="19.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ht="19.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ht="19.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ht="19.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ht="19.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ht="19.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ht="19.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ht="19.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ht="19.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ht="19.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ht="19.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ht="19.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ht="19.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ht="19.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ht="19.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ht="19.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ht="19.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ht="19.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ht="19.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ht="19.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ht="19.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ht="19.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ht="19.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ht="19.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ht="19.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ht="19.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ht="19.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ht="19.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ht="19.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ht="19.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ht="19.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ht="19.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ht="19.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ht="19.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ht="19.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ht="19.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ht="19.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ht="19.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ht="19.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ht="19.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ht="19.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ht="19.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ht="19.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ht="19.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ht="19.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ht="19.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ht="19.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ht="19.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ht="19.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ht="19.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ht="19.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ht="19.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ht="19.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ht="19.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ht="19.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ht="19.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ht="19.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ht="19.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ht="19.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ht="19.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ht="19.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ht="19.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ht="19.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ht="19.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ht="19.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ht="19.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ht="19.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ht="19.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ht="19.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ht="19.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ht="19.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ht="19.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ht="19.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ht="19.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ht="19.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ht="19.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ht="19.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ht="19.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ht="19.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ht="19.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ht="19.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ht="19.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ht="19.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ht="19.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ht="19.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ht="19.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ht="19.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ht="19.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ht="19.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ht="19.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ht="19.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ht="19.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ht="19.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ht="19.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ht="19.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ht="19.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ht="19.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ht="19.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ht="19.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ht="19.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ht="19.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ht="19.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ht="19.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ht="19.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ht="19.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ht="19.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ht="19.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ht="19.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ht="19.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ht="19.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ht="19.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ht="19.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ht="19.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ht="19.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ht="19.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ht="19.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ht="19.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ht="19.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ht="19.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ht="19.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ht="19.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ht="19.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ht="19.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ht="19.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ht="19.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ht="19.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ht="19.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ht="19.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ht="19.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ht="19.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ht="19.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ht="19.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ht="19.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ht="19.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ht="19.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ht="19.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ht="19.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ht="19.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ht="19.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ht="19.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ht="19.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ht="19.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ht="19.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ht="19.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ht="19.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ht="19.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ht="19.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ht="19.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ht="19.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ht="19.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ht="19.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ht="19.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ht="19.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ht="19.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ht="19.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ht="19.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ht="19.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ht="19.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ht="19.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ht="19.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ht="19.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ht="19.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ht="19.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ht="19.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ht="19.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ht="19.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ht="19.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ht="19.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ht="19.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ht="19.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ht="19.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ht="19.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ht="19.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ht="19.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ht="19.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ht="19.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ht="19.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ht="19.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ht="19.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ht="19.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ht="19.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ht="19.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ht="19.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ht="19.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ht="19.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ht="19.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ht="19.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ht="19.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ht="19.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ht="19.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ht="19.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ht="19.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ht="19.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ht="19.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ht="19.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ht="19.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ht="19.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ht="19.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ht="19.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ht="19.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ht="19.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ht="19.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ht="19.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ht="19.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ht="19.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ht="19.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ht="19.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ht="19.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ht="19.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ht="19.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ht="19.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ht="19.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ht="19.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ht="19.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ht="19.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ht="19.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ht="19.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ht="19.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ht="19.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ht="19.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ht="19.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ht="19.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ht="19.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ht="19.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ht="19.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ht="19.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ht="19.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ht="19.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ht="19.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ht="19.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ht="19.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ht="19.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ht="19.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ht="19.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ht="19.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ht="19.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ht="19.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ht="19.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ht="19.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ht="19.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ht="19.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ht="19.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ht="19.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ht="19.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ht="19.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ht="19.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ht="19.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ht="19.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ht="19.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ht="19.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ht="19.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ht="19.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ht="19.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ht="19.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ht="19.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ht="19.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ht="19.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ht="19.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ht="19.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ht="19.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ht="19.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ht="19.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ht="19.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ht="19.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ht="19.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ht="19.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ht="19.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ht="19.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ht="19.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ht="19.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ht="19.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ht="19.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ht="19.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ht="19.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ht="19.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ht="19.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ht="19.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ht="19.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ht="19.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ht="19.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ht="19.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ht="19.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ht="19.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ht="19.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ht="19.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ht="19.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ht="19.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ht="19.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ht="19.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ht="19.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ht="19.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ht="19.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ht="19.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ht="19.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ht="19.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ht="19.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ht="19.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ht="19.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ht="19.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ht="19.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ht="19.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ht="19.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ht="19.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ht="19.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ht="19.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ht="19.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ht="19.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ht="19.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ht="19.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ht="19.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ht="19.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ht="19.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ht="19.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ht="19.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ht="19.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ht="19.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ht="19.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ht="19.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ht="19.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ht="19.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ht="19.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ht="19.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ht="19.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ht="19.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ht="19.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ht="19.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ht="19.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ht="19.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ht="19.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ht="19.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ht="19.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ht="19.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ht="19.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ht="19.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ht="19.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ht="19.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ht="19.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ht="19.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ht="19.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ht="19.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ht="19.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ht="19.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ht="19.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ht="19.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ht="19.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ht="19.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ht="19.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ht="19.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ht="19.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ht="19.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ht="19.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ht="19.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ht="19.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ht="19.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ht="19.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ht="19.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ht="19.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ht="19.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ht="19.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ht="19.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ht="19.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ht="19.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ht="19.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ht="19.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ht="19.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ht="19.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ht="19.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ht="19.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ht="19.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2">
    <mergeCell ref="A1:C1"/>
    <mergeCell ref="A2:C2"/>
  </mergeCells>
  <hyperlinks>
    <hyperlink r:id="rId1" ref="C3"/>
    <hyperlink r:id="rId2" ref="A4"/>
    <hyperlink r:id="rId3" ref="B4"/>
    <hyperlink r:id="rId4" ref="B5"/>
    <hyperlink r:id="rId5" ref="C5"/>
  </hyperlinks>
  <printOptions/>
  <pageMargins bottom="1.0" footer="0.0" header="0.0" left="1.0" right="1.0" top="1.0"/>
  <pageSetup orientation="portrait"/>
  <headerFooter>
    <oddFooter>&amp;C000000&amp;P</oddFooter>
  </headerFooter>
  <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26.71"/>
    <col customWidth="1" min="2" max="2" width="20.0"/>
    <col customWidth="1" min="3" max="3" width="8.0"/>
    <col customWidth="1" min="4" max="4" width="13.29"/>
    <col customWidth="1" min="5" max="5" width="65.29"/>
    <col customWidth="1" min="6" max="6" width="16.29"/>
  </cols>
  <sheetData>
    <row r="1" ht="20.25" customHeight="1">
      <c r="A1" s="20" t="s">
        <v>24</v>
      </c>
      <c r="B1" s="20" t="s">
        <v>25</v>
      </c>
      <c r="C1" s="20" t="s">
        <v>26</v>
      </c>
      <c r="D1" s="20" t="s">
        <v>27</v>
      </c>
      <c r="E1" s="20" t="s">
        <v>28</v>
      </c>
      <c r="F1" s="21" t="s">
        <v>29</v>
      </c>
    </row>
    <row r="2" ht="20.25" customHeight="1">
      <c r="A2" s="22" t="s">
        <v>30</v>
      </c>
      <c r="B2" s="23" t="s">
        <v>31</v>
      </c>
      <c r="C2" s="24" t="s">
        <v>32</v>
      </c>
      <c r="D2" s="25">
        <v>318018.0</v>
      </c>
      <c r="E2" s="24" t="s">
        <v>33</v>
      </c>
      <c r="F2" s="7" t="str">
        <f>IFERROR(__xludf.DUMMYFUNCTION("GOOGLETRANSLATE(B2:B5064,""en"",""fr"")"),"être")</f>
        <v>être</v>
      </c>
    </row>
    <row r="3" ht="19.5" customHeight="1">
      <c r="A3" s="26" t="s">
        <v>34</v>
      </c>
      <c r="B3" s="27" t="s">
        <v>35</v>
      </c>
      <c r="C3" s="28" t="s">
        <v>36</v>
      </c>
      <c r="D3" s="29">
        <v>267578.0</v>
      </c>
      <c r="E3" s="28" t="s">
        <v>35</v>
      </c>
      <c r="F3" s="7" t="str">
        <f>IFERROR(__xludf.DUMMYFUNCTION("GOOGLETRANSLATE(B3:B5064,""en"",""fr"")"),"je")</f>
        <v>je</v>
      </c>
    </row>
    <row r="4" ht="19.5" customHeight="1">
      <c r="A4" s="26" t="s">
        <v>37</v>
      </c>
      <c r="B4" s="27" t="s">
        <v>38</v>
      </c>
      <c r="C4" s="28" t="s">
        <v>36</v>
      </c>
      <c r="D4" s="29">
        <v>248266.0</v>
      </c>
      <c r="E4" s="28" t="s">
        <v>38</v>
      </c>
      <c r="F4" s="7" t="str">
        <f>IFERROR(__xludf.DUMMYFUNCTION("GOOGLETRANSLATE(B4:B5064,""en"",""fr"")"),"toi")</f>
        <v>toi</v>
      </c>
    </row>
    <row r="5" ht="19.5" customHeight="1">
      <c r="A5" s="26" t="s">
        <v>39</v>
      </c>
      <c r="B5" s="27" t="s">
        <v>40</v>
      </c>
      <c r="C5" s="28" t="s">
        <v>36</v>
      </c>
      <c r="D5" s="29">
        <v>176446.0</v>
      </c>
      <c r="E5" s="28" t="s">
        <v>40</v>
      </c>
      <c r="F5" s="7" t="str">
        <f>IFERROR(__xludf.DUMMYFUNCTION("GOOGLETRANSLATE(B5:B5064,""en"",""fr"")"),"le")</f>
        <v>le</v>
      </c>
    </row>
    <row r="6" ht="19.5" customHeight="1">
      <c r="A6" s="26" t="s">
        <v>41</v>
      </c>
      <c r="B6" s="27" t="s">
        <v>42</v>
      </c>
      <c r="C6" s="28" t="s">
        <v>36</v>
      </c>
      <c r="D6" s="29">
        <v>152598.0</v>
      </c>
      <c r="E6" s="28" t="s">
        <v>43</v>
      </c>
      <c r="F6" s="7" t="str">
        <f>IFERROR(__xludf.DUMMYFUNCTION("GOOGLETRANSLATE(B6:B5064,""en"",""fr"")"),"un")</f>
        <v>un</v>
      </c>
    </row>
    <row r="7" ht="19.5" customHeight="1">
      <c r="A7" s="26" t="s">
        <v>44</v>
      </c>
      <c r="B7" s="27" t="s">
        <v>45</v>
      </c>
      <c r="C7" s="28" t="s">
        <v>36</v>
      </c>
      <c r="D7" s="29">
        <v>151270.0</v>
      </c>
      <c r="E7" s="28" t="s">
        <v>45</v>
      </c>
      <c r="F7" s="7" t="str">
        <f>IFERROR(__xludf.DUMMYFUNCTION("GOOGLETRANSLATE(B7:B5064,""en"",""fr"")"),"à")</f>
        <v>à</v>
      </c>
    </row>
    <row r="8" ht="19.5" customHeight="1">
      <c r="A8" s="26" t="s">
        <v>46</v>
      </c>
      <c r="B8" s="27" t="s">
        <v>47</v>
      </c>
      <c r="C8" s="28" t="s">
        <v>36</v>
      </c>
      <c r="D8" s="29">
        <v>117091.0</v>
      </c>
      <c r="E8" s="28" t="s">
        <v>47</v>
      </c>
      <c r="F8" s="7" t="str">
        <f>IFERROR(__xludf.DUMMYFUNCTION("GOOGLETRANSLATE(B8:B5064,""en"",""fr"")"),"il")</f>
        <v>il</v>
      </c>
    </row>
    <row r="9" ht="19.5" customHeight="1">
      <c r="A9" s="26" t="s">
        <v>48</v>
      </c>
      <c r="B9" s="27" t="s">
        <v>49</v>
      </c>
      <c r="C9" s="28" t="s">
        <v>36</v>
      </c>
      <c r="D9" s="29">
        <v>109143.0</v>
      </c>
      <c r="E9" s="28" t="s">
        <v>49</v>
      </c>
      <c r="F9" s="7" t="str">
        <f>IFERROR(__xludf.DUMMYFUNCTION("GOOGLETRANSLATE(B9:B5064,""en"",""fr"")"),"pas")</f>
        <v>pas</v>
      </c>
    </row>
    <row r="10" ht="19.5" customHeight="1">
      <c r="A10" s="26" t="s">
        <v>50</v>
      </c>
      <c r="B10" s="27" t="s">
        <v>51</v>
      </c>
      <c r="C10" s="28" t="s">
        <v>36</v>
      </c>
      <c r="D10" s="29">
        <v>95271.0</v>
      </c>
      <c r="E10" s="28" t="s">
        <v>52</v>
      </c>
      <c r="F10" s="7" t="str">
        <f>IFERROR(__xludf.DUMMYFUNCTION("GOOGLETRANSLATE(B10:B5064,""en"",""fr"")"),"que")</f>
        <v>que</v>
      </c>
    </row>
    <row r="11" ht="19.5" customHeight="1">
      <c r="A11" s="26" t="s">
        <v>53</v>
      </c>
      <c r="B11" s="27" t="s">
        <v>54</v>
      </c>
      <c r="C11" s="28" t="s">
        <v>36</v>
      </c>
      <c r="D11" s="29">
        <v>90049.0</v>
      </c>
      <c r="E11" s="28" t="s">
        <v>54</v>
      </c>
      <c r="F11" s="7" t="str">
        <f>IFERROR(__xludf.DUMMYFUNCTION("GOOGLETRANSLATE(B11:B5064,""en"",""fr"")"),"et")</f>
        <v>et</v>
      </c>
    </row>
    <row r="12" ht="19.5" customHeight="1">
      <c r="A12" s="26" t="s">
        <v>55</v>
      </c>
      <c r="B12" s="27" t="s">
        <v>56</v>
      </c>
      <c r="C12" s="28" t="s">
        <v>36</v>
      </c>
      <c r="D12" s="29">
        <v>70505.0</v>
      </c>
      <c r="E12" s="28" t="s">
        <v>56</v>
      </c>
      <c r="F12" s="7" t="str">
        <f>IFERROR(__xludf.DUMMYFUNCTION("GOOGLETRANSLATE(B12:B5064,""en"",""fr"")"),"de")</f>
        <v>de</v>
      </c>
    </row>
    <row r="13" ht="19.5" customHeight="1">
      <c r="A13" s="26" t="s">
        <v>57</v>
      </c>
      <c r="B13" s="27" t="s">
        <v>58</v>
      </c>
      <c r="C13" s="28" t="s">
        <v>32</v>
      </c>
      <c r="D13" s="29">
        <v>67643.0</v>
      </c>
      <c r="E13" s="28" t="s">
        <v>59</v>
      </c>
      <c r="F13" s="7" t="str">
        <f>IFERROR(__xludf.DUMMYFUNCTION("GOOGLETRANSLATE(B13:B5064,""en"",""fr"")"),"faire")</f>
        <v>faire</v>
      </c>
    </row>
    <row r="14" ht="19.5" customHeight="1">
      <c r="A14" s="26" t="s">
        <v>60</v>
      </c>
      <c r="B14" s="27" t="s">
        <v>61</v>
      </c>
      <c r="C14" s="28" t="s">
        <v>32</v>
      </c>
      <c r="D14" s="29">
        <v>62828.0</v>
      </c>
      <c r="E14" s="28" t="s">
        <v>62</v>
      </c>
      <c r="F14" s="7" t="str">
        <f>IFERROR(__xludf.DUMMYFUNCTION("GOOGLETRANSLATE(B14:B5064,""en"",""fr"")"),"avoir")</f>
        <v>avoir</v>
      </c>
    </row>
    <row r="15" ht="19.5" customHeight="1">
      <c r="A15" s="26" t="s">
        <v>63</v>
      </c>
      <c r="B15" s="27" t="s">
        <v>64</v>
      </c>
      <c r="C15" s="28" t="s">
        <v>36</v>
      </c>
      <c r="D15" s="29">
        <v>62015.0</v>
      </c>
      <c r="E15" s="28" t="s">
        <v>64</v>
      </c>
      <c r="F15" s="7" t="str">
        <f>IFERROR(__xludf.DUMMYFUNCTION("GOOGLETRANSLATE(B15:B5064,""en"",""fr"")"),"quoi")</f>
        <v>quoi</v>
      </c>
    </row>
    <row r="16" ht="19.5" customHeight="1">
      <c r="A16" s="26" t="s">
        <v>65</v>
      </c>
      <c r="B16" s="27" t="s">
        <v>66</v>
      </c>
      <c r="C16" s="28" t="s">
        <v>36</v>
      </c>
      <c r="D16" s="29">
        <v>61381.0</v>
      </c>
      <c r="E16" s="28" t="s">
        <v>66</v>
      </c>
      <c r="F16" s="7" t="str">
        <f>IFERROR(__xludf.DUMMYFUNCTION("GOOGLETRANSLATE(B16:B5064,""en"",""fr"")"),"nous")</f>
        <v>nous</v>
      </c>
    </row>
    <row r="17" ht="19.5" customHeight="1">
      <c r="A17" s="26" t="s">
        <v>67</v>
      </c>
      <c r="B17" s="27" t="s">
        <v>68</v>
      </c>
      <c r="C17" s="28" t="s">
        <v>36</v>
      </c>
      <c r="D17" s="29">
        <v>58486.0</v>
      </c>
      <c r="E17" s="28" t="s">
        <v>68</v>
      </c>
      <c r="F17" s="7" t="str">
        <f>IFERROR(__xludf.DUMMYFUNCTION("GOOGLETRANSLATE(B17:B5064,""en"",""fr"")"),"dans")</f>
        <v>dans</v>
      </c>
    </row>
    <row r="18" ht="19.5" customHeight="1">
      <c r="A18" s="26" t="s">
        <v>69</v>
      </c>
      <c r="B18" s="27" t="s">
        <v>70</v>
      </c>
      <c r="C18" s="28" t="s">
        <v>32</v>
      </c>
      <c r="D18" s="29">
        <v>56906.0</v>
      </c>
      <c r="E18" s="28" t="s">
        <v>71</v>
      </c>
      <c r="F18" s="7" t="str">
        <f>IFERROR(__xludf.DUMMYFUNCTION("GOOGLETRANSLATE(B18:B5064,""en"",""fr"")"),"obtenir")</f>
        <v>obtenir</v>
      </c>
    </row>
    <row r="19" ht="19.5" customHeight="1">
      <c r="A19" s="26" t="s">
        <v>72</v>
      </c>
      <c r="B19" s="27" t="s">
        <v>73</v>
      </c>
      <c r="C19" s="28" t="s">
        <v>36</v>
      </c>
      <c r="D19" s="29">
        <v>56116.0</v>
      </c>
      <c r="E19" s="28" t="s">
        <v>74</v>
      </c>
      <c r="F19" s="7" t="str">
        <f>IFERROR(__xludf.DUMMYFUNCTION("GOOGLETRANSLATE(B19:B5064,""en"",""fr"")"),"ce")</f>
        <v>ce</v>
      </c>
    </row>
    <row r="20" ht="19.5" customHeight="1">
      <c r="A20" s="26" t="s">
        <v>75</v>
      </c>
      <c r="B20" s="27" t="s">
        <v>76</v>
      </c>
      <c r="C20" s="28" t="s">
        <v>36</v>
      </c>
      <c r="D20" s="29">
        <v>53316.0</v>
      </c>
      <c r="E20" s="28" t="s">
        <v>77</v>
      </c>
      <c r="F20" s="7" t="str">
        <f>IFERROR(__xludf.DUMMYFUNCTION("GOOGLETRANSLATE(B20:B5064,""en"",""fr"")"),"mon")</f>
        <v>mon</v>
      </c>
    </row>
    <row r="21" ht="19.5" customHeight="1">
      <c r="A21" s="26" t="s">
        <v>78</v>
      </c>
      <c r="B21" s="27" t="s">
        <v>79</v>
      </c>
      <c r="C21" s="28" t="s">
        <v>36</v>
      </c>
      <c r="D21" s="29">
        <v>51927.0</v>
      </c>
      <c r="E21" s="28" t="s">
        <v>79</v>
      </c>
      <c r="F21" s="7" t="str">
        <f>IFERROR(__xludf.DUMMYFUNCTION("GOOGLETRANSLATE(B21:B5064,""en"",""fr"")"),"moi")</f>
        <v>moi</v>
      </c>
    </row>
    <row r="22" ht="19.5" customHeight="1">
      <c r="A22" s="26" t="s">
        <v>80</v>
      </c>
      <c r="B22" s="27" t="s">
        <v>81</v>
      </c>
      <c r="C22" s="28" t="s">
        <v>32</v>
      </c>
      <c r="D22" s="29">
        <v>51445.0</v>
      </c>
      <c r="E22" s="28" t="s">
        <v>82</v>
      </c>
      <c r="F22" s="7" t="str">
        <f>IFERROR(__xludf.DUMMYFUNCTION("GOOGLETRANSLATE(B22:B5064,""en"",""fr"")"),"aller")</f>
        <v>aller</v>
      </c>
    </row>
    <row r="23" ht="19.5" customHeight="1">
      <c r="A23" s="26" t="s">
        <v>83</v>
      </c>
      <c r="B23" s="27" t="s">
        <v>84</v>
      </c>
      <c r="C23" s="28" t="s">
        <v>85</v>
      </c>
      <c r="D23" s="29">
        <v>48348.0</v>
      </c>
      <c r="E23" s="28" t="s">
        <v>84</v>
      </c>
      <c r="F23" s="7" t="str">
        <f>IFERROR(__xludf.DUMMYFUNCTION("GOOGLETRANSLATE(B23:B5064,""en"",""fr"")"),"Oh")</f>
        <v>Oh</v>
      </c>
    </row>
    <row r="24" ht="19.5" customHeight="1">
      <c r="A24" s="26" t="s">
        <v>86</v>
      </c>
      <c r="B24" s="27" t="s">
        <v>87</v>
      </c>
      <c r="C24" s="28" t="s">
        <v>32</v>
      </c>
      <c r="D24" s="29">
        <v>46947.0</v>
      </c>
      <c r="E24" s="28" t="s">
        <v>88</v>
      </c>
      <c r="F24" s="7" t="str">
        <f>IFERROR(__xludf.DUMMYFUNCTION("GOOGLETRANSLATE(B24:B5064,""en"",""fr"")"),"peut")</f>
        <v>peut</v>
      </c>
    </row>
    <row r="25" ht="19.5" customHeight="1">
      <c r="A25" s="26" t="s">
        <v>89</v>
      </c>
      <c r="B25" s="27" t="s">
        <v>90</v>
      </c>
      <c r="C25" s="28" t="s">
        <v>36</v>
      </c>
      <c r="D25" s="29">
        <v>43447.0</v>
      </c>
      <c r="E25" s="28" t="s">
        <v>90</v>
      </c>
      <c r="F25" s="7" t="str">
        <f>IFERROR(__xludf.DUMMYFUNCTION("GOOGLETRANSLATE(B25:B5064,""en"",""fr"")"),"Non")</f>
        <v>Non</v>
      </c>
    </row>
    <row r="26" ht="19.5" customHeight="1">
      <c r="A26" s="26" t="s">
        <v>91</v>
      </c>
      <c r="B26" s="27" t="s">
        <v>92</v>
      </c>
      <c r="C26" s="28" t="s">
        <v>36</v>
      </c>
      <c r="D26" s="29">
        <v>43007.0</v>
      </c>
      <c r="E26" s="28" t="s">
        <v>92</v>
      </c>
      <c r="F26" s="7" t="str">
        <f>IFERROR(__xludf.DUMMYFUNCTION("GOOGLETRANSLATE(B26:B5064,""en"",""fr"")"),"sur")</f>
        <v>sur</v>
      </c>
    </row>
    <row r="27" ht="19.5" customHeight="1">
      <c r="A27" s="26" t="s">
        <v>93</v>
      </c>
      <c r="B27" s="27" t="s">
        <v>94</v>
      </c>
      <c r="C27" s="28" t="s">
        <v>36</v>
      </c>
      <c r="D27" s="29">
        <v>42850.0</v>
      </c>
      <c r="E27" s="28" t="s">
        <v>94</v>
      </c>
      <c r="F27" s="7" t="str">
        <f>IFERROR(__xludf.DUMMYFUNCTION("GOOGLETRANSLATE(B27:B5064,""en"",""fr"")"),"pour")</f>
        <v>pour</v>
      </c>
    </row>
    <row r="28" ht="19.5" customHeight="1">
      <c r="A28" s="26" t="s">
        <v>95</v>
      </c>
      <c r="B28" s="27" t="s">
        <v>96</v>
      </c>
      <c r="C28" s="28" t="s">
        <v>32</v>
      </c>
      <c r="D28" s="29">
        <v>40007.0</v>
      </c>
      <c r="E28" s="28" t="s">
        <v>97</v>
      </c>
      <c r="F28" s="7" t="str">
        <f>IFERROR(__xludf.DUMMYFUNCTION("GOOGLETRANSLATE(B28:B5064,""en"",""fr"")"),"savoir")</f>
        <v>savoir</v>
      </c>
    </row>
    <row r="29" ht="19.5" customHeight="1">
      <c r="A29" s="26" t="s">
        <v>98</v>
      </c>
      <c r="B29" s="27" t="s">
        <v>99</v>
      </c>
      <c r="C29" s="28" t="s">
        <v>100</v>
      </c>
      <c r="D29" s="29">
        <v>39366.0</v>
      </c>
      <c r="E29" s="28" t="s">
        <v>99</v>
      </c>
      <c r="F29" s="7" t="str">
        <f>IFERROR(__xludf.DUMMYFUNCTION("GOOGLETRANSLATE(B29:B5064,""en"",""fr"")"),"juste")</f>
        <v>juste</v>
      </c>
    </row>
    <row r="30" ht="19.5" customHeight="1">
      <c r="A30" s="26" t="s">
        <v>101</v>
      </c>
      <c r="B30" s="27" t="s">
        <v>102</v>
      </c>
      <c r="C30" s="28" t="s">
        <v>36</v>
      </c>
      <c r="D30" s="29">
        <v>39164.0</v>
      </c>
      <c r="E30" s="28" t="s">
        <v>102</v>
      </c>
      <c r="F30" s="7" t="str">
        <f>IFERROR(__xludf.DUMMYFUNCTION("GOOGLETRANSLATE(B30:B5064,""en"",""fr"")"),"ton")</f>
        <v>ton</v>
      </c>
    </row>
    <row r="31" ht="19.5" customHeight="1">
      <c r="A31" s="26" t="s">
        <v>103</v>
      </c>
      <c r="B31" s="27" t="s">
        <v>104</v>
      </c>
      <c r="C31" s="28" t="s">
        <v>36</v>
      </c>
      <c r="D31" s="29">
        <v>37343.0</v>
      </c>
      <c r="E31" s="28" t="s">
        <v>105</v>
      </c>
      <c r="F31" s="7" t="str">
        <f>IFERROR(__xludf.DUMMYFUNCTION("GOOGLETRANSLATE(B31:B5064,""en"",""fr"")"),"'s")</f>
        <v>'s</v>
      </c>
    </row>
    <row r="32" ht="19.5" customHeight="1">
      <c r="A32" s="26" t="s">
        <v>106</v>
      </c>
      <c r="B32" s="27" t="s">
        <v>107</v>
      </c>
      <c r="C32" s="28" t="s">
        <v>36</v>
      </c>
      <c r="D32" s="29">
        <v>35728.0</v>
      </c>
      <c r="E32" s="28" t="s">
        <v>107</v>
      </c>
      <c r="F32" s="7" t="str">
        <f>IFERROR(__xludf.DUMMYFUNCTION("GOOGLETRANSLATE(B32:B5064,""en"",""fr"")"),"tous")</f>
        <v>tous</v>
      </c>
    </row>
    <row r="33" ht="19.5" customHeight="1">
      <c r="A33" s="26" t="s">
        <v>108</v>
      </c>
      <c r="B33" s="27" t="s">
        <v>109</v>
      </c>
      <c r="C33" s="28" t="s">
        <v>100</v>
      </c>
      <c r="D33" s="29">
        <v>35491.0</v>
      </c>
      <c r="E33" s="28" t="s">
        <v>109</v>
      </c>
      <c r="F33" s="7" t="str">
        <f>IFERROR(__xludf.DUMMYFUNCTION("GOOGLETRANSLATE(B33:B5064,""en"",""fr"")"),"donc")</f>
        <v>donc</v>
      </c>
    </row>
    <row r="34" ht="19.5" customHeight="1">
      <c r="A34" s="26" t="s">
        <v>110</v>
      </c>
      <c r="B34" s="27" t="s">
        <v>111</v>
      </c>
      <c r="C34" s="28" t="s">
        <v>36</v>
      </c>
      <c r="D34" s="29">
        <v>34115.0</v>
      </c>
      <c r="E34" s="28" t="s">
        <v>111</v>
      </c>
      <c r="F34" s="7" t="str">
        <f>IFERROR(__xludf.DUMMYFUNCTION("GOOGLETRANSLATE(B34:B5064,""en"",""fr"")"),"avec")</f>
        <v>avec</v>
      </c>
    </row>
    <row r="35" ht="19.5" customHeight="1">
      <c r="A35" s="26" t="s">
        <v>112</v>
      </c>
      <c r="B35" s="27" t="s">
        <v>113</v>
      </c>
      <c r="C35" s="28" t="s">
        <v>36</v>
      </c>
      <c r="D35" s="29">
        <v>33653.0</v>
      </c>
      <c r="E35" s="28" t="s">
        <v>113</v>
      </c>
      <c r="F35" s="7" t="str">
        <f>IFERROR(__xludf.DUMMYFUNCTION("GOOGLETRANSLATE(B35:B5064,""en"",""fr"")"),"il")</f>
        <v>il</v>
      </c>
    </row>
    <row r="36" ht="19.5" customHeight="1">
      <c r="A36" s="26" t="s">
        <v>114</v>
      </c>
      <c r="B36" s="27" t="s">
        <v>115</v>
      </c>
      <c r="C36" s="28" t="s">
        <v>36</v>
      </c>
      <c r="D36" s="29">
        <v>30070.0</v>
      </c>
      <c r="E36" s="28" t="s">
        <v>115</v>
      </c>
      <c r="F36" s="7" t="str">
        <f>IFERROR(__xludf.DUMMYFUNCTION("GOOGLETRANSLATE(B36:B5064,""en"",""fr"")"),"mais")</f>
        <v>mais</v>
      </c>
    </row>
    <row r="37" ht="19.5" customHeight="1">
      <c r="A37" s="26" t="s">
        <v>116</v>
      </c>
      <c r="B37" s="27" t="s">
        <v>117</v>
      </c>
      <c r="C37" s="28" t="s">
        <v>100</v>
      </c>
      <c r="D37" s="29">
        <v>28499.0</v>
      </c>
      <c r="E37" s="28" t="s">
        <v>117</v>
      </c>
      <c r="F37" s="7" t="str">
        <f>IFERROR(__xludf.DUMMYFUNCTION("GOOGLETRANSLATE(B37:B5064,""en"",""fr"")"),"Ouais")</f>
        <v>Ouais</v>
      </c>
    </row>
    <row r="38" ht="19.5" customHeight="1">
      <c r="A38" s="26" t="s">
        <v>118</v>
      </c>
      <c r="B38" s="27" t="s">
        <v>119</v>
      </c>
      <c r="C38" s="28" t="s">
        <v>100</v>
      </c>
      <c r="D38" s="29">
        <v>28025.0</v>
      </c>
      <c r="E38" s="28" t="s">
        <v>119</v>
      </c>
      <c r="F38" s="7" t="str">
        <f>IFERROR(__xludf.DUMMYFUNCTION("GOOGLETRANSLATE(B38:B5064,""en"",""fr"")"),"Bien")</f>
        <v>Bien</v>
      </c>
    </row>
    <row r="39" ht="19.5" customHeight="1">
      <c r="A39" s="26" t="s">
        <v>120</v>
      </c>
      <c r="B39" s="27" t="s">
        <v>121</v>
      </c>
      <c r="C39" s="28" t="s">
        <v>32</v>
      </c>
      <c r="D39" s="29">
        <v>25894.0</v>
      </c>
      <c r="E39" s="28" t="s">
        <v>122</v>
      </c>
      <c r="F39" s="7" t="str">
        <f>IFERROR(__xludf.DUMMYFUNCTION("GOOGLETRANSLATE(B39:B5064,""en"",""fr"")"),"pense")</f>
        <v>pense</v>
      </c>
    </row>
    <row r="40" ht="19.5" customHeight="1">
      <c r="A40" s="26" t="s">
        <v>123</v>
      </c>
      <c r="B40" s="27" t="s">
        <v>124</v>
      </c>
      <c r="C40" s="28" t="s">
        <v>100</v>
      </c>
      <c r="D40" s="29">
        <v>25170.0</v>
      </c>
      <c r="E40" s="28" t="s">
        <v>124</v>
      </c>
      <c r="F40" s="7" t="str">
        <f>IFERROR(__xludf.DUMMYFUNCTION("GOOGLETRANSLATE(B40:B5064,""en"",""fr"")"),"ici")</f>
        <v>ici</v>
      </c>
    </row>
    <row r="41" ht="19.5" customHeight="1">
      <c r="A41" s="26" t="s">
        <v>125</v>
      </c>
      <c r="B41" s="27" t="s">
        <v>126</v>
      </c>
      <c r="C41" s="28" t="s">
        <v>32</v>
      </c>
      <c r="D41" s="29">
        <v>24829.0</v>
      </c>
      <c r="E41" s="28" t="s">
        <v>127</v>
      </c>
      <c r="F41" s="7" t="str">
        <f>IFERROR(__xludf.DUMMYFUNCTION("GOOGLETRANSLATE(B41:B5064,""en"",""fr"")"),"vouloir")</f>
        <v>vouloir</v>
      </c>
    </row>
    <row r="42" ht="19.5" customHeight="1">
      <c r="A42" s="26" t="s">
        <v>128</v>
      </c>
      <c r="B42" s="27" t="s">
        <v>129</v>
      </c>
      <c r="C42" s="28" t="s">
        <v>100</v>
      </c>
      <c r="D42" s="29">
        <v>24533.0</v>
      </c>
      <c r="E42" s="28" t="s">
        <v>129</v>
      </c>
      <c r="F42" s="7" t="str">
        <f>IFERROR(__xludf.DUMMYFUNCTION("GOOGLETRANSLATE(B42:B5064,""en"",""fr"")"),"dehors")</f>
        <v>dehors</v>
      </c>
    </row>
    <row r="43" ht="19.5" customHeight="1">
      <c r="A43" s="26" t="s">
        <v>130</v>
      </c>
      <c r="B43" s="27" t="s">
        <v>131</v>
      </c>
      <c r="C43" s="28" t="s">
        <v>36</v>
      </c>
      <c r="D43" s="29">
        <v>23244.0</v>
      </c>
      <c r="E43" s="28" t="s">
        <v>131</v>
      </c>
      <c r="F43" s="7" t="str">
        <f>IFERROR(__xludf.DUMMYFUNCTION("GOOGLETRANSLATE(B43:B5064,""en"",""fr"")"),"à propos")</f>
        <v>à propos</v>
      </c>
    </row>
    <row r="44" ht="19.5" customHeight="1">
      <c r="A44" s="26" t="s">
        <v>132</v>
      </c>
      <c r="B44" s="27" t="s">
        <v>133</v>
      </c>
      <c r="C44" s="28" t="s">
        <v>134</v>
      </c>
      <c r="D44" s="29">
        <v>22907.0</v>
      </c>
      <c r="E44" s="28" t="s">
        <v>135</v>
      </c>
      <c r="F44" s="7" t="str">
        <f>IFERROR(__xludf.DUMMYFUNCTION("GOOGLETRANSLATE(B44:B5064,""en"",""fr"")"),"bien")</f>
        <v>bien</v>
      </c>
    </row>
    <row r="45" ht="19.5" customHeight="1">
      <c r="A45" s="26" t="s">
        <v>136</v>
      </c>
      <c r="B45" s="27" t="s">
        <v>137</v>
      </c>
      <c r="C45" s="28" t="s">
        <v>32</v>
      </c>
      <c r="D45" s="29">
        <v>22535.0</v>
      </c>
      <c r="E45" s="28" t="s">
        <v>138</v>
      </c>
      <c r="F45" s="7" t="str">
        <f>IFERROR(__xludf.DUMMYFUNCTION("GOOGLETRANSLATE(B45:B5064,""en"",""fr"")"),"viens")</f>
        <v>viens</v>
      </c>
    </row>
    <row r="46" ht="19.5" customHeight="1">
      <c r="A46" s="26" t="s">
        <v>139</v>
      </c>
      <c r="B46" s="27" t="s">
        <v>140</v>
      </c>
      <c r="C46" s="28" t="s">
        <v>100</v>
      </c>
      <c r="D46" s="29">
        <v>22171.0</v>
      </c>
      <c r="E46" s="28" t="s">
        <v>140</v>
      </c>
      <c r="F46" s="7" t="str">
        <f>IFERROR(__xludf.DUMMYFUNCTION("GOOGLETRANSLATE(B46:B5064,""en"",""fr"")"),"en haut")</f>
        <v>en haut</v>
      </c>
    </row>
    <row r="47" ht="19.5" customHeight="1">
      <c r="A47" s="26" t="s">
        <v>141</v>
      </c>
      <c r="B47" s="27" t="s">
        <v>142</v>
      </c>
      <c r="C47" s="28" t="s">
        <v>32</v>
      </c>
      <c r="D47" s="29">
        <v>21603.0</v>
      </c>
      <c r="E47" s="28" t="s">
        <v>143</v>
      </c>
      <c r="F47" s="7" t="str">
        <f>IFERROR(__xludf.DUMMYFUNCTION("GOOGLETRANSLATE(B47:B5064,""en"",""fr"")"),"dire")</f>
        <v>dire</v>
      </c>
    </row>
    <row r="48" ht="19.5" customHeight="1">
      <c r="A48" s="26" t="s">
        <v>144</v>
      </c>
      <c r="B48" s="27" t="s">
        <v>145</v>
      </c>
      <c r="C48" s="28" t="s">
        <v>100</v>
      </c>
      <c r="D48" s="29">
        <v>21312.0</v>
      </c>
      <c r="E48" s="28" t="s">
        <v>145</v>
      </c>
      <c r="F48" s="7" t="str">
        <f>IFERROR(__xludf.DUMMYFUNCTION("GOOGLETRANSLATE(B48:B5064,""en"",""fr"")"),"maintenant")</f>
        <v>maintenant</v>
      </c>
    </row>
    <row r="49" ht="19.5" customHeight="1">
      <c r="A49" s="26" t="s">
        <v>146</v>
      </c>
      <c r="B49" s="27" t="s">
        <v>147</v>
      </c>
      <c r="C49" s="28" t="s">
        <v>36</v>
      </c>
      <c r="D49" s="29">
        <v>21243.0</v>
      </c>
      <c r="E49" s="28" t="s">
        <v>147</v>
      </c>
      <c r="F49" s="7" t="str">
        <f>IFERROR(__xludf.DUMMYFUNCTION("GOOGLETRANSLATE(B49:B5064,""en"",""fr"")"),"à")</f>
        <v>à</v>
      </c>
    </row>
    <row r="50" ht="19.5" customHeight="1">
      <c r="A50" s="26" t="s">
        <v>148</v>
      </c>
      <c r="B50" s="27" t="s">
        <v>149</v>
      </c>
      <c r="C50" s="28" t="s">
        <v>150</v>
      </c>
      <c r="D50" s="29">
        <v>21176.0</v>
      </c>
      <c r="E50" s="28" t="s">
        <v>151</v>
      </c>
      <c r="F50" s="7" t="str">
        <f>IFERROR(__xludf.DUMMYFUNCTION("GOOGLETRANSLATE(B50:B5064,""en"",""fr"")"),"un")</f>
        <v>un</v>
      </c>
    </row>
    <row r="51" ht="19.5" customHeight="1">
      <c r="A51" s="26" t="s">
        <v>152</v>
      </c>
      <c r="B51" s="27" t="s">
        <v>153</v>
      </c>
      <c r="C51" s="28" t="s">
        <v>85</v>
      </c>
      <c r="D51" s="29">
        <v>21166.0</v>
      </c>
      <c r="E51" s="28" t="s">
        <v>153</v>
      </c>
      <c r="F51" s="7" t="str">
        <f>IFERROR(__xludf.DUMMYFUNCTION("GOOGLETRANSLATE(B51:B5064,""en"",""fr"")"),"Hé")</f>
        <v>Hé</v>
      </c>
    </row>
    <row r="52" ht="19.5" customHeight="1">
      <c r="A52" s="26" t="s">
        <v>154</v>
      </c>
      <c r="B52" s="27" t="s">
        <v>155</v>
      </c>
      <c r="C52" s="28" t="s">
        <v>36</v>
      </c>
      <c r="D52" s="29">
        <v>21051.0</v>
      </c>
      <c r="E52" s="28" t="s">
        <v>155</v>
      </c>
      <c r="F52" s="7" t="str">
        <f>IFERROR(__xludf.DUMMYFUNCTION("GOOGLETRANSLATE(B52:B5064,""en"",""fr"")"),"ils")</f>
        <v>ils</v>
      </c>
    </row>
    <row r="53" ht="19.5" customHeight="1">
      <c r="A53" s="26" t="s">
        <v>156</v>
      </c>
      <c r="B53" s="27" t="s">
        <v>157</v>
      </c>
      <c r="C53" s="28" t="s">
        <v>32</v>
      </c>
      <c r="D53" s="29">
        <v>20925.0</v>
      </c>
      <c r="E53" s="28" t="s">
        <v>158</v>
      </c>
      <c r="F53" s="7" t="str">
        <f>IFERROR(__xludf.DUMMYFUNCTION("GOOGLETRANSLATE(B53:B5064,""en"",""fr"")"),"voir")</f>
        <v>voir</v>
      </c>
    </row>
    <row r="54" ht="19.5" customHeight="1">
      <c r="A54" s="26" t="s">
        <v>159</v>
      </c>
      <c r="B54" s="27" t="s">
        <v>160</v>
      </c>
      <c r="C54" s="28" t="s">
        <v>36</v>
      </c>
      <c r="D54" s="29">
        <v>19770.0</v>
      </c>
      <c r="E54" s="28" t="s">
        <v>160</v>
      </c>
      <c r="F54" s="7" t="str">
        <f>IFERROR(__xludf.DUMMYFUNCTION("GOOGLETRANSLATE(B54:B5064,""en"",""fr"")"),"si")</f>
        <v>si</v>
      </c>
    </row>
    <row r="55" ht="19.5" customHeight="1">
      <c r="A55" s="26" t="s">
        <v>161</v>
      </c>
      <c r="B55" s="27" t="s">
        <v>162</v>
      </c>
      <c r="C55" s="28" t="s">
        <v>100</v>
      </c>
      <c r="D55" s="29">
        <v>19474.0</v>
      </c>
      <c r="E55" s="28" t="s">
        <v>162</v>
      </c>
      <c r="F55" s="7" t="str">
        <f>IFERROR(__xludf.DUMMYFUNCTION("GOOGLETRANSLATE(B55:B5064,""en"",""fr"")"),"comment")</f>
        <v>comment</v>
      </c>
    </row>
    <row r="56" ht="19.5" customHeight="1">
      <c r="A56" s="26" t="s">
        <v>163</v>
      </c>
      <c r="B56" s="27" t="s">
        <v>164</v>
      </c>
      <c r="C56" s="28" t="s">
        <v>32</v>
      </c>
      <c r="D56" s="29">
        <v>19165.0</v>
      </c>
      <c r="E56" s="28" t="s">
        <v>165</v>
      </c>
      <c r="F56" s="7" t="str">
        <f>IFERROR(__xludf.DUMMYFUNCTION("GOOGLETRANSLATE(B56:B5064,""en"",""fr"")"),"comme")</f>
        <v>comme</v>
      </c>
    </row>
    <row r="57" ht="19.5" customHeight="1">
      <c r="A57" s="26" t="s">
        <v>166</v>
      </c>
      <c r="B57" s="27" t="s">
        <v>167</v>
      </c>
      <c r="C57" s="28" t="s">
        <v>36</v>
      </c>
      <c r="D57" s="29">
        <v>19043.0</v>
      </c>
      <c r="E57" s="28" t="s">
        <v>167</v>
      </c>
      <c r="F57" s="7" t="str">
        <f>IFERROR(__xludf.DUMMYFUNCTION("GOOGLETRANSLATE(B57:B5064,""en"",""fr"")"),"elle")</f>
        <v>elle</v>
      </c>
    </row>
    <row r="58" ht="19.5" customHeight="1">
      <c r="A58" s="26" t="s">
        <v>168</v>
      </c>
      <c r="B58" s="27" t="s">
        <v>169</v>
      </c>
      <c r="C58" s="28" t="s">
        <v>32</v>
      </c>
      <c r="D58" s="29">
        <v>18129.0</v>
      </c>
      <c r="E58" s="28" t="s">
        <v>170</v>
      </c>
      <c r="F58" s="7" t="str">
        <f>IFERROR(__xludf.DUMMYFUNCTION("GOOGLETRANSLATE(B58:B5064,""en"",""fr"")"),"regarder")</f>
        <v>regarder</v>
      </c>
    </row>
    <row r="59" ht="19.5" customHeight="1">
      <c r="A59" s="26" t="s">
        <v>171</v>
      </c>
      <c r="B59" s="27" t="s">
        <v>172</v>
      </c>
      <c r="C59" s="28" t="s">
        <v>32</v>
      </c>
      <c r="D59" s="29">
        <v>17038.0</v>
      </c>
      <c r="E59" s="28" t="s">
        <v>173</v>
      </c>
      <c r="F59" s="7" t="str">
        <f>IFERROR(__xludf.DUMMYFUNCTION("GOOGLETRANSLATE(B59:B5064,""en"",""fr"")"),"faire")</f>
        <v>faire</v>
      </c>
    </row>
    <row r="60" ht="19.5" customHeight="1">
      <c r="A60" s="26" t="s">
        <v>174</v>
      </c>
      <c r="B60" s="27" t="s">
        <v>175</v>
      </c>
      <c r="C60" s="28" t="s">
        <v>134</v>
      </c>
      <c r="D60" s="29">
        <v>16390.0</v>
      </c>
      <c r="E60" s="28" t="s">
        <v>175</v>
      </c>
      <c r="F60" s="7" t="str">
        <f>IFERROR(__xludf.DUMMYFUNCTION("GOOGLETRANSLATE(B60:B5064,""en"",""fr"")"),"droite")</f>
        <v>droite</v>
      </c>
    </row>
    <row r="61" ht="19.5" customHeight="1">
      <c r="A61" s="26" t="s">
        <v>176</v>
      </c>
      <c r="B61" s="27" t="s">
        <v>177</v>
      </c>
      <c r="C61" s="28" t="s">
        <v>178</v>
      </c>
      <c r="D61" s="29">
        <v>15738.0</v>
      </c>
      <c r="E61" s="28" t="s">
        <v>179</v>
      </c>
      <c r="F61" s="7" t="str">
        <f>IFERROR(__xludf.DUMMYFUNCTION("GOOGLETRANSLATE(B61:B5064,""en"",""fr"")"),"gars")</f>
        <v>gars</v>
      </c>
    </row>
    <row r="62" ht="19.5" customHeight="1">
      <c r="A62" s="26" t="s">
        <v>180</v>
      </c>
      <c r="B62" s="27" t="s">
        <v>181</v>
      </c>
      <c r="C62" s="28" t="s">
        <v>32</v>
      </c>
      <c r="D62" s="29">
        <v>15582.0</v>
      </c>
      <c r="E62" s="28" t="s">
        <v>182</v>
      </c>
      <c r="F62" s="7" t="str">
        <f>IFERROR(__xludf.DUMMYFUNCTION("GOOGLETRANSLATE(B62:B5064,""en"",""fr"")"),"prendre")</f>
        <v>prendre</v>
      </c>
    </row>
    <row r="63" ht="19.5" customHeight="1">
      <c r="A63" s="26" t="s">
        <v>183</v>
      </c>
      <c r="B63" s="27" t="s">
        <v>184</v>
      </c>
      <c r="C63" s="28" t="s">
        <v>32</v>
      </c>
      <c r="D63" s="29">
        <v>15257.0</v>
      </c>
      <c r="E63" s="28" t="s">
        <v>185</v>
      </c>
      <c r="F63" s="7" t="str">
        <f>IFERROR(__xludf.DUMMYFUNCTION("GOOGLETRANSLATE(B63:B5064,""en"",""fr"")"),"laisser")</f>
        <v>laisser</v>
      </c>
    </row>
    <row r="64" ht="19.5" customHeight="1">
      <c r="A64" s="26" t="s">
        <v>186</v>
      </c>
      <c r="B64" s="27" t="s">
        <v>187</v>
      </c>
      <c r="C64" s="28" t="s">
        <v>100</v>
      </c>
      <c r="D64" s="29">
        <v>15209.0</v>
      </c>
      <c r="E64" s="28" t="s">
        <v>187</v>
      </c>
      <c r="F64" s="7" t="str">
        <f>IFERROR(__xludf.DUMMYFUNCTION("GOOGLETRANSLATE(B64:B5064,""en"",""fr"")"),"vraiment")</f>
        <v>vraiment</v>
      </c>
    </row>
    <row r="65" ht="19.5" customHeight="1">
      <c r="A65" s="26" t="s">
        <v>188</v>
      </c>
      <c r="B65" s="27" t="s">
        <v>189</v>
      </c>
      <c r="C65" s="28" t="s">
        <v>100</v>
      </c>
      <c r="D65" s="29">
        <v>14801.0</v>
      </c>
      <c r="E65" s="28" t="s">
        <v>189</v>
      </c>
      <c r="F65" s="7" t="str">
        <f>IFERROR(__xludf.DUMMYFUNCTION("GOOGLETRANSLATE(B65:B5064,""en"",""fr"")"),"d'accord")</f>
        <v>d'accord</v>
      </c>
    </row>
    <row r="66" ht="19.5" customHeight="1">
      <c r="A66" s="26" t="s">
        <v>190</v>
      </c>
      <c r="B66" s="27" t="s">
        <v>191</v>
      </c>
      <c r="C66" s="28" t="s">
        <v>36</v>
      </c>
      <c r="D66" s="29">
        <v>14759.0</v>
      </c>
      <c r="E66" s="28" t="s">
        <v>191</v>
      </c>
      <c r="F66" s="7" t="str">
        <f>IFERROR(__xludf.DUMMYFUNCTION("GOOGLETRANSLATE(B66:B5064,""en"",""fr"")"),"son")</f>
        <v>son</v>
      </c>
    </row>
    <row r="67" ht="19.5" customHeight="1">
      <c r="A67" s="26" t="s">
        <v>192</v>
      </c>
      <c r="B67" s="27" t="s">
        <v>193</v>
      </c>
      <c r="C67" s="28" t="s">
        <v>85</v>
      </c>
      <c r="D67" s="29">
        <v>14667.0</v>
      </c>
      <c r="E67" s="28" t="s">
        <v>194</v>
      </c>
      <c r="F67" s="7" t="str">
        <f>IFERROR(__xludf.DUMMYFUNCTION("GOOGLETRANSLATE(B67:B5064,""en"",""fr"")"),"euh")</f>
        <v>euh</v>
      </c>
    </row>
    <row r="68" ht="19.5" customHeight="1">
      <c r="A68" s="26" t="s">
        <v>195</v>
      </c>
      <c r="B68" s="27" t="s">
        <v>196</v>
      </c>
      <c r="C68" s="28" t="s">
        <v>32</v>
      </c>
      <c r="D68" s="29">
        <v>14661.0</v>
      </c>
      <c r="E68" s="28" t="s">
        <v>197</v>
      </c>
      <c r="F68" s="7" t="str">
        <f>IFERROR(__xludf.DUMMYFUNCTION("GOOGLETRANSLATE(B68:B5064,""en"",""fr"")"),"dire")</f>
        <v>dire</v>
      </c>
    </row>
    <row r="69" ht="19.5" customHeight="1">
      <c r="A69" s="26" t="s">
        <v>198</v>
      </c>
      <c r="B69" s="27" t="s">
        <v>199</v>
      </c>
      <c r="C69" s="28" t="s">
        <v>36</v>
      </c>
      <c r="D69" s="29">
        <v>14270.0</v>
      </c>
      <c r="E69" s="28" t="s">
        <v>199</v>
      </c>
      <c r="F69" s="7" t="str">
        <f>IFERROR(__xludf.DUMMYFUNCTION("GOOGLETRANSLATE(B69:B5064,""en"",""fr"")"),"lui")</f>
        <v>lui</v>
      </c>
    </row>
    <row r="70" ht="19.5" customHeight="1">
      <c r="A70" s="26" t="s">
        <v>200</v>
      </c>
      <c r="B70" s="27" t="s">
        <v>201</v>
      </c>
      <c r="C70" s="28" t="s">
        <v>100</v>
      </c>
      <c r="D70" s="29">
        <v>14194.0</v>
      </c>
      <c r="E70" s="28" t="s">
        <v>201</v>
      </c>
      <c r="F70" s="7" t="str">
        <f>IFERROR(__xludf.DUMMYFUNCTION("GOOGLETRANSLATE(B70:B5064,""en"",""fr"")"),"pourquoi")</f>
        <v>pourquoi</v>
      </c>
    </row>
    <row r="71" ht="19.5" customHeight="1">
      <c r="A71" s="26" t="s">
        <v>202</v>
      </c>
      <c r="B71" s="27" t="s">
        <v>203</v>
      </c>
      <c r="C71" s="28" t="s">
        <v>100</v>
      </c>
      <c r="D71" s="29">
        <v>14067.0</v>
      </c>
      <c r="E71" s="28" t="s">
        <v>203</v>
      </c>
      <c r="F71" s="7" t="str">
        <f>IFERROR(__xludf.DUMMYFUNCTION("GOOGLETRANSLATE(B71:B5064,""en"",""fr"")"),"là")</f>
        <v>là</v>
      </c>
    </row>
    <row r="72" ht="19.5" customHeight="1">
      <c r="A72" s="26" t="s">
        <v>204</v>
      </c>
      <c r="B72" s="27" t="s">
        <v>205</v>
      </c>
      <c r="C72" s="28" t="s">
        <v>36</v>
      </c>
      <c r="D72" s="29">
        <v>13916.0</v>
      </c>
      <c r="E72" s="28" t="s">
        <v>205</v>
      </c>
      <c r="F72" s="7" t="str">
        <f>IFERROR(__xludf.DUMMYFUNCTION("GOOGLETRANSLATE(B72:B5064,""en"",""fr"")"),"OMS")</f>
        <v>OMS</v>
      </c>
    </row>
    <row r="73" ht="19.5" customHeight="1">
      <c r="A73" s="26" t="s">
        <v>206</v>
      </c>
      <c r="B73" s="27" t="s">
        <v>207</v>
      </c>
      <c r="C73" s="28" t="s">
        <v>178</v>
      </c>
      <c r="D73" s="29">
        <v>13834.0</v>
      </c>
      <c r="E73" s="28" t="s">
        <v>208</v>
      </c>
      <c r="F73" s="7" t="str">
        <f>IFERROR(__xludf.DUMMYFUNCTION("GOOGLETRANSLATE(B73:B5064,""en"",""fr"")"),"temps")</f>
        <v>temps</v>
      </c>
    </row>
    <row r="74" ht="19.5" customHeight="1">
      <c r="A74" s="26" t="s">
        <v>209</v>
      </c>
      <c r="B74" s="27" t="s">
        <v>210</v>
      </c>
      <c r="C74" s="28" t="s">
        <v>178</v>
      </c>
      <c r="D74" s="29">
        <v>12547.0</v>
      </c>
      <c r="E74" s="28" t="s">
        <v>211</v>
      </c>
      <c r="F74" s="7" t="str">
        <f>IFERROR(__xludf.DUMMYFUNCTION("GOOGLETRANSLATE(B74:B5064,""en"",""fr"")"),"chose")</f>
        <v>chose</v>
      </c>
    </row>
    <row r="75" ht="19.5" customHeight="1">
      <c r="A75" s="26" t="s">
        <v>212</v>
      </c>
      <c r="B75" s="27" t="s">
        <v>213</v>
      </c>
      <c r="C75" s="28" t="s">
        <v>36</v>
      </c>
      <c r="D75" s="29">
        <v>12409.0</v>
      </c>
      <c r="E75" s="28" t="s">
        <v>213</v>
      </c>
      <c r="F75" s="7" t="str">
        <f>IFERROR(__xludf.DUMMYFUNCTION("GOOGLETRANSLATE(B75:B5064,""en"",""fr"")"),"depuis")</f>
        <v>depuis</v>
      </c>
    </row>
    <row r="76" ht="19.5" customHeight="1">
      <c r="A76" s="26" t="s">
        <v>214</v>
      </c>
      <c r="B76" s="27" t="s">
        <v>215</v>
      </c>
      <c r="C76" s="28" t="s">
        <v>32</v>
      </c>
      <c r="D76" s="29">
        <v>11923.0</v>
      </c>
      <c r="E76" s="28" t="s">
        <v>216</v>
      </c>
      <c r="F76" s="7" t="str">
        <f>IFERROR(__xludf.DUMMYFUNCTION("GOOGLETRANSLATE(B76:B5064,""en"",""fr"")"),"volonté")</f>
        <v>volonté</v>
      </c>
    </row>
    <row r="77" ht="19.5" customHeight="1">
      <c r="A77" s="26" t="s">
        <v>217</v>
      </c>
      <c r="B77" s="27" t="s">
        <v>164</v>
      </c>
      <c r="C77" s="28" t="s">
        <v>100</v>
      </c>
      <c r="D77" s="29">
        <v>11556.0</v>
      </c>
      <c r="E77" s="28" t="s">
        <v>164</v>
      </c>
      <c r="F77" s="7" t="str">
        <f>IFERROR(__xludf.DUMMYFUNCTION("GOOGLETRANSLATE(B77:B5064,""en"",""fr"")"),"comme")</f>
        <v>comme</v>
      </c>
    </row>
    <row r="78" ht="19.5" customHeight="1">
      <c r="A78" s="26" t="s">
        <v>218</v>
      </c>
      <c r="B78" s="27" t="s">
        <v>219</v>
      </c>
      <c r="C78" s="28" t="s">
        <v>100</v>
      </c>
      <c r="D78" s="29">
        <v>11544.0</v>
      </c>
      <c r="E78" s="28" t="s">
        <v>219</v>
      </c>
      <c r="F78" s="7" t="str">
        <f>IFERROR(__xludf.DUMMYFUNCTION("GOOGLETRANSLATE(B78:B5064,""en"",""fr"")"),"quand")</f>
        <v>quand</v>
      </c>
    </row>
    <row r="79" ht="19.5" customHeight="1">
      <c r="A79" s="26" t="s">
        <v>220</v>
      </c>
      <c r="B79" s="27" t="s">
        <v>221</v>
      </c>
      <c r="C79" s="28" t="s">
        <v>36</v>
      </c>
      <c r="D79" s="29">
        <v>11415.0</v>
      </c>
      <c r="E79" s="28" t="s">
        <v>221</v>
      </c>
      <c r="F79" s="7" t="str">
        <f>IFERROR(__xludf.DUMMYFUNCTION("GOOGLETRANSLATE(B79:B5064,""en"",""fr"")"),"comme")</f>
        <v>comme</v>
      </c>
    </row>
    <row r="80" ht="19.5" customHeight="1">
      <c r="A80" s="26" t="s">
        <v>222</v>
      </c>
      <c r="B80" s="27" t="s">
        <v>223</v>
      </c>
      <c r="C80" s="28" t="s">
        <v>36</v>
      </c>
      <c r="D80" s="29">
        <v>11396.0</v>
      </c>
      <c r="E80" s="28" t="s">
        <v>223</v>
      </c>
      <c r="F80" s="7" t="str">
        <f>IFERROR(__xludf.DUMMYFUNCTION("GOOGLETRANSLATE(B80:B5064,""en"",""fr"")"),"parce que")</f>
        <v>parce que</v>
      </c>
    </row>
    <row r="81" ht="19.5" customHeight="1">
      <c r="A81" s="26" t="s">
        <v>224</v>
      </c>
      <c r="B81" s="27" t="s">
        <v>225</v>
      </c>
      <c r="C81" s="28" t="s">
        <v>36</v>
      </c>
      <c r="D81" s="29">
        <v>11370.0</v>
      </c>
      <c r="E81" s="28" t="s">
        <v>225</v>
      </c>
      <c r="F81" s="7" t="str">
        <f>IFERROR(__xludf.DUMMYFUNCTION("GOOGLETRANSLATE(B81:B5064,""en"",""fr"")"),"quelques")</f>
        <v>quelques</v>
      </c>
    </row>
    <row r="82" ht="19.5" customHeight="1">
      <c r="A82" s="26" t="s">
        <v>226</v>
      </c>
      <c r="B82" s="27" t="s">
        <v>227</v>
      </c>
      <c r="C82" s="28" t="s">
        <v>36</v>
      </c>
      <c r="D82" s="29">
        <v>11333.0</v>
      </c>
      <c r="E82" s="28" t="s">
        <v>227</v>
      </c>
      <c r="F82" s="7" t="str">
        <f>IFERROR(__xludf.DUMMYFUNCTION("GOOGLETRANSLATE(B82:B5064,""en"",""fr"")"),"notre")</f>
        <v>notre</v>
      </c>
    </row>
    <row r="83" ht="19.5" customHeight="1">
      <c r="A83" s="26" t="s">
        <v>228</v>
      </c>
      <c r="B83" s="27" t="s">
        <v>229</v>
      </c>
      <c r="C83" s="28" t="s">
        <v>100</v>
      </c>
      <c r="D83" s="29">
        <v>11118.0</v>
      </c>
      <c r="E83" s="28" t="s">
        <v>229</v>
      </c>
      <c r="F83" s="7" t="str">
        <f>IFERROR(__xludf.DUMMYFUNCTION("GOOGLETRANSLATE(B83:B5064,""en"",""fr"")"),"Oui")</f>
        <v>Oui</v>
      </c>
    </row>
    <row r="84" ht="19.5" customHeight="1">
      <c r="A84" s="26" t="s">
        <v>230</v>
      </c>
      <c r="B84" s="27" t="s">
        <v>203</v>
      </c>
      <c r="C84" s="28" t="s">
        <v>36</v>
      </c>
      <c r="D84" s="29">
        <v>11044.0</v>
      </c>
      <c r="E84" s="28" t="s">
        <v>203</v>
      </c>
      <c r="F84" s="7" t="str">
        <f>IFERROR(__xludf.DUMMYFUNCTION("GOOGLETRANSLATE(B84:B5064,""en"",""fr"")"),"là")</f>
        <v>là</v>
      </c>
    </row>
    <row r="85" ht="19.5" customHeight="1">
      <c r="A85" s="26" t="s">
        <v>231</v>
      </c>
      <c r="B85" s="27" t="s">
        <v>232</v>
      </c>
      <c r="C85" s="28" t="s">
        <v>100</v>
      </c>
      <c r="D85" s="29">
        <v>10865.0</v>
      </c>
      <c r="E85" s="28" t="s">
        <v>232</v>
      </c>
      <c r="F85" s="7" t="str">
        <f>IFERROR(__xludf.DUMMYFUNCTION("GOOGLETRANSLATE(B85:B5064,""en"",""fr"")"),"dos")</f>
        <v>dos</v>
      </c>
    </row>
    <row r="86" ht="19.5" customHeight="1">
      <c r="A86" s="26" t="s">
        <v>233</v>
      </c>
      <c r="B86" s="27" t="s">
        <v>234</v>
      </c>
      <c r="C86" s="28" t="s">
        <v>32</v>
      </c>
      <c r="D86" s="29">
        <v>10833.0</v>
      </c>
      <c r="E86" s="28" t="s">
        <v>235</v>
      </c>
      <c r="F86" s="7" t="str">
        <f>IFERROR(__xludf.DUMMYFUNCTION("GOOGLETRANSLATE(B86:B5064,""en"",""fr"")"),"signifier")</f>
        <v>signifier</v>
      </c>
    </row>
    <row r="87" ht="19.5" customHeight="1">
      <c r="A87" s="26" t="s">
        <v>236</v>
      </c>
      <c r="B87" s="27" t="s">
        <v>237</v>
      </c>
      <c r="C87" s="28" t="s">
        <v>178</v>
      </c>
      <c r="D87" s="29">
        <v>10340.0</v>
      </c>
      <c r="E87" s="28" t="s">
        <v>238</v>
      </c>
      <c r="F87" s="7" t="str">
        <f>IFERROR(__xludf.DUMMYFUNCTION("GOOGLETRANSLATE(B87:B5064,""en"",""fr"")"),"homme")</f>
        <v>homme</v>
      </c>
    </row>
    <row r="88" ht="19.5" customHeight="1">
      <c r="A88" s="26" t="s">
        <v>239</v>
      </c>
      <c r="B88" s="27" t="s">
        <v>240</v>
      </c>
      <c r="C88" s="28" t="s">
        <v>134</v>
      </c>
      <c r="D88" s="29">
        <v>10258.0</v>
      </c>
      <c r="E88" s="28" t="s">
        <v>240</v>
      </c>
      <c r="F88" s="7" t="str">
        <f>IFERROR(__xludf.DUMMYFUNCTION("GOOGLETRANSLATE(B88:B5064,""en"",""fr"")"),"petit")</f>
        <v>petit</v>
      </c>
    </row>
    <row r="89" ht="19.5" customHeight="1">
      <c r="A89" s="26" t="s">
        <v>241</v>
      </c>
      <c r="B89" s="27" t="s">
        <v>242</v>
      </c>
      <c r="C89" s="28" t="s">
        <v>32</v>
      </c>
      <c r="D89" s="29">
        <v>10173.0</v>
      </c>
      <c r="E89" s="28" t="s">
        <v>243</v>
      </c>
      <c r="F89" s="7" t="str">
        <f>IFERROR(__xludf.DUMMYFUNCTION("GOOGLETRANSLATE(B89:B5064,""en"",""fr"")"),"donner")</f>
        <v>donner</v>
      </c>
    </row>
    <row r="90" ht="19.5" customHeight="1">
      <c r="A90" s="26" t="s">
        <v>244</v>
      </c>
      <c r="B90" s="27" t="s">
        <v>245</v>
      </c>
      <c r="C90" s="28" t="s">
        <v>36</v>
      </c>
      <c r="D90" s="29">
        <v>10145.0</v>
      </c>
      <c r="E90" s="28" t="s">
        <v>245</v>
      </c>
      <c r="F90" s="7" t="str">
        <f>IFERROR(__xludf.DUMMYFUNCTION("GOOGLETRANSLATE(B90:B5064,""en"",""fr"")"),"son")</f>
        <v>son</v>
      </c>
    </row>
    <row r="91" ht="19.5" customHeight="1">
      <c r="A91" s="26" t="s">
        <v>246</v>
      </c>
      <c r="B91" s="27" t="s">
        <v>247</v>
      </c>
      <c r="C91" s="28" t="s">
        <v>36</v>
      </c>
      <c r="D91" s="29">
        <v>10058.0</v>
      </c>
      <c r="E91" s="28" t="s">
        <v>247</v>
      </c>
      <c r="F91" s="7" t="str">
        <f>IFERROR(__xludf.DUMMYFUNCTION("GOOGLETRANSLATE(B91:B5064,""en"",""fr"")"),"nous")</f>
        <v>nous</v>
      </c>
    </row>
    <row r="92" ht="19.5" customHeight="1">
      <c r="A92" s="26" t="s">
        <v>248</v>
      </c>
      <c r="B92" s="27" t="s">
        <v>249</v>
      </c>
      <c r="C92" s="28" t="s">
        <v>36</v>
      </c>
      <c r="D92" s="29">
        <v>9857.0</v>
      </c>
      <c r="E92" s="28" t="s">
        <v>249</v>
      </c>
      <c r="F92" s="7" t="str">
        <f>IFERROR(__xludf.DUMMYFUNCTION("GOOGLETRANSLATE(B92:B5064,""en"",""fr"")"),"eux")</f>
        <v>eux</v>
      </c>
    </row>
    <row r="93" ht="19.5" customHeight="1">
      <c r="A93" s="26" t="s">
        <v>250</v>
      </c>
      <c r="B93" s="27" t="s">
        <v>251</v>
      </c>
      <c r="C93" s="28" t="s">
        <v>32</v>
      </c>
      <c r="D93" s="29">
        <v>9654.0</v>
      </c>
      <c r="E93" s="28" t="s">
        <v>252</v>
      </c>
      <c r="F93" s="7" t="str">
        <f>IFERROR(__xludf.DUMMYFUNCTION("GOOGLETRANSLATE(B93:B5064,""en"",""fr"")"),"besoin")</f>
        <v>besoin</v>
      </c>
    </row>
    <row r="94" ht="19.5" customHeight="1">
      <c r="A94" s="26" t="s">
        <v>253</v>
      </c>
      <c r="B94" s="27" t="s">
        <v>254</v>
      </c>
      <c r="C94" s="28" t="s">
        <v>100</v>
      </c>
      <c r="D94" s="29">
        <v>9584.0</v>
      </c>
      <c r="E94" s="28" t="s">
        <v>254</v>
      </c>
      <c r="F94" s="7" t="str">
        <f>IFERROR(__xludf.DUMMYFUNCTION("GOOGLETRANSLATE(B94:B5064,""en"",""fr"")"),"alors")</f>
        <v>alors</v>
      </c>
    </row>
    <row r="95" ht="19.5" customHeight="1">
      <c r="A95" s="26" t="s">
        <v>255</v>
      </c>
      <c r="B95" s="27" t="s">
        <v>256</v>
      </c>
      <c r="C95" s="28" t="s">
        <v>32</v>
      </c>
      <c r="D95" s="29">
        <v>9411.0</v>
      </c>
      <c r="E95" s="28" t="s">
        <v>257</v>
      </c>
      <c r="F95" s="7" t="str">
        <f>IFERROR(__xludf.DUMMYFUNCTION("GOOGLETRANSLATE(B95:B5064,""en"",""fr"")"),"devoir")</f>
        <v>devoir</v>
      </c>
    </row>
    <row r="96" ht="19.5" customHeight="1">
      <c r="A96" s="26" t="s">
        <v>258</v>
      </c>
      <c r="B96" s="27" t="s">
        <v>259</v>
      </c>
      <c r="C96" s="28" t="s">
        <v>36</v>
      </c>
      <c r="D96" s="29">
        <v>9272.0</v>
      </c>
      <c r="E96" s="28" t="s">
        <v>259</v>
      </c>
      <c r="F96" s="7" t="str">
        <f>IFERROR(__xludf.DUMMYFUNCTION("GOOGLETRANSLATE(B96:B5064,""en"",""fr"")"),"ou")</f>
        <v>ou</v>
      </c>
    </row>
    <row r="97" ht="19.5" customHeight="1">
      <c r="A97" s="26" t="s">
        <v>260</v>
      </c>
      <c r="B97" s="27" t="s">
        <v>261</v>
      </c>
      <c r="C97" s="28" t="s">
        <v>32</v>
      </c>
      <c r="D97" s="29">
        <v>9197.0</v>
      </c>
      <c r="E97" s="28" t="s">
        <v>262</v>
      </c>
      <c r="F97" s="7" t="str">
        <f>IFERROR(__xludf.DUMMYFUNCTION("GOOGLETRANSLATE(B97:B5064,""en"",""fr"")"),"parler")</f>
        <v>parler</v>
      </c>
    </row>
    <row r="98" ht="19.5" customHeight="1">
      <c r="A98" s="26" t="s">
        <v>263</v>
      </c>
      <c r="B98" s="27" t="s">
        <v>189</v>
      </c>
      <c r="C98" s="28" t="s">
        <v>134</v>
      </c>
      <c r="D98" s="29">
        <v>9098.0</v>
      </c>
      <c r="E98" s="28" t="s">
        <v>264</v>
      </c>
      <c r="F98" s="7" t="str">
        <f>IFERROR(__xludf.DUMMYFUNCTION("GOOGLETRANSLATE(B98:B5064,""en"",""fr"")"),"d'accord")</f>
        <v>d'accord</v>
      </c>
    </row>
    <row r="99" ht="19.5" customHeight="1">
      <c r="A99" s="26" t="s">
        <v>265</v>
      </c>
      <c r="B99" s="27" t="s">
        <v>266</v>
      </c>
      <c r="C99" s="28" t="s">
        <v>36</v>
      </c>
      <c r="D99" s="29">
        <v>9075.0</v>
      </c>
      <c r="E99" s="28" t="s">
        <v>266</v>
      </c>
      <c r="F99" s="7" t="str">
        <f>IFERROR(__xludf.DUMMYFUNCTION("GOOGLETRANSLATE(B99:B5064,""en"",""fr"")"),"quelque chose")</f>
        <v>quelque chose</v>
      </c>
    </row>
    <row r="100" ht="19.5" customHeight="1">
      <c r="A100" s="26" t="s">
        <v>267</v>
      </c>
      <c r="B100" s="27" t="s">
        <v>268</v>
      </c>
      <c r="C100" s="28" t="s">
        <v>100</v>
      </c>
      <c r="D100" s="29">
        <v>8941.0</v>
      </c>
      <c r="E100" s="28" t="s">
        <v>268</v>
      </c>
      <c r="F100" s="7" t="str">
        <f>IFERROR(__xludf.DUMMYFUNCTION("GOOGLETRANSLATE(B100:B5064,""en"",""fr"")"),"où")</f>
        <v>où</v>
      </c>
    </row>
    <row r="101" ht="19.5" customHeight="1">
      <c r="A101" s="26" t="s">
        <v>269</v>
      </c>
      <c r="B101" s="27" t="s">
        <v>270</v>
      </c>
      <c r="C101" s="28" t="s">
        <v>134</v>
      </c>
      <c r="D101" s="29">
        <v>8778.0</v>
      </c>
      <c r="E101" s="28" t="s">
        <v>271</v>
      </c>
      <c r="F101" s="7" t="str">
        <f>IFERROR(__xludf.DUMMYFUNCTION("GOOGLETRANSLATE(B101:B5064,""en"",""fr"")"),"super")</f>
        <v>super</v>
      </c>
    </row>
    <row r="102" ht="19.5" customHeight="1">
      <c r="A102" s="26" t="s">
        <v>272</v>
      </c>
      <c r="B102" s="27" t="s">
        <v>273</v>
      </c>
      <c r="C102" s="28" t="s">
        <v>178</v>
      </c>
      <c r="D102" s="29">
        <v>8759.0</v>
      </c>
      <c r="E102" s="28" t="s">
        <v>274</v>
      </c>
      <c r="F102" s="7" t="str">
        <f>IFERROR(__xludf.DUMMYFUNCTION("GOOGLETRANSLATE(B102:B5064,""en"",""fr"")"),"chemin")</f>
        <v>chemin</v>
      </c>
    </row>
    <row r="103" ht="19.5" customHeight="1">
      <c r="A103" s="26" t="s">
        <v>275</v>
      </c>
      <c r="B103" s="27" t="s">
        <v>276</v>
      </c>
      <c r="C103" s="28" t="s">
        <v>100</v>
      </c>
      <c r="D103" s="29">
        <v>8620.0</v>
      </c>
      <c r="E103" s="28" t="s">
        <v>276</v>
      </c>
      <c r="F103" s="7" t="str">
        <f>IFERROR(__xludf.DUMMYFUNCTION("GOOGLETRANSLATE(B103:B5064,""en"",""fr"")"),"jamais")</f>
        <v>jamais</v>
      </c>
    </row>
    <row r="104" ht="19.5" customHeight="1">
      <c r="A104" s="26" t="s">
        <v>277</v>
      </c>
      <c r="B104" s="27" t="s">
        <v>278</v>
      </c>
      <c r="C104" s="28" t="s">
        <v>32</v>
      </c>
      <c r="D104" s="29">
        <v>8413.0</v>
      </c>
      <c r="E104" s="28" t="s">
        <v>279</v>
      </c>
      <c r="F104" s="7" t="str">
        <f>IFERROR(__xludf.DUMMYFUNCTION("GOOGLETRANSLATE(B104:B5064,""en"",""fr"")"),"appel")</f>
        <v>appel</v>
      </c>
    </row>
    <row r="105" ht="19.5" customHeight="1">
      <c r="A105" s="26" t="s">
        <v>280</v>
      </c>
      <c r="B105" s="27" t="s">
        <v>281</v>
      </c>
      <c r="C105" s="28" t="s">
        <v>100</v>
      </c>
      <c r="D105" s="29">
        <v>8300.0</v>
      </c>
      <c r="E105" s="28" t="s">
        <v>281</v>
      </c>
      <c r="F105" s="7" t="str">
        <f>IFERROR(__xludf.DUMMYFUNCTION("GOOGLETRANSLATE(B105:B5064,""en"",""fr"")"),"aussi")</f>
        <v>aussi</v>
      </c>
    </row>
    <row r="106" ht="19.5" customHeight="1">
      <c r="A106" s="26" t="s">
        <v>282</v>
      </c>
      <c r="B106" s="27" t="s">
        <v>283</v>
      </c>
      <c r="C106" s="28" t="s">
        <v>36</v>
      </c>
      <c r="D106" s="29">
        <v>8133.0</v>
      </c>
      <c r="E106" s="28" t="s">
        <v>283</v>
      </c>
      <c r="F106" s="7" t="str">
        <f>IFERROR(__xludf.DUMMYFUNCTION("GOOGLETRANSLATE(B106:B5064,""en"",""fr"")"),"par")</f>
        <v>par</v>
      </c>
    </row>
    <row r="107" ht="19.5" customHeight="1">
      <c r="A107" s="26" t="s">
        <v>284</v>
      </c>
      <c r="B107" s="27" t="s">
        <v>285</v>
      </c>
      <c r="C107" s="28" t="s">
        <v>134</v>
      </c>
      <c r="D107" s="29">
        <v>8050.0</v>
      </c>
      <c r="E107" s="28" t="s">
        <v>285</v>
      </c>
      <c r="F107" s="7" t="str">
        <f>IFERROR(__xludf.DUMMYFUNCTION("GOOGLETRANSLATE(B107:B5064,""en"",""fr"")"),"Désolé")</f>
        <v>Désolé</v>
      </c>
    </row>
    <row r="108" ht="19.5" customHeight="1">
      <c r="A108" s="26" t="s">
        <v>286</v>
      </c>
      <c r="B108" s="27" t="s">
        <v>287</v>
      </c>
      <c r="C108" s="28" t="s">
        <v>36</v>
      </c>
      <c r="D108" s="29">
        <v>8041.0</v>
      </c>
      <c r="E108" s="28" t="s">
        <v>287</v>
      </c>
      <c r="F108" s="7" t="str">
        <f>IFERROR(__xludf.DUMMYFUNCTION("GOOGLETRANSLATE(B108:B5064,""en"",""fr"")"),"sur")</f>
        <v>sur</v>
      </c>
    </row>
    <row r="109" ht="19.5" customHeight="1">
      <c r="A109" s="26" t="s">
        <v>288</v>
      </c>
      <c r="B109" s="27" t="s">
        <v>289</v>
      </c>
      <c r="C109" s="28" t="s">
        <v>32</v>
      </c>
      <c r="D109" s="29">
        <v>8010.0</v>
      </c>
      <c r="E109" s="28" t="s">
        <v>290</v>
      </c>
      <c r="F109" s="7" t="str">
        <f>IFERROR(__xludf.DUMMYFUNCTION("GOOGLETRANSLATE(B109:B5064,""en"",""fr"")"),"amour")</f>
        <v>amour</v>
      </c>
    </row>
    <row r="110" ht="19.5" customHeight="1">
      <c r="A110" s="26" t="s">
        <v>291</v>
      </c>
      <c r="B110" s="27" t="s">
        <v>292</v>
      </c>
      <c r="C110" s="28" t="s">
        <v>32</v>
      </c>
      <c r="D110" s="29">
        <v>7947.0</v>
      </c>
      <c r="E110" s="28" t="s">
        <v>293</v>
      </c>
      <c r="F110" s="7" t="str">
        <f>IFERROR(__xludf.DUMMYFUNCTION("GOOGLETRANSLATE(B110:B5064,""en"",""fr"")"),"attendez")</f>
        <v>attendez</v>
      </c>
    </row>
    <row r="111" ht="19.5" customHeight="1">
      <c r="A111" s="26" t="s">
        <v>294</v>
      </c>
      <c r="B111" s="27" t="s">
        <v>295</v>
      </c>
      <c r="C111" s="28" t="s">
        <v>36</v>
      </c>
      <c r="D111" s="29">
        <v>7922.0</v>
      </c>
      <c r="E111" s="28" t="s">
        <v>295</v>
      </c>
      <c r="F111" s="7" t="str">
        <f>IFERROR(__xludf.DUMMYFUNCTION("GOOGLETRANSLATE(B111:B5064,""en"",""fr"")"),"plus")</f>
        <v>plus</v>
      </c>
    </row>
    <row r="112" ht="19.5" customHeight="1">
      <c r="A112" s="26" t="s">
        <v>296</v>
      </c>
      <c r="B112" s="27" t="s">
        <v>297</v>
      </c>
      <c r="C112" s="28" t="s">
        <v>100</v>
      </c>
      <c r="D112" s="29">
        <v>7782.0</v>
      </c>
      <c r="E112" s="28" t="s">
        <v>297</v>
      </c>
      <c r="F112" s="7" t="str">
        <f>IFERROR(__xludf.DUMMYFUNCTION("GOOGLETRANSLATE(B112:B5064,""en"",""fr"")"),"vers le bas")</f>
        <v>vers le bas</v>
      </c>
    </row>
    <row r="113" ht="19.5" customHeight="1">
      <c r="A113" s="26" t="s">
        <v>298</v>
      </c>
      <c r="B113" s="27" t="s">
        <v>299</v>
      </c>
      <c r="C113" s="28" t="s">
        <v>178</v>
      </c>
      <c r="D113" s="29">
        <v>7704.0</v>
      </c>
      <c r="E113" s="28" t="s">
        <v>300</v>
      </c>
      <c r="F113" s="7" t="str">
        <f>IFERROR(__xludf.DUMMYFUNCTION("GOOGLETRANSLATE(B113:B5064,""en"",""fr"")"),"jour")</f>
        <v>jour</v>
      </c>
    </row>
    <row r="114" ht="19.5" customHeight="1">
      <c r="A114" s="26" t="s">
        <v>301</v>
      </c>
      <c r="B114" s="27" t="s">
        <v>302</v>
      </c>
      <c r="C114" s="28" t="s">
        <v>150</v>
      </c>
      <c r="D114" s="29">
        <v>7221.0</v>
      </c>
      <c r="E114" s="28" t="s">
        <v>303</v>
      </c>
      <c r="F114" s="7" t="str">
        <f>IFERROR(__xludf.DUMMYFUNCTION("GOOGLETRANSLATE(B114:B5064,""en"",""fr"")"),"deux")</f>
        <v>deux</v>
      </c>
    </row>
    <row r="115" ht="19.5" customHeight="1">
      <c r="A115" s="26" t="s">
        <v>304</v>
      </c>
      <c r="B115" s="27" t="s">
        <v>305</v>
      </c>
      <c r="C115" s="28" t="s">
        <v>178</v>
      </c>
      <c r="D115" s="29">
        <v>7104.0</v>
      </c>
      <c r="E115" s="28" t="s">
        <v>305</v>
      </c>
      <c r="F115" s="7" t="str">
        <f>IFERROR(__xludf.DUMMYFUNCTION("GOOGLETRANSLATE(B115:B5064,""en"",""fr"")"),"personnes")</f>
        <v>personnes</v>
      </c>
    </row>
    <row r="116" ht="19.5" customHeight="1">
      <c r="A116" s="26" t="s">
        <v>306</v>
      </c>
      <c r="B116" s="27" t="s">
        <v>307</v>
      </c>
      <c r="C116" s="28" t="s">
        <v>85</v>
      </c>
      <c r="D116" s="29">
        <v>7062.0</v>
      </c>
      <c r="E116" s="28" t="s">
        <v>307</v>
      </c>
      <c r="F116" s="7" t="str">
        <f>IFERROR(__xludf.DUMMYFUNCTION("GOOGLETRANSLATE(B116:B5064,""en"",""fr"")"),"Dieu")</f>
        <v>Dieu</v>
      </c>
    </row>
    <row r="117" ht="19.5" customHeight="1">
      <c r="A117" s="26" t="s">
        <v>308</v>
      </c>
      <c r="B117" s="27" t="s">
        <v>309</v>
      </c>
      <c r="C117" s="28" t="s">
        <v>100</v>
      </c>
      <c r="D117" s="29">
        <v>6974.0</v>
      </c>
      <c r="E117" s="28" t="s">
        <v>309</v>
      </c>
      <c r="F117" s="7" t="str">
        <f>IFERROR(__xludf.DUMMYFUNCTION("GOOGLETRANSLATE(B117:B5064,""en"",""fr"")"),"très")</f>
        <v>très</v>
      </c>
    </row>
    <row r="118" ht="19.5" customHeight="1">
      <c r="A118" s="26" t="s">
        <v>310</v>
      </c>
      <c r="B118" s="27" t="s">
        <v>311</v>
      </c>
      <c r="C118" s="28" t="s">
        <v>36</v>
      </c>
      <c r="D118" s="29">
        <v>6967.0</v>
      </c>
      <c r="E118" s="28" t="s">
        <v>311</v>
      </c>
      <c r="F118" s="7" t="str">
        <f>IFERROR(__xludf.DUMMYFUNCTION("GOOGLETRANSLATE(B118:B5064,""en"",""fr"")"),"désactivé")</f>
        <v>désactivé</v>
      </c>
    </row>
    <row r="119" ht="19.5" customHeight="1">
      <c r="A119" s="26" t="s">
        <v>312</v>
      </c>
      <c r="B119" s="27" t="s">
        <v>313</v>
      </c>
      <c r="C119" s="28" t="s">
        <v>32</v>
      </c>
      <c r="D119" s="29">
        <v>6741.0</v>
      </c>
      <c r="E119" s="28" t="s">
        <v>314</v>
      </c>
      <c r="F119" s="7" t="str">
        <f>IFERROR(__xludf.DUMMYFUNCTION("GOOGLETRANSLATE(B119:B5064,""en"",""fr"")"),"travail")</f>
        <v>travail</v>
      </c>
    </row>
    <row r="120" ht="19.5" customHeight="1">
      <c r="A120" s="26" t="s">
        <v>315</v>
      </c>
      <c r="B120" s="27" t="s">
        <v>316</v>
      </c>
      <c r="C120" s="28" t="s">
        <v>32</v>
      </c>
      <c r="D120" s="29">
        <v>6716.0</v>
      </c>
      <c r="E120" s="28" t="s">
        <v>317</v>
      </c>
      <c r="F120" s="7" t="str">
        <f>IFERROR(__xludf.DUMMYFUNCTION("GOOGLETRANSLATE(B120:B5064,""en"",""fr"")"),"remercier")</f>
        <v>remercier</v>
      </c>
    </row>
    <row r="121" ht="19.5" customHeight="1">
      <c r="A121" s="26" t="s">
        <v>318</v>
      </c>
      <c r="B121" s="27" t="s">
        <v>319</v>
      </c>
      <c r="C121" s="28" t="s">
        <v>134</v>
      </c>
      <c r="D121" s="29">
        <v>6674.0</v>
      </c>
      <c r="E121" s="28" t="s">
        <v>320</v>
      </c>
      <c r="F121" s="7" t="str">
        <f>IFERROR(__xludf.DUMMYFUNCTION("GOOGLETRANSLATE(B121:B5064,""en"",""fr"")"),"grand")</f>
        <v>grand</v>
      </c>
    </row>
    <row r="122" ht="19.5" customHeight="1">
      <c r="A122" s="26" t="s">
        <v>321</v>
      </c>
      <c r="B122" s="27" t="s">
        <v>322</v>
      </c>
      <c r="C122" s="28" t="s">
        <v>32</v>
      </c>
      <c r="D122" s="29">
        <v>6611.0</v>
      </c>
      <c r="E122" s="28" t="s">
        <v>323</v>
      </c>
      <c r="F122" s="7" t="str">
        <f>IFERROR(__xludf.DUMMYFUNCTION("GOOGLETRANSLATE(B122:B5064,""en"",""fr"")"),"essayer")</f>
        <v>essayer</v>
      </c>
    </row>
    <row r="123" ht="19.5" customHeight="1">
      <c r="A123" s="26" t="s">
        <v>324</v>
      </c>
      <c r="B123" s="27" t="s">
        <v>325</v>
      </c>
      <c r="C123" s="28" t="s">
        <v>178</v>
      </c>
      <c r="D123" s="29">
        <v>6596.0</v>
      </c>
      <c r="E123" s="28" t="s">
        <v>326</v>
      </c>
      <c r="F123" s="7" t="str">
        <f>IFERROR(__xludf.DUMMYFUNCTION("GOOGLETRANSLATE(B123:B5064,""en"",""fr"")"),"papa")</f>
        <v>papa</v>
      </c>
    </row>
    <row r="124" ht="19.5" customHeight="1">
      <c r="A124" s="26" t="s">
        <v>327</v>
      </c>
      <c r="B124" s="27" t="s">
        <v>328</v>
      </c>
      <c r="C124" s="28" t="s">
        <v>100</v>
      </c>
      <c r="D124" s="29">
        <v>6499.0</v>
      </c>
      <c r="E124" s="28" t="s">
        <v>328</v>
      </c>
      <c r="F124" s="7" t="str">
        <f>IFERROR(__xludf.DUMMYFUNCTION("GOOGLETRANSLATE(B124:B5064,""en"",""fr"")"),"peut être")</f>
        <v>peut être</v>
      </c>
    </row>
    <row r="125" ht="19.5" customHeight="1">
      <c r="A125" s="26" t="s">
        <v>329</v>
      </c>
      <c r="B125" s="27" t="s">
        <v>330</v>
      </c>
      <c r="C125" s="28" t="s">
        <v>32</v>
      </c>
      <c r="D125" s="29">
        <v>6479.0</v>
      </c>
      <c r="E125" s="28" t="s">
        <v>331</v>
      </c>
      <c r="F125" s="7" t="str">
        <f>IFERROR(__xludf.DUMMYFUNCTION("GOOGLETRANSLATE(B125:B5064,""en"",""fr"")"),"sentir")</f>
        <v>sentir</v>
      </c>
    </row>
    <row r="126" ht="19.5" customHeight="1">
      <c r="A126" s="26" t="s">
        <v>332</v>
      </c>
      <c r="B126" s="27" t="s">
        <v>333</v>
      </c>
      <c r="C126" s="28" t="s">
        <v>178</v>
      </c>
      <c r="D126" s="29">
        <v>6447.0</v>
      </c>
      <c r="E126" s="28" t="s">
        <v>334</v>
      </c>
      <c r="F126" s="7" t="str">
        <f>IFERROR(__xludf.DUMMYFUNCTION("GOOGLETRANSLATE(B126:B5064,""en"",""fr"")"),"ami")</f>
        <v>ami</v>
      </c>
    </row>
    <row r="127" ht="19.5" customHeight="1">
      <c r="A127" s="26" t="s">
        <v>335</v>
      </c>
      <c r="B127" s="27" t="s">
        <v>336</v>
      </c>
      <c r="C127" s="28" t="s">
        <v>100</v>
      </c>
      <c r="D127" s="29">
        <v>6221.0</v>
      </c>
      <c r="E127" s="28" t="s">
        <v>336</v>
      </c>
      <c r="F127" s="7" t="str">
        <f>IFERROR(__xludf.DUMMYFUNCTION("GOOGLETRANSLATE(B127:B5064,""en"",""fr"")"),"même")</f>
        <v>même</v>
      </c>
    </row>
    <row r="128" ht="19.5" customHeight="1">
      <c r="A128" s="26" t="s">
        <v>337</v>
      </c>
      <c r="B128" s="27" t="s">
        <v>338</v>
      </c>
      <c r="C128" s="28" t="s">
        <v>134</v>
      </c>
      <c r="D128" s="29">
        <v>6177.0</v>
      </c>
      <c r="E128" s="28" t="s">
        <v>339</v>
      </c>
      <c r="F128" s="7" t="str">
        <f>IFERROR(__xludf.DUMMYFUNCTION("GOOGLETRANSLATE(B128:B5064,""en"",""fr"")"),"bien sûr")</f>
        <v>bien sûr</v>
      </c>
    </row>
    <row r="129" ht="19.5" customHeight="1">
      <c r="A129" s="26" t="s">
        <v>340</v>
      </c>
      <c r="B129" s="27" t="s">
        <v>341</v>
      </c>
      <c r="C129" s="28" t="s">
        <v>32</v>
      </c>
      <c r="D129" s="29">
        <v>6172.0</v>
      </c>
      <c r="E129" s="28" t="s">
        <v>342</v>
      </c>
      <c r="F129" s="7" t="str">
        <f>IFERROR(__xludf.DUMMYFUNCTION("GOOGLETRANSLATE(B129:B5064,""en"",""fr"")"),"trouver")</f>
        <v>trouver</v>
      </c>
    </row>
    <row r="130" ht="19.5" customHeight="1">
      <c r="A130" s="26" t="s">
        <v>343</v>
      </c>
      <c r="B130" s="27" t="s">
        <v>344</v>
      </c>
      <c r="C130" s="28" t="s">
        <v>178</v>
      </c>
      <c r="D130" s="29">
        <v>6056.0</v>
      </c>
      <c r="E130" s="28" t="s">
        <v>345</v>
      </c>
      <c r="F130" s="7" t="str">
        <f>IFERROR(__xludf.DUMMYFUNCTION("GOOGLETRANSLATE(B130:B5064,""en"",""fr"")"),"enfant")</f>
        <v>enfant</v>
      </c>
    </row>
    <row r="131" ht="19.5" customHeight="1">
      <c r="A131" s="26" t="s">
        <v>346</v>
      </c>
      <c r="B131" s="27" t="s">
        <v>347</v>
      </c>
      <c r="C131" s="28" t="s">
        <v>36</v>
      </c>
      <c r="D131" s="29">
        <v>5950.0</v>
      </c>
      <c r="E131" s="28" t="s">
        <v>347</v>
      </c>
      <c r="F131" s="7" t="str">
        <f>IFERROR(__xludf.DUMMYFUNCTION("GOOGLETRANSLATE(B131:B5064,""en"",""fr"")"),"ces")</f>
        <v>ces</v>
      </c>
    </row>
    <row r="132" ht="19.5" customHeight="1">
      <c r="A132" s="26" t="s">
        <v>348</v>
      </c>
      <c r="B132" s="27" t="s">
        <v>349</v>
      </c>
      <c r="C132" s="28" t="s">
        <v>178</v>
      </c>
      <c r="D132" s="29">
        <v>5937.0</v>
      </c>
      <c r="E132" s="28" t="s">
        <v>350</v>
      </c>
      <c r="F132" s="7" t="str">
        <f>IFERROR(__xludf.DUMMYFUNCTION("GOOGLETRANSLATE(B132:B5064,""en"",""fr"")"),"garçon")</f>
        <v>garçon</v>
      </c>
    </row>
    <row r="133" ht="19.5" customHeight="1">
      <c r="A133" s="26" t="s">
        <v>351</v>
      </c>
      <c r="B133" s="27" t="s">
        <v>352</v>
      </c>
      <c r="C133" s="28" t="s">
        <v>32</v>
      </c>
      <c r="D133" s="29">
        <v>5863.0</v>
      </c>
      <c r="E133" s="28" t="s">
        <v>353</v>
      </c>
      <c r="F133" s="7" t="str">
        <f>IFERROR(__xludf.DUMMYFUNCTION("GOOGLETRANSLATE(B133:B5064,""en"",""fr"")"),"mettre")</f>
        <v>mettre</v>
      </c>
    </row>
    <row r="134" ht="19.5" customHeight="1">
      <c r="A134" s="26" t="s">
        <v>354</v>
      </c>
      <c r="B134" s="27" t="s">
        <v>355</v>
      </c>
      <c r="C134" s="28" t="s">
        <v>100</v>
      </c>
      <c r="D134" s="29">
        <v>5856.0</v>
      </c>
      <c r="E134" s="28" t="s">
        <v>355</v>
      </c>
      <c r="F134" s="7" t="str">
        <f>IFERROR(__xludf.DUMMYFUNCTION("GOOGLETRANSLATE(B134:B5064,""en"",""fr"")"),"s'il te plaît")</f>
        <v>s'il te plaît</v>
      </c>
    </row>
    <row r="135" ht="19.5" customHeight="1">
      <c r="A135" s="26" t="s">
        <v>356</v>
      </c>
      <c r="B135" s="27" t="s">
        <v>357</v>
      </c>
      <c r="C135" s="28" t="s">
        <v>32</v>
      </c>
      <c r="D135" s="29">
        <v>5854.0</v>
      </c>
      <c r="E135" s="28" t="s">
        <v>358</v>
      </c>
      <c r="F135" s="7" t="str">
        <f>IFERROR(__xludf.DUMMYFUNCTION("GOOGLETRANSLATE(B135:B5064,""en"",""fr"")"),"arriver")</f>
        <v>arriver</v>
      </c>
    </row>
    <row r="136" ht="19.5" customHeight="1">
      <c r="A136" s="26" t="s">
        <v>359</v>
      </c>
      <c r="B136" s="27" t="s">
        <v>360</v>
      </c>
      <c r="C136" s="28" t="s">
        <v>36</v>
      </c>
      <c r="D136" s="29">
        <v>5811.0</v>
      </c>
      <c r="E136" s="28" t="s">
        <v>360</v>
      </c>
      <c r="F136" s="7" t="str">
        <f>IFERROR(__xludf.DUMMYFUNCTION("GOOGLETRANSLATE(B136:B5064,""en"",""fr"")"),"beaucoup")</f>
        <v>beaucoup</v>
      </c>
    </row>
    <row r="137" ht="19.5" customHeight="1">
      <c r="A137" s="26" t="s">
        <v>361</v>
      </c>
      <c r="B137" s="27" t="s">
        <v>362</v>
      </c>
      <c r="C137" s="28" t="s">
        <v>32</v>
      </c>
      <c r="D137" s="29">
        <v>5799.0</v>
      </c>
      <c r="E137" s="28" t="s">
        <v>363</v>
      </c>
      <c r="F137" s="7" t="str">
        <f>IFERROR(__xludf.DUMMYFUNCTION("GOOGLETRANSLATE(B137:B5064,""en"",""fr"")"),"arrêt")</f>
        <v>arrêt</v>
      </c>
    </row>
    <row r="138" ht="19.5" customHeight="1">
      <c r="A138" s="26" t="s">
        <v>364</v>
      </c>
      <c r="B138" s="27" t="s">
        <v>365</v>
      </c>
      <c r="C138" s="28" t="s">
        <v>178</v>
      </c>
      <c r="D138" s="29">
        <v>5761.0</v>
      </c>
      <c r="E138" s="28" t="s">
        <v>366</v>
      </c>
      <c r="F138" s="7" t="str">
        <f>IFERROR(__xludf.DUMMYFUNCTION("GOOGLETRANSLATE(B138:B5064,""en"",""fr"")"),"nuit")</f>
        <v>nuit</v>
      </c>
    </row>
    <row r="139" ht="19.5" customHeight="1">
      <c r="A139" s="26" t="s">
        <v>367</v>
      </c>
      <c r="B139" s="27" t="s">
        <v>368</v>
      </c>
      <c r="C139" s="28" t="s">
        <v>134</v>
      </c>
      <c r="D139" s="29">
        <v>5716.0</v>
      </c>
      <c r="E139" s="28" t="s">
        <v>369</v>
      </c>
      <c r="F139" s="7" t="str">
        <f>IFERROR(__xludf.DUMMYFUNCTION("GOOGLETRANSLATE(B139:B5064,""en"",""fr"")"),"mauvais")</f>
        <v>mauvais</v>
      </c>
    </row>
    <row r="140" ht="19.5" customHeight="1">
      <c r="A140" s="26" t="s">
        <v>370</v>
      </c>
      <c r="B140" s="27" t="s">
        <v>371</v>
      </c>
      <c r="C140" s="28" t="s">
        <v>36</v>
      </c>
      <c r="D140" s="29">
        <v>5686.0</v>
      </c>
      <c r="E140" s="28" t="s">
        <v>371</v>
      </c>
      <c r="F140" s="7" t="str">
        <f>IFERROR(__xludf.DUMMYFUNCTION("GOOGLETRANSLATE(B140:B5064,""en"",""fr"")"),"dans")</f>
        <v>dans</v>
      </c>
    </row>
    <row r="141" ht="19.5" customHeight="1">
      <c r="A141" s="26" t="s">
        <v>372</v>
      </c>
      <c r="B141" s="27" t="s">
        <v>373</v>
      </c>
      <c r="C141" s="28" t="s">
        <v>36</v>
      </c>
      <c r="D141" s="29">
        <v>5686.0</v>
      </c>
      <c r="E141" s="28" t="s">
        <v>373</v>
      </c>
      <c r="F141" s="7" t="str">
        <f>IFERROR(__xludf.DUMMYFUNCTION("GOOGLETRANSLATE(B141:B5064,""en"",""fr"")"),"ceux")</f>
        <v>ceux</v>
      </c>
    </row>
    <row r="142" ht="19.5" customHeight="1">
      <c r="A142" s="26" t="s">
        <v>374</v>
      </c>
      <c r="B142" s="27" t="s">
        <v>375</v>
      </c>
      <c r="C142" s="28" t="s">
        <v>36</v>
      </c>
      <c r="D142" s="29">
        <v>5626.0</v>
      </c>
      <c r="E142" s="28" t="s">
        <v>375</v>
      </c>
      <c r="F142" s="7" t="str">
        <f>IFERROR(__xludf.DUMMYFUNCTION("GOOGLETRANSLATE(B142:B5064,""en"",""fr"")"),"n'importe lequel")</f>
        <v>n'importe lequel</v>
      </c>
    </row>
    <row r="143" ht="19.5" customHeight="1">
      <c r="A143" s="26" t="s">
        <v>376</v>
      </c>
      <c r="B143" s="27" t="s">
        <v>175</v>
      </c>
      <c r="C143" s="28" t="s">
        <v>85</v>
      </c>
      <c r="D143" s="29">
        <v>5623.0</v>
      </c>
      <c r="E143" s="28" t="s">
        <v>175</v>
      </c>
      <c r="F143" s="7" t="str">
        <f>IFERROR(__xludf.DUMMYFUNCTION("GOOGLETRANSLATE(B143:B5064,""en"",""fr"")"),"droite")</f>
        <v>droite</v>
      </c>
    </row>
    <row r="144" ht="19.5" customHeight="1">
      <c r="A144" s="26" t="s">
        <v>377</v>
      </c>
      <c r="B144" s="27" t="s">
        <v>378</v>
      </c>
      <c r="C144" s="28" t="s">
        <v>150</v>
      </c>
      <c r="D144" s="29">
        <v>5605.0</v>
      </c>
      <c r="E144" s="28" t="s">
        <v>378</v>
      </c>
      <c r="F144" s="7" t="str">
        <f>IFERROR(__xludf.DUMMYFUNCTION("GOOGLETRANSLATE(B144:B5064,""en"",""fr"")"),"d'abord")</f>
        <v>d'abord</v>
      </c>
    </row>
    <row r="145" ht="19.5" customHeight="1">
      <c r="A145" s="26" t="s">
        <v>379</v>
      </c>
      <c r="B145" s="27" t="s">
        <v>380</v>
      </c>
      <c r="C145" s="28" t="s">
        <v>32</v>
      </c>
      <c r="D145" s="29">
        <v>5529.0</v>
      </c>
      <c r="E145" s="28" t="s">
        <v>381</v>
      </c>
      <c r="F145" s="7" t="str">
        <f>IFERROR(__xludf.DUMMYFUNCTION("GOOGLETRANSLATE(B145:B5064,""en"",""fr"")"),"partir")</f>
        <v>partir</v>
      </c>
    </row>
    <row r="146" ht="19.5" customHeight="1">
      <c r="A146" s="26" t="s">
        <v>382</v>
      </c>
      <c r="B146" s="27" t="s">
        <v>383</v>
      </c>
      <c r="C146" s="28" t="s">
        <v>178</v>
      </c>
      <c r="D146" s="29">
        <v>5520.0</v>
      </c>
      <c r="E146" s="28" t="s">
        <v>384</v>
      </c>
      <c r="F146" s="7" t="str">
        <f>IFERROR(__xludf.DUMMYFUNCTION("GOOGLETRANSLATE(B146:B5064,""en"",""fr"")"),"année")</f>
        <v>année</v>
      </c>
    </row>
    <row r="147" ht="19.5" customHeight="1">
      <c r="A147" s="26" t="s">
        <v>385</v>
      </c>
      <c r="B147" s="27" t="s">
        <v>386</v>
      </c>
      <c r="C147" s="28" t="s">
        <v>32</v>
      </c>
      <c r="D147" s="29">
        <v>5517.0</v>
      </c>
      <c r="E147" s="28" t="s">
        <v>387</v>
      </c>
      <c r="F147" s="7" t="str">
        <f>IFERROR(__xludf.DUMMYFUNCTION("GOOGLETRANSLATE(B147:B5064,""en"",""fr"")"),"entendre")</f>
        <v>entendre</v>
      </c>
    </row>
    <row r="148" ht="19.5" customHeight="1">
      <c r="A148" s="26" t="s">
        <v>388</v>
      </c>
      <c r="B148" s="27" t="s">
        <v>175</v>
      </c>
      <c r="C148" s="28" t="s">
        <v>100</v>
      </c>
      <c r="D148" s="29">
        <v>5334.0</v>
      </c>
      <c r="E148" s="28" t="s">
        <v>175</v>
      </c>
      <c r="F148" s="7" t="str">
        <f>IFERROR(__xludf.DUMMYFUNCTION("GOOGLETRANSLATE(B148:B5064,""en"",""fr"")"),"droite")</f>
        <v>droite</v>
      </c>
    </row>
    <row r="149" ht="19.5" customHeight="1">
      <c r="A149" s="26" t="s">
        <v>389</v>
      </c>
      <c r="B149" s="27" t="s">
        <v>390</v>
      </c>
      <c r="C149" s="28" t="s">
        <v>100</v>
      </c>
      <c r="D149" s="29">
        <v>5259.0</v>
      </c>
      <c r="E149" s="28" t="s">
        <v>390</v>
      </c>
      <c r="F149" s="7" t="str">
        <f>IFERROR(__xludf.DUMMYFUNCTION("GOOGLETRANSLATE(B149:B5064,""en"",""fr"")"),"jamais")</f>
        <v>jamais</v>
      </c>
    </row>
    <row r="150" ht="19.5" customHeight="1">
      <c r="A150" s="26" t="s">
        <v>391</v>
      </c>
      <c r="B150" s="27" t="s">
        <v>392</v>
      </c>
      <c r="C150" s="28" t="s">
        <v>178</v>
      </c>
      <c r="D150" s="29">
        <v>5256.0</v>
      </c>
      <c r="E150" s="28" t="s">
        <v>393</v>
      </c>
      <c r="F150" s="7" t="str">
        <f>IFERROR(__xludf.DUMMYFUNCTION("GOOGLETRANSLATE(B150:B5064,""en"",""fr"")"),"M")</f>
        <v>M</v>
      </c>
    </row>
    <row r="151" ht="19.5" customHeight="1">
      <c r="A151" s="26" t="s">
        <v>394</v>
      </c>
      <c r="B151" s="27" t="s">
        <v>395</v>
      </c>
      <c r="C151" s="28" t="s">
        <v>100</v>
      </c>
      <c r="D151" s="29">
        <v>5254.0</v>
      </c>
      <c r="E151" s="28" t="s">
        <v>395</v>
      </c>
      <c r="F151" s="7" t="str">
        <f>IFERROR(__xludf.DUMMYFUNCTION("GOOGLETRANSLATE(B151:B5064,""en"",""fr"")"),"encore")</f>
        <v>encore</v>
      </c>
    </row>
    <row r="152" ht="19.5" customHeight="1">
      <c r="A152" s="26" t="s">
        <v>396</v>
      </c>
      <c r="B152" s="27" t="s">
        <v>397</v>
      </c>
      <c r="C152" s="28" t="s">
        <v>32</v>
      </c>
      <c r="D152" s="29">
        <v>5245.0</v>
      </c>
      <c r="E152" s="28" t="s">
        <v>398</v>
      </c>
      <c r="F152" s="7" t="str">
        <f>IFERROR(__xludf.DUMMYFUNCTION("GOOGLETRANSLATE(B152:B5064,""en"",""fr"")"),"utiliser")</f>
        <v>utiliser</v>
      </c>
    </row>
    <row r="153" ht="19.5" customHeight="1">
      <c r="A153" s="26" t="s">
        <v>399</v>
      </c>
      <c r="B153" s="27" t="s">
        <v>400</v>
      </c>
      <c r="C153" s="28" t="s">
        <v>178</v>
      </c>
      <c r="D153" s="29">
        <v>5205.0</v>
      </c>
      <c r="E153" s="28" t="s">
        <v>401</v>
      </c>
      <c r="F153" s="7" t="str">
        <f>IFERROR(__xludf.DUMMYFUNCTION("GOOGLETRANSLATE(B153:B5064,""en"",""fr"")"),"maman")</f>
        <v>maman</v>
      </c>
    </row>
    <row r="154" ht="19.5" customHeight="1">
      <c r="A154" s="26" t="s">
        <v>402</v>
      </c>
      <c r="B154" s="27" t="s">
        <v>403</v>
      </c>
      <c r="C154" s="28" t="s">
        <v>32</v>
      </c>
      <c r="D154" s="29">
        <v>5180.0</v>
      </c>
      <c r="E154" s="28" t="s">
        <v>404</v>
      </c>
      <c r="F154" s="7" t="str">
        <f>IFERROR(__xludf.DUMMYFUNCTION("GOOGLETRANSLATE(B154:B5064,""en"",""fr"")"),"peut")</f>
        <v>peut</v>
      </c>
    </row>
    <row r="155" ht="19.5" customHeight="1">
      <c r="A155" s="26" t="s">
        <v>405</v>
      </c>
      <c r="B155" s="27" t="s">
        <v>406</v>
      </c>
      <c r="C155" s="28" t="s">
        <v>85</v>
      </c>
      <c r="D155" s="29">
        <v>5173.0</v>
      </c>
      <c r="E155" s="28" t="s">
        <v>406</v>
      </c>
      <c r="F155" s="7" t="str">
        <f>IFERROR(__xludf.DUMMYFUNCTION("GOOGLETRANSLATE(B155:B5064,""en"",""fr"")"),"Salut")</f>
        <v>Salut</v>
      </c>
    </row>
    <row r="156" ht="19.5" customHeight="1">
      <c r="A156" s="26" t="s">
        <v>407</v>
      </c>
      <c r="B156" s="27" t="s">
        <v>408</v>
      </c>
      <c r="C156" s="28" t="s">
        <v>178</v>
      </c>
      <c r="D156" s="29">
        <v>5169.0</v>
      </c>
      <c r="E156" s="28" t="s">
        <v>409</v>
      </c>
      <c r="F156" s="7" t="str">
        <f>IFERROR(__xludf.DUMMYFUNCTION("GOOGLETRANSLATE(B156:B5064,""en"",""fr"")"),"vie")</f>
        <v>vie</v>
      </c>
    </row>
    <row r="157" ht="19.5" customHeight="1">
      <c r="A157" s="26" t="s">
        <v>410</v>
      </c>
      <c r="B157" s="27" t="s">
        <v>411</v>
      </c>
      <c r="C157" s="28" t="s">
        <v>134</v>
      </c>
      <c r="D157" s="29">
        <v>5059.0</v>
      </c>
      <c r="E157" s="28" t="s">
        <v>412</v>
      </c>
      <c r="F157" s="7" t="str">
        <f>IFERROR(__xludf.DUMMYFUNCTION("GOOGLETRANSLATE(B157:B5064,""en"",""fr"")"),"bon")</f>
        <v>bon</v>
      </c>
    </row>
    <row r="158" ht="19.5" customHeight="1">
      <c r="A158" s="26" t="s">
        <v>413</v>
      </c>
      <c r="B158" s="27" t="s">
        <v>414</v>
      </c>
      <c r="C158" s="28" t="s">
        <v>134</v>
      </c>
      <c r="D158" s="29">
        <v>5055.0</v>
      </c>
      <c r="E158" s="28" t="s">
        <v>415</v>
      </c>
      <c r="F158" s="7" t="str">
        <f>IFERROR(__xludf.DUMMYFUNCTION("GOOGLETRANSLATE(B158:B5064,""en"",""fr"")"),"nouveau")</f>
        <v>nouveau</v>
      </c>
    </row>
    <row r="159" ht="19.5" customHeight="1">
      <c r="A159" s="26" t="s">
        <v>416</v>
      </c>
      <c r="B159" s="27" t="s">
        <v>417</v>
      </c>
      <c r="C159" s="28" t="s">
        <v>100</v>
      </c>
      <c r="D159" s="29">
        <v>5024.0</v>
      </c>
      <c r="E159" s="28" t="s">
        <v>417</v>
      </c>
      <c r="F159" s="7" t="str">
        <f>IFERROR(__xludf.DUMMYFUNCTION("GOOGLETRANSLATE(B159:B5064,""en"",""fr"")"),"toujours")</f>
        <v>toujours</v>
      </c>
    </row>
    <row r="160" ht="19.5" customHeight="1">
      <c r="A160" s="26" t="s">
        <v>418</v>
      </c>
      <c r="B160" s="27" t="s">
        <v>419</v>
      </c>
      <c r="C160" s="28" t="s">
        <v>178</v>
      </c>
      <c r="D160" s="29">
        <v>4928.0</v>
      </c>
      <c r="E160" s="28" t="s">
        <v>420</v>
      </c>
      <c r="F160" s="7" t="str">
        <f>IFERROR(__xludf.DUMMYFUNCTION("GOOGLETRANSLATE(B160:B5064,""en"",""fr"")"),"gentil")</f>
        <v>gentil</v>
      </c>
    </row>
    <row r="161" ht="19.5" customHeight="1">
      <c r="A161" s="26" t="s">
        <v>421</v>
      </c>
      <c r="B161" s="27" t="s">
        <v>422</v>
      </c>
      <c r="C161" s="28" t="s">
        <v>36</v>
      </c>
      <c r="D161" s="29">
        <v>4714.0</v>
      </c>
      <c r="E161" s="28" t="s">
        <v>422</v>
      </c>
      <c r="F161" s="7" t="str">
        <f>IFERROR(__xludf.DUMMYFUNCTION("GOOGLETRANSLATE(B161:B5064,""en"",""fr"")"),"rien")</f>
        <v>rien</v>
      </c>
    </row>
    <row r="162" ht="19.5" customHeight="1">
      <c r="A162" s="26" t="s">
        <v>423</v>
      </c>
      <c r="B162" s="27" t="s">
        <v>424</v>
      </c>
      <c r="C162" s="28" t="s">
        <v>100</v>
      </c>
      <c r="D162" s="29">
        <v>4704.0</v>
      </c>
      <c r="E162" s="28" t="s">
        <v>424</v>
      </c>
      <c r="F162" s="7" t="str">
        <f>IFERROR(__xludf.DUMMYFUNCTION("GOOGLETRANSLATE(B162:B5064,""en"",""fr"")"),"seulement")</f>
        <v>seulement</v>
      </c>
    </row>
    <row r="163" ht="19.5" customHeight="1">
      <c r="A163" s="26" t="s">
        <v>425</v>
      </c>
      <c r="B163" s="27" t="s">
        <v>426</v>
      </c>
      <c r="C163" s="28" t="s">
        <v>178</v>
      </c>
      <c r="D163" s="29">
        <v>4676.0</v>
      </c>
      <c r="E163" s="28" t="s">
        <v>427</v>
      </c>
      <c r="F163" s="7" t="str">
        <f>IFERROR(__xludf.DUMMYFUNCTION("GOOGLETRANSLATE(B163:B5064,""en"",""fr"")"),"bébé")</f>
        <v>bébé</v>
      </c>
    </row>
    <row r="164" ht="19.5" customHeight="1">
      <c r="A164" s="26" t="s">
        <v>428</v>
      </c>
      <c r="B164" s="27" t="s">
        <v>429</v>
      </c>
      <c r="C164" s="28" t="s">
        <v>36</v>
      </c>
      <c r="D164" s="29">
        <v>4671.0</v>
      </c>
      <c r="E164" s="28" t="s">
        <v>429</v>
      </c>
      <c r="F164" s="7" t="str">
        <f>IFERROR(__xludf.DUMMYFUNCTION("GOOGLETRANSLATE(B164:B5064,""en"",""fr"")"),"que")</f>
        <v>que</v>
      </c>
    </row>
    <row r="165" ht="19.5" customHeight="1">
      <c r="A165" s="26" t="s">
        <v>430</v>
      </c>
      <c r="B165" s="27" t="s">
        <v>431</v>
      </c>
      <c r="C165" s="28" t="s">
        <v>134</v>
      </c>
      <c r="D165" s="29">
        <v>4571.0</v>
      </c>
      <c r="E165" s="28" t="s">
        <v>432</v>
      </c>
      <c r="F165" s="7" t="str">
        <f>IFERROR(__xludf.DUMMYFUNCTION("GOOGLETRANSLATE(B165:B5064,""en"",""fr"")"),"bien")</f>
        <v>bien</v>
      </c>
    </row>
    <row r="166" ht="19.5" customHeight="1">
      <c r="A166" s="26" t="s">
        <v>433</v>
      </c>
      <c r="B166" s="27" t="s">
        <v>434</v>
      </c>
      <c r="C166" s="28" t="s">
        <v>85</v>
      </c>
      <c r="D166" s="29">
        <v>4554.0</v>
      </c>
      <c r="E166" s="28" t="s">
        <v>434</v>
      </c>
      <c r="F166" s="7" t="str">
        <f>IFERROR(__xludf.DUMMYFUNCTION("GOOGLETRANSLATE(B166:B5064,""en"",""fr"")"),"Bonjour")</f>
        <v>Bonjour</v>
      </c>
    </row>
    <row r="167" ht="19.5" customHeight="1">
      <c r="A167" s="26" t="s">
        <v>435</v>
      </c>
      <c r="B167" s="27" t="s">
        <v>436</v>
      </c>
      <c r="C167" s="28" t="s">
        <v>32</v>
      </c>
      <c r="D167" s="29">
        <v>4549.0</v>
      </c>
      <c r="E167" s="28" t="s">
        <v>437</v>
      </c>
      <c r="F167" s="7" t="str">
        <f>IFERROR(__xludf.DUMMYFUNCTION("GOOGLETRANSLATE(B167:B5064,""en"",""fr"")"),"garder")</f>
        <v>garder</v>
      </c>
    </row>
    <row r="168" ht="19.5" customHeight="1">
      <c r="A168" s="26" t="s">
        <v>438</v>
      </c>
      <c r="B168" s="27" t="s">
        <v>439</v>
      </c>
      <c r="C168" s="28" t="s">
        <v>178</v>
      </c>
      <c r="D168" s="29">
        <v>4526.0</v>
      </c>
      <c r="E168" s="28" t="s">
        <v>440</v>
      </c>
      <c r="F168" s="7" t="str">
        <f>IFERROR(__xludf.DUMMYFUNCTION("GOOGLETRANSLATE(B168:B5064,""en"",""fr"")"),"fille")</f>
        <v>fille</v>
      </c>
    </row>
    <row r="169" ht="19.5" customHeight="1">
      <c r="A169" s="26" t="s">
        <v>441</v>
      </c>
      <c r="B169" s="27" t="s">
        <v>442</v>
      </c>
      <c r="C169" s="28" t="s">
        <v>32</v>
      </c>
      <c r="D169" s="29">
        <v>4519.0</v>
      </c>
      <c r="E169" s="28" t="s">
        <v>443</v>
      </c>
      <c r="F169" s="7" t="str">
        <f>IFERROR(__xludf.DUMMYFUNCTION("GOOGLETRANSLATE(B169:B5064,""en"",""fr"")"),"aide")</f>
        <v>aide</v>
      </c>
    </row>
    <row r="170" ht="19.5" customHeight="1">
      <c r="A170" s="26" t="s">
        <v>444</v>
      </c>
      <c r="B170" s="27" t="s">
        <v>445</v>
      </c>
      <c r="C170" s="28" t="s">
        <v>32</v>
      </c>
      <c r="D170" s="29">
        <v>4502.0</v>
      </c>
      <c r="E170" s="28" t="s">
        <v>446</v>
      </c>
      <c r="F170" s="7" t="str">
        <f>IFERROR(__xludf.DUMMYFUNCTION("GOOGLETRANSLATE(B170:B5064,""en"",""fr"")"),"croire")</f>
        <v>croire</v>
      </c>
    </row>
    <row r="171" ht="19.5" customHeight="1">
      <c r="A171" s="26" t="s">
        <v>447</v>
      </c>
      <c r="B171" s="27" t="s">
        <v>448</v>
      </c>
      <c r="C171" s="28" t="s">
        <v>178</v>
      </c>
      <c r="D171" s="29">
        <v>4444.0</v>
      </c>
      <c r="E171" s="28" t="s">
        <v>449</v>
      </c>
      <c r="F171" s="7" t="str">
        <f>IFERROR(__xludf.DUMMYFUNCTION("GOOGLETRANSLATE(B171:B5064,""en"",""fr"")"),"femme")</f>
        <v>femme</v>
      </c>
    </row>
    <row r="172" ht="19.5" customHeight="1">
      <c r="A172" s="26" t="s">
        <v>450</v>
      </c>
      <c r="B172" s="27" t="s">
        <v>451</v>
      </c>
      <c r="C172" s="28" t="s">
        <v>178</v>
      </c>
      <c r="D172" s="29">
        <v>4408.0</v>
      </c>
      <c r="E172" s="28" t="s">
        <v>452</v>
      </c>
      <c r="F172" s="7" t="str">
        <f>IFERROR(__xludf.DUMMYFUNCTION("GOOGLETRANSLATE(B172:B5064,""en"",""fr"")"),"parcelle")</f>
        <v>parcelle</v>
      </c>
    </row>
    <row r="173" ht="19.5" customHeight="1">
      <c r="A173" s="26" t="s">
        <v>453</v>
      </c>
      <c r="B173" s="27" t="s">
        <v>454</v>
      </c>
      <c r="C173" s="28" t="s">
        <v>32</v>
      </c>
      <c r="D173" s="29">
        <v>4377.0</v>
      </c>
      <c r="E173" s="28" t="s">
        <v>455</v>
      </c>
      <c r="F173" s="7" t="str">
        <f>IFERROR(__xludf.DUMMYFUNCTION("GOOGLETRANSLATE(B173:B5064,""en"",""fr"")"),"jouer")</f>
        <v>jouer</v>
      </c>
    </row>
    <row r="174" ht="19.5" customHeight="1">
      <c r="A174" s="26" t="s">
        <v>456</v>
      </c>
      <c r="B174" s="27" t="s">
        <v>457</v>
      </c>
      <c r="C174" s="28" t="s">
        <v>32</v>
      </c>
      <c r="D174" s="29">
        <v>4367.0</v>
      </c>
      <c r="E174" s="28" t="s">
        <v>458</v>
      </c>
      <c r="F174" s="7" t="str">
        <f>IFERROR(__xludf.DUMMYFUNCTION("GOOGLETRANSLATE(B174:B5064,""en"",""fr"")"),"demander")</f>
        <v>demander</v>
      </c>
    </row>
    <row r="175" ht="19.5" customHeight="1">
      <c r="A175" s="26" t="s">
        <v>459</v>
      </c>
      <c r="B175" s="27" t="s">
        <v>460</v>
      </c>
      <c r="C175" s="28" t="s">
        <v>32</v>
      </c>
      <c r="D175" s="29">
        <v>4363.0</v>
      </c>
      <c r="E175" s="28" t="s">
        <v>461</v>
      </c>
      <c r="F175" s="7" t="str">
        <f>IFERROR(__xludf.DUMMYFUNCTION("GOOGLETRANSLATE(B175:B5064,""en"",""fr"")"),"commencer")</f>
        <v>commencer</v>
      </c>
    </row>
    <row r="176" ht="19.5" customHeight="1">
      <c r="A176" s="26" t="s">
        <v>462</v>
      </c>
      <c r="B176" s="27" t="s">
        <v>463</v>
      </c>
      <c r="C176" s="28" t="s">
        <v>178</v>
      </c>
      <c r="D176" s="29">
        <v>4348.0</v>
      </c>
      <c r="E176" s="28" t="s">
        <v>464</v>
      </c>
      <c r="F176" s="7" t="str">
        <f>IFERROR(__xludf.DUMMYFUNCTION("GOOGLETRANSLATE(B176:B5064,""en"",""fr"")"),"maison")</f>
        <v>maison</v>
      </c>
    </row>
    <row r="177" ht="19.5" customHeight="1">
      <c r="A177" s="26" t="s">
        <v>465</v>
      </c>
      <c r="B177" s="27" t="s">
        <v>466</v>
      </c>
      <c r="C177" s="28" t="s">
        <v>36</v>
      </c>
      <c r="D177" s="29">
        <v>4330.0</v>
      </c>
      <c r="E177" s="28" t="s">
        <v>466</v>
      </c>
      <c r="F177" s="7" t="str">
        <f>IFERROR(__xludf.DUMMYFUNCTION("GOOGLETRANSLATE(B177:B5064,""en"",""fr"")"),"rien")</f>
        <v>rien</v>
      </c>
    </row>
    <row r="178" ht="19.5" customHeight="1">
      <c r="A178" s="26" t="s">
        <v>467</v>
      </c>
      <c r="B178" s="27" t="s">
        <v>468</v>
      </c>
      <c r="C178" s="28" t="s">
        <v>85</v>
      </c>
      <c r="D178" s="29">
        <v>4242.0</v>
      </c>
      <c r="E178" s="28" t="s">
        <v>469</v>
      </c>
      <c r="F178" s="7" t="str">
        <f>IFERROR(__xludf.DUMMYFUNCTION("GOOGLETRANSLATE(B178:B5064,""en"",""fr"")"),"Hmm")</f>
        <v>Hmm</v>
      </c>
    </row>
    <row r="179" ht="19.5" customHeight="1">
      <c r="A179" s="26" t="s">
        <v>470</v>
      </c>
      <c r="B179" s="27" t="s">
        <v>471</v>
      </c>
      <c r="C179" s="28" t="s">
        <v>36</v>
      </c>
      <c r="D179" s="29">
        <v>4191.0</v>
      </c>
      <c r="E179" s="28" t="s">
        <v>472</v>
      </c>
      <c r="F179" s="7" t="str">
        <f>IFERROR(__xludf.DUMMYFUNCTION("GOOGLETRANSLATE(B179:B5064,""en"",""fr"")"),"leur")</f>
        <v>leur</v>
      </c>
    </row>
    <row r="180" ht="19.5" customHeight="1">
      <c r="A180" s="26" t="s">
        <v>473</v>
      </c>
      <c r="B180" s="27" t="s">
        <v>474</v>
      </c>
      <c r="C180" s="28" t="s">
        <v>32</v>
      </c>
      <c r="D180" s="29">
        <v>4185.0</v>
      </c>
      <c r="E180" s="28" t="s">
        <v>475</v>
      </c>
      <c r="F180" s="7" t="str">
        <f>IFERROR(__xludf.DUMMYFUNCTION("GOOGLETRANSLATE(B180:B5064,""en"",""fr"")"),"rencontrer")</f>
        <v>rencontrer</v>
      </c>
    </row>
    <row r="181" ht="19.5" customHeight="1">
      <c r="A181" s="26" t="s">
        <v>476</v>
      </c>
      <c r="B181" s="27" t="s">
        <v>477</v>
      </c>
      <c r="C181" s="28" t="s">
        <v>85</v>
      </c>
      <c r="D181" s="29">
        <v>4127.0</v>
      </c>
      <c r="E181" s="28" t="s">
        <v>477</v>
      </c>
      <c r="F181" s="7" t="str">
        <f>IFERROR(__xludf.DUMMYFUNCTION("GOOGLETRANSLATE(B181:B5064,""en"",""fr"")"),"hein")</f>
        <v>hein</v>
      </c>
    </row>
    <row r="182" ht="19.5" customHeight="1">
      <c r="A182" s="26" t="s">
        <v>478</v>
      </c>
      <c r="B182" s="27" t="s">
        <v>479</v>
      </c>
      <c r="C182" s="28" t="s">
        <v>32</v>
      </c>
      <c r="D182" s="29">
        <v>4075.0</v>
      </c>
      <c r="E182" s="28" t="s">
        <v>480</v>
      </c>
      <c r="F182" s="7" t="str">
        <f>IFERROR(__xludf.DUMMYFUNCTION("GOOGLETRANSLATE(B182:B5064,""en"",""fr"")"),"montrer")</f>
        <v>montrer</v>
      </c>
    </row>
    <row r="183" ht="19.5" customHeight="1">
      <c r="A183" s="26" t="s">
        <v>481</v>
      </c>
      <c r="B183" s="27" t="s">
        <v>482</v>
      </c>
      <c r="C183" s="28" t="s">
        <v>36</v>
      </c>
      <c r="D183" s="29">
        <v>4013.0</v>
      </c>
      <c r="E183" s="28" t="s">
        <v>482</v>
      </c>
      <c r="F183" s="7" t="str">
        <f>IFERROR(__xludf.DUMMYFUNCTION("GOOGLETRANSLATE(B183:B5064,""en"",""fr"")"),"autour")</f>
        <v>autour</v>
      </c>
    </row>
    <row r="184" ht="19.5" customHeight="1">
      <c r="A184" s="26" t="s">
        <v>483</v>
      </c>
      <c r="B184" s="27" t="s">
        <v>484</v>
      </c>
      <c r="C184" s="28" t="s">
        <v>32</v>
      </c>
      <c r="D184" s="29">
        <v>3988.0</v>
      </c>
      <c r="E184" s="28" t="s">
        <v>485</v>
      </c>
      <c r="F184" s="7" t="str">
        <f>IFERROR(__xludf.DUMMYFUNCTION("GOOGLETRANSLATE(B184:B5064,""en"",""fr"")"),"deviner")</f>
        <v>deviner</v>
      </c>
    </row>
    <row r="185" ht="19.5" customHeight="1">
      <c r="A185" s="26" t="s">
        <v>486</v>
      </c>
      <c r="B185" s="27" t="s">
        <v>487</v>
      </c>
      <c r="C185" s="28" t="s">
        <v>134</v>
      </c>
      <c r="D185" s="29">
        <v>3955.0</v>
      </c>
      <c r="E185" s="28" t="s">
        <v>488</v>
      </c>
      <c r="F185" s="7" t="str">
        <f>IFERROR(__xludf.DUMMYFUNCTION("GOOGLETRANSLATE(B185:B5064,""en"",""fr"")"),"vieux")</f>
        <v>vieux</v>
      </c>
    </row>
    <row r="186" ht="19.5" customHeight="1">
      <c r="A186" s="26" t="s">
        <v>489</v>
      </c>
      <c r="B186" s="27" t="s">
        <v>490</v>
      </c>
      <c r="C186" s="28" t="s">
        <v>178</v>
      </c>
      <c r="D186" s="29">
        <v>3890.0</v>
      </c>
      <c r="E186" s="28" t="s">
        <v>490</v>
      </c>
      <c r="F186" s="7" t="str">
        <f>IFERROR(__xludf.DUMMYFUNCTION("GOOGLETRANSLATE(B186:B5064,""en"",""fr"")"),"enfer")</f>
        <v>enfer</v>
      </c>
    </row>
    <row r="187" ht="19.5" customHeight="1">
      <c r="A187" s="26" t="s">
        <v>491</v>
      </c>
      <c r="B187" s="27" t="s">
        <v>492</v>
      </c>
      <c r="C187" s="28" t="s">
        <v>36</v>
      </c>
      <c r="D187" s="29">
        <v>3883.0</v>
      </c>
      <c r="E187" s="28" t="s">
        <v>492</v>
      </c>
      <c r="F187" s="7" t="str">
        <f>IFERROR(__xludf.DUMMYFUNCTION("GOOGLETRANSLATE(B187:B5064,""en"",""fr"")"),"avant")</f>
        <v>avant</v>
      </c>
    </row>
    <row r="188" ht="19.5" customHeight="1">
      <c r="A188" s="26" t="s">
        <v>493</v>
      </c>
      <c r="B188" s="27" t="s">
        <v>494</v>
      </c>
      <c r="C188" s="28" t="s">
        <v>100</v>
      </c>
      <c r="D188" s="29">
        <v>3868.0</v>
      </c>
      <c r="E188" s="28" t="s">
        <v>494</v>
      </c>
      <c r="F188" s="7" t="str">
        <f>IFERROR(__xludf.DUMMYFUNCTION("GOOGLETRANSLATE(B188:B5064,""en"",""fr"")"),"toujours")</f>
        <v>toujours</v>
      </c>
    </row>
    <row r="189" ht="19.5" customHeight="1">
      <c r="A189" s="26" t="s">
        <v>495</v>
      </c>
      <c r="B189" s="27" t="s">
        <v>496</v>
      </c>
      <c r="C189" s="28" t="s">
        <v>150</v>
      </c>
      <c r="D189" s="29">
        <v>3861.0</v>
      </c>
      <c r="E189" s="28" t="s">
        <v>497</v>
      </c>
      <c r="F189" s="7" t="str">
        <f>IFERROR(__xludf.DUMMYFUNCTION("GOOGLETRANSLATE(B189:B5064,""en"",""fr"")"),"trois")</f>
        <v>trois</v>
      </c>
    </row>
    <row r="190" ht="19.5" customHeight="1">
      <c r="A190" s="26" t="s">
        <v>498</v>
      </c>
      <c r="B190" s="27" t="s">
        <v>499</v>
      </c>
      <c r="C190" s="28" t="s">
        <v>85</v>
      </c>
      <c r="D190" s="29">
        <v>3758.0</v>
      </c>
      <c r="E190" s="28" t="s">
        <v>499</v>
      </c>
      <c r="F190" s="7" t="str">
        <f>IFERROR(__xludf.DUMMYFUNCTION("GOOGLETRANSLATE(B190:B5064,""en"",""fr"")"),"Ouah")</f>
        <v>Ouah</v>
      </c>
    </row>
    <row r="191" ht="19.5" customHeight="1">
      <c r="A191" s="26" t="s">
        <v>500</v>
      </c>
      <c r="B191" s="27" t="s">
        <v>501</v>
      </c>
      <c r="C191" s="28" t="s">
        <v>32</v>
      </c>
      <c r="D191" s="29">
        <v>3744.0</v>
      </c>
      <c r="E191" s="28" t="s">
        <v>502</v>
      </c>
      <c r="F191" s="7" t="str">
        <f>IFERROR(__xludf.DUMMYFUNCTION("GOOGLETRANSLATE(B191:B5064,""en"",""fr"")"),"écouter")</f>
        <v>écouter</v>
      </c>
    </row>
    <row r="192" ht="19.5" customHeight="1">
      <c r="A192" s="26" t="s">
        <v>503</v>
      </c>
      <c r="B192" s="27" t="s">
        <v>504</v>
      </c>
      <c r="C192" s="28" t="s">
        <v>85</v>
      </c>
      <c r="D192" s="29">
        <v>3726.0</v>
      </c>
      <c r="E192" s="28" t="s">
        <v>504</v>
      </c>
      <c r="F192" s="7" t="str">
        <f>IFERROR(__xludf.DUMMYFUNCTION("GOOGLETRANSLATE(B192:B5064,""en"",""fr"")"),"merci")</f>
        <v>merci</v>
      </c>
    </row>
    <row r="193" ht="19.5" customHeight="1">
      <c r="A193" s="26" t="s">
        <v>505</v>
      </c>
      <c r="B193" s="27" t="s">
        <v>506</v>
      </c>
      <c r="C193" s="28" t="s">
        <v>178</v>
      </c>
      <c r="D193" s="29">
        <v>3718.0</v>
      </c>
      <c r="E193" s="28" t="s">
        <v>507</v>
      </c>
      <c r="F193" s="7" t="str">
        <f>IFERROR(__xludf.DUMMYFUNCTION("GOOGLETRANSLATE(B193:B5064,""en"",""fr"")"),"minute")</f>
        <v>minute</v>
      </c>
    </row>
    <row r="194" ht="19.5" customHeight="1">
      <c r="A194" s="26" t="s">
        <v>508</v>
      </c>
      <c r="B194" s="27" t="s">
        <v>509</v>
      </c>
      <c r="C194" s="28" t="s">
        <v>100</v>
      </c>
      <c r="D194" s="29">
        <v>3706.0</v>
      </c>
      <c r="E194" s="28" t="s">
        <v>509</v>
      </c>
      <c r="F194" s="7" t="str">
        <f>IFERROR(__xludf.DUMMYFUNCTION("GOOGLETRANSLATE(B194:B5064,""en"",""fr"")"),"en fait")</f>
        <v>en fait</v>
      </c>
    </row>
    <row r="195" ht="19.5" customHeight="1">
      <c r="A195" s="26" t="s">
        <v>510</v>
      </c>
      <c r="B195" s="27" t="s">
        <v>511</v>
      </c>
      <c r="C195" s="28" t="s">
        <v>32</v>
      </c>
      <c r="D195" s="29">
        <v>3701.0</v>
      </c>
      <c r="E195" s="28" t="s">
        <v>512</v>
      </c>
      <c r="F195" s="7" t="str">
        <f>IFERROR(__xludf.DUMMYFUNCTION("GOOGLETRANSLATE(B195:B5064,""en"",""fr"")"),"manger")</f>
        <v>manger</v>
      </c>
    </row>
    <row r="196" ht="19.5" customHeight="1">
      <c r="A196" s="26" t="s">
        <v>513</v>
      </c>
      <c r="B196" s="27" t="s">
        <v>514</v>
      </c>
      <c r="C196" s="28" t="s">
        <v>178</v>
      </c>
      <c r="D196" s="29">
        <v>3620.0</v>
      </c>
      <c r="E196" s="28" t="s">
        <v>515</v>
      </c>
      <c r="F196" s="7" t="str">
        <f>IFERROR(__xludf.DUMMYFUNCTION("GOOGLETRANSLATE(B196:B5064,""en"",""fr"")"),"lieu")</f>
        <v>lieu</v>
      </c>
    </row>
    <row r="197" ht="19.5" customHeight="1">
      <c r="A197" s="26" t="s">
        <v>516</v>
      </c>
      <c r="B197" s="27" t="s">
        <v>517</v>
      </c>
      <c r="C197" s="28" t="s">
        <v>32</v>
      </c>
      <c r="D197" s="29">
        <v>3571.0</v>
      </c>
      <c r="E197" s="28" t="s">
        <v>518</v>
      </c>
      <c r="F197" s="7" t="str">
        <f>IFERROR(__xludf.DUMMYFUNCTION("GOOGLETRANSLATE(B197:B5064,""en"",""fr"")"),"en direct")</f>
        <v>en direct</v>
      </c>
    </row>
    <row r="198" ht="19.5" customHeight="1">
      <c r="A198" s="26" t="s">
        <v>519</v>
      </c>
      <c r="B198" s="27" t="s">
        <v>520</v>
      </c>
      <c r="C198" s="28" t="s">
        <v>100</v>
      </c>
      <c r="D198" s="29">
        <v>3498.0</v>
      </c>
      <c r="E198" s="28" t="s">
        <v>520</v>
      </c>
      <c r="F198" s="7" t="str">
        <f>IFERROR(__xludf.DUMMYFUNCTION("GOOGLETRANSLATE(B198:B5064,""en"",""fr"")"),"loin")</f>
        <v>loin</v>
      </c>
    </row>
    <row r="199" ht="19.5" customHeight="1">
      <c r="A199" s="26" t="s">
        <v>521</v>
      </c>
      <c r="B199" s="27" t="s">
        <v>522</v>
      </c>
      <c r="C199" s="28" t="s">
        <v>36</v>
      </c>
      <c r="D199" s="29">
        <v>3483.0</v>
      </c>
      <c r="E199" s="28" t="s">
        <v>522</v>
      </c>
      <c r="F199" s="7" t="str">
        <f>IFERROR(__xludf.DUMMYFUNCTION("GOOGLETRANSLATE(B199:B5064,""en"",""fr"")"),"après")</f>
        <v>après</v>
      </c>
    </row>
    <row r="200" ht="19.5" customHeight="1">
      <c r="A200" s="26" t="s">
        <v>523</v>
      </c>
      <c r="B200" s="27" t="s">
        <v>524</v>
      </c>
      <c r="C200" s="28" t="s">
        <v>32</v>
      </c>
      <c r="D200" s="29">
        <v>3469.0</v>
      </c>
      <c r="E200" s="28" t="s">
        <v>525</v>
      </c>
      <c r="F200" s="7" t="str">
        <f>IFERROR(__xludf.DUMMYFUNCTION("GOOGLETRANSLATE(B200:B5064,""en"",""fr"")"),"apporter")</f>
        <v>apporter</v>
      </c>
    </row>
    <row r="201" ht="19.5" customHeight="1">
      <c r="A201" s="26" t="s">
        <v>526</v>
      </c>
      <c r="B201" s="27" t="s">
        <v>527</v>
      </c>
      <c r="C201" s="28" t="s">
        <v>36</v>
      </c>
      <c r="D201" s="29">
        <v>3463.0</v>
      </c>
      <c r="E201" s="28" t="s">
        <v>527</v>
      </c>
      <c r="F201" s="7" t="str">
        <f>IFERROR(__xludf.DUMMYFUNCTION("GOOGLETRANSLATE(B201:B5064,""en"",""fr"")"),"chaque")</f>
        <v>chaque</v>
      </c>
    </row>
    <row r="202" ht="19.5" customHeight="1">
      <c r="A202" s="26" t="s">
        <v>528</v>
      </c>
      <c r="B202" s="27" t="s">
        <v>529</v>
      </c>
      <c r="C202" s="28" t="s">
        <v>36</v>
      </c>
      <c r="D202" s="29">
        <v>3375.0</v>
      </c>
      <c r="E202" s="28" t="s">
        <v>529</v>
      </c>
      <c r="F202" s="7" t="str">
        <f>IFERROR(__xludf.DUMMYFUNCTION("GOOGLETRANSLATE(B202:B5064,""en"",""fr"")"),"tout")</f>
        <v>tout</v>
      </c>
    </row>
    <row r="203" ht="19.5" customHeight="1">
      <c r="A203" s="26" t="s">
        <v>530</v>
      </c>
      <c r="B203" s="27" t="s">
        <v>531</v>
      </c>
      <c r="C203" s="28" t="s">
        <v>178</v>
      </c>
      <c r="D203" s="29">
        <v>3352.0</v>
      </c>
      <c r="E203" s="28" t="s">
        <v>531</v>
      </c>
      <c r="F203" s="7" t="str">
        <f>IFERROR(__xludf.DUMMYFUNCTION("GOOGLETRANSLATE(B203:B5064,""en"",""fr"")"),"argent")</f>
        <v>argent</v>
      </c>
    </row>
    <row r="204" ht="19.5" customHeight="1">
      <c r="A204" s="26" t="s">
        <v>532</v>
      </c>
      <c r="B204" s="27" t="s">
        <v>533</v>
      </c>
      <c r="C204" s="28" t="s">
        <v>178</v>
      </c>
      <c r="D204" s="29">
        <v>3351.0</v>
      </c>
      <c r="E204" s="28" t="s">
        <v>534</v>
      </c>
      <c r="F204" s="7" t="str">
        <f>IFERROR(__xludf.DUMMYFUNCTION("GOOGLETRANSLATE(B204:B5064,""en"",""fr"")"),"personne")</f>
        <v>personne</v>
      </c>
    </row>
    <row r="205" ht="19.5" customHeight="1">
      <c r="A205" s="26" t="s">
        <v>535</v>
      </c>
      <c r="B205" s="27" t="s">
        <v>536</v>
      </c>
      <c r="C205" s="28" t="s">
        <v>32</v>
      </c>
      <c r="D205" s="29">
        <v>3351.0</v>
      </c>
      <c r="E205" s="28" t="s">
        <v>537</v>
      </c>
      <c r="F205" s="7" t="str">
        <f>IFERROR(__xludf.DUMMYFUNCTION("GOOGLETRANSLATE(B205:B5064,""en"",""fr"")"),"montre")</f>
        <v>montre</v>
      </c>
    </row>
    <row r="206" ht="19.5" customHeight="1">
      <c r="A206" s="26" t="s">
        <v>538</v>
      </c>
      <c r="B206" s="27" t="s">
        <v>539</v>
      </c>
      <c r="C206" s="28" t="s">
        <v>134</v>
      </c>
      <c r="D206" s="29">
        <v>3345.0</v>
      </c>
      <c r="E206" s="28" t="s">
        <v>539</v>
      </c>
      <c r="F206" s="7" t="str">
        <f>IFERROR(__xludf.DUMMYFUNCTION("GOOGLETRANSLATE(B206:B5064,""en"",""fr"")"),"autre")</f>
        <v>autre</v>
      </c>
    </row>
    <row r="207" ht="19.5" customHeight="1">
      <c r="A207" s="26" t="s">
        <v>540</v>
      </c>
      <c r="B207" s="27" t="s">
        <v>541</v>
      </c>
      <c r="C207" s="28" t="s">
        <v>32</v>
      </c>
      <c r="D207" s="29">
        <v>3344.0</v>
      </c>
      <c r="E207" s="28" t="s">
        <v>542</v>
      </c>
      <c r="F207" s="7" t="str">
        <f>IFERROR(__xludf.DUMMYFUNCTION("GOOGLETRANSLATE(B207:B5064,""en"",""fr"")"),"souviens-toi")</f>
        <v>souviens-toi</v>
      </c>
    </row>
    <row r="208" ht="19.5" customHeight="1">
      <c r="A208" s="26" t="s">
        <v>543</v>
      </c>
      <c r="B208" s="27" t="s">
        <v>544</v>
      </c>
      <c r="C208" s="28" t="s">
        <v>178</v>
      </c>
      <c r="D208" s="29">
        <v>3327.0</v>
      </c>
      <c r="E208" s="28" t="s">
        <v>545</v>
      </c>
      <c r="F208" s="7" t="str">
        <f>IFERROR(__xludf.DUMMYFUNCTION("GOOGLETRANSLATE(B208:B5064,""en"",""fr"")"),"maison")</f>
        <v>maison</v>
      </c>
    </row>
    <row r="209" ht="19.5" customHeight="1">
      <c r="A209" s="26" t="s">
        <v>546</v>
      </c>
      <c r="B209" s="27" t="s">
        <v>547</v>
      </c>
      <c r="C209" s="28" t="s">
        <v>134</v>
      </c>
      <c r="D209" s="29">
        <v>3294.0</v>
      </c>
      <c r="E209" s="28" t="s">
        <v>547</v>
      </c>
      <c r="F209" s="7" t="str">
        <f>IFERROR(__xludf.DUMMYFUNCTION("GOOGLETRANSLATE(B209:B5064,""en"",""fr"")"),"faux")</f>
        <v>faux</v>
      </c>
    </row>
    <row r="210" ht="19.5" customHeight="1">
      <c r="A210" s="26" t="s">
        <v>548</v>
      </c>
      <c r="B210" s="27" t="s">
        <v>549</v>
      </c>
      <c r="C210" s="28" t="s">
        <v>32</v>
      </c>
      <c r="D210" s="29">
        <v>3278.0</v>
      </c>
      <c r="E210" s="28" t="s">
        <v>550</v>
      </c>
      <c r="F210" s="7" t="str">
        <f>IFERROR(__xludf.DUMMYFUNCTION("GOOGLETRANSLATE(B210:B5064,""en"",""fr"")"),"tuer")</f>
        <v>tuer</v>
      </c>
    </row>
    <row r="211" ht="19.5" customHeight="1">
      <c r="A211" s="26" t="s">
        <v>551</v>
      </c>
      <c r="B211" s="27" t="s">
        <v>552</v>
      </c>
      <c r="C211" s="28" t="s">
        <v>178</v>
      </c>
      <c r="D211" s="29">
        <v>3243.0</v>
      </c>
      <c r="E211" s="28" t="s">
        <v>553</v>
      </c>
      <c r="F211" s="7" t="str">
        <f>IFERROR(__xludf.DUMMYFUNCTION("GOOGLETRANSLATE(B211:B5064,""en"",""fr"")"),"école")</f>
        <v>école</v>
      </c>
    </row>
    <row r="212" ht="19.5" customHeight="1">
      <c r="A212" s="26" t="s">
        <v>554</v>
      </c>
      <c r="B212" s="27" t="s">
        <v>555</v>
      </c>
      <c r="C212" s="28" t="s">
        <v>36</v>
      </c>
      <c r="D212" s="29">
        <v>3242.0</v>
      </c>
      <c r="E212" s="28" t="s">
        <v>555</v>
      </c>
      <c r="F212" s="7" t="str">
        <f>IFERROR(__xludf.DUMMYFUNCTION("GOOGLETRANSLATE(B212:B5064,""en"",""fr"")"),"tout le monde")</f>
        <v>tout le monde</v>
      </c>
    </row>
    <row r="213" ht="19.5" customHeight="1">
      <c r="A213" s="26" t="s">
        <v>556</v>
      </c>
      <c r="B213" s="27" t="s">
        <v>557</v>
      </c>
      <c r="C213" s="28" t="s">
        <v>32</v>
      </c>
      <c r="D213" s="29">
        <v>3229.0</v>
      </c>
      <c r="E213" s="28" t="s">
        <v>558</v>
      </c>
      <c r="F213" s="7" t="str">
        <f>IFERROR(__xludf.DUMMYFUNCTION("GOOGLETRANSLATE(B213:B5064,""en"",""fr"")"),"courir")</f>
        <v>courir</v>
      </c>
    </row>
    <row r="214" ht="19.5" customHeight="1">
      <c r="A214" s="26" t="s">
        <v>559</v>
      </c>
      <c r="B214" s="27" t="s">
        <v>560</v>
      </c>
      <c r="C214" s="28" t="s">
        <v>134</v>
      </c>
      <c r="D214" s="29">
        <v>3221.0</v>
      </c>
      <c r="E214" s="28" t="s">
        <v>561</v>
      </c>
      <c r="F214" s="7" t="str">
        <f>IFERROR(__xludf.DUMMYFUNCTION("GOOGLETRANSLATE(B214:B5064,""en"",""fr"")"),"en retard")</f>
        <v>en retard</v>
      </c>
    </row>
    <row r="215" ht="19.5" customHeight="1">
      <c r="A215" s="26" t="s">
        <v>562</v>
      </c>
      <c r="B215" s="27" t="s">
        <v>563</v>
      </c>
      <c r="C215" s="28" t="s">
        <v>32</v>
      </c>
      <c r="D215" s="29">
        <v>3199.0</v>
      </c>
      <c r="E215" s="28" t="s">
        <v>564</v>
      </c>
      <c r="F215" s="7" t="str">
        <f>IFERROR(__xludf.DUMMYFUNCTION("GOOGLETRANSLATE(B215:B5064,""en"",""fr"")"),"se soucier")</f>
        <v>se soucier</v>
      </c>
    </row>
    <row r="216" ht="19.5" customHeight="1">
      <c r="A216" s="26" t="s">
        <v>565</v>
      </c>
      <c r="B216" s="27" t="s">
        <v>566</v>
      </c>
      <c r="C216" s="28" t="s">
        <v>178</v>
      </c>
      <c r="D216" s="29">
        <v>3191.0</v>
      </c>
      <c r="E216" s="28" t="s">
        <v>567</v>
      </c>
      <c r="F216" s="7" t="str">
        <f>IFERROR(__xludf.DUMMYFUNCTION("GOOGLETRANSLATE(B216:B5064,""en"",""fr"")"),"voiture")</f>
        <v>voiture</v>
      </c>
    </row>
    <row r="217" ht="19.5" customHeight="1">
      <c r="A217" s="26" t="s">
        <v>568</v>
      </c>
      <c r="B217" s="27" t="s">
        <v>569</v>
      </c>
      <c r="C217" s="28" t="s">
        <v>32</v>
      </c>
      <c r="D217" s="29">
        <v>3187.0</v>
      </c>
      <c r="E217" s="28" t="s">
        <v>570</v>
      </c>
      <c r="F217" s="7" t="str">
        <f>IFERROR(__xludf.DUMMYFUNCTION("GOOGLETRANSLATE(B217:B5064,""en"",""fr"")"),"se déplacer")</f>
        <v>se déplacer</v>
      </c>
    </row>
    <row r="218" ht="19.5" customHeight="1">
      <c r="A218" s="26" t="s">
        <v>571</v>
      </c>
      <c r="B218" s="27" t="s">
        <v>572</v>
      </c>
      <c r="C218" s="28" t="s">
        <v>85</v>
      </c>
      <c r="D218" s="29">
        <v>3158.0</v>
      </c>
      <c r="E218" s="28" t="s">
        <v>573</v>
      </c>
      <c r="F218" s="7" t="str">
        <f>IFERROR(__xludf.DUMMYFUNCTION("GOOGLETRANSLATE(B218:B5064,""en"",""fr"")"),"ah")</f>
        <v>ah</v>
      </c>
    </row>
    <row r="219" ht="19.5" customHeight="1">
      <c r="A219" s="26" t="s">
        <v>574</v>
      </c>
      <c r="B219" s="27" t="s">
        <v>575</v>
      </c>
      <c r="C219" s="28" t="s">
        <v>178</v>
      </c>
      <c r="D219" s="29">
        <v>3136.0</v>
      </c>
      <c r="E219" s="28" t="s">
        <v>576</v>
      </c>
      <c r="F219" s="7" t="str">
        <f>IFERROR(__xludf.DUMMYFUNCTION("GOOGLETRANSLATE(B219:B5064,""en"",""fr"")"),"idée")</f>
        <v>idée</v>
      </c>
    </row>
    <row r="220" ht="19.5" customHeight="1">
      <c r="A220" s="26" t="s">
        <v>577</v>
      </c>
      <c r="B220" s="27" t="s">
        <v>578</v>
      </c>
      <c r="C220" s="28" t="s">
        <v>36</v>
      </c>
      <c r="D220" s="29">
        <v>3083.0</v>
      </c>
      <c r="E220" s="28" t="s">
        <v>578</v>
      </c>
      <c r="F220" s="7" t="str">
        <f>IFERROR(__xludf.DUMMYFUNCTION("GOOGLETRANSLATE(B220:B5064,""en"",""fr"")"),"un autre")</f>
        <v>un autre</v>
      </c>
    </row>
    <row r="221" ht="19.5" customHeight="1">
      <c r="A221" s="26" t="s">
        <v>579</v>
      </c>
      <c r="B221" s="27" t="s">
        <v>580</v>
      </c>
      <c r="C221" s="28" t="s">
        <v>36</v>
      </c>
      <c r="D221" s="29">
        <v>3080.0</v>
      </c>
      <c r="E221" s="28" t="s">
        <v>580</v>
      </c>
      <c r="F221" s="7" t="str">
        <f>IFERROR(__xludf.DUMMYFUNCTION("GOOGLETRANSLATE(B221:B5064,""en"",""fr"")"),"quelqu'un")</f>
        <v>quelqu'un</v>
      </c>
    </row>
    <row r="222" ht="19.5" customHeight="1">
      <c r="A222" s="26" t="s">
        <v>581</v>
      </c>
      <c r="B222" s="27" t="s">
        <v>582</v>
      </c>
      <c r="C222" s="28" t="s">
        <v>100</v>
      </c>
      <c r="D222" s="29">
        <v>3055.0</v>
      </c>
      <c r="E222" s="28" t="s">
        <v>582</v>
      </c>
      <c r="F222" s="7" t="str">
        <f>IFERROR(__xludf.DUMMYFUNCTION("GOOGLETRANSLATE(B222:B5064,""en"",""fr"")"),"aujourd'hui")</f>
        <v>aujourd'hui</v>
      </c>
    </row>
    <row r="223" ht="19.5" customHeight="1">
      <c r="A223" s="26" t="s">
        <v>583</v>
      </c>
      <c r="B223" s="27" t="s">
        <v>584</v>
      </c>
      <c r="C223" s="28" t="s">
        <v>32</v>
      </c>
      <c r="D223" s="29">
        <v>3042.0</v>
      </c>
      <c r="E223" s="28" t="s">
        <v>585</v>
      </c>
      <c r="F223" s="7" t="str">
        <f>IFERROR(__xludf.DUMMYFUNCTION("GOOGLETRANSLATE(B223:B5064,""en"",""fr"")"),"tourner")</f>
        <v>tourner</v>
      </c>
    </row>
    <row r="224" ht="19.5" customHeight="1">
      <c r="A224" s="26" t="s">
        <v>586</v>
      </c>
      <c r="B224" s="27" t="s">
        <v>587</v>
      </c>
      <c r="C224" s="28" t="s">
        <v>134</v>
      </c>
      <c r="D224" s="29">
        <v>3008.0</v>
      </c>
      <c r="E224" s="28" t="s">
        <v>587</v>
      </c>
      <c r="F224" s="7" t="str">
        <f>IFERROR(__xludf.DUMMYFUNCTION("GOOGLETRANSLATE(B224:B5064,""en"",""fr"")"),"réel")</f>
        <v>réel</v>
      </c>
    </row>
    <row r="225" ht="19.5" customHeight="1">
      <c r="A225" s="26" t="s">
        <v>588</v>
      </c>
      <c r="B225" s="27" t="s">
        <v>589</v>
      </c>
      <c r="C225" s="28" t="s">
        <v>134</v>
      </c>
      <c r="D225" s="29">
        <v>2995.0</v>
      </c>
      <c r="E225" s="28" t="s">
        <v>590</v>
      </c>
      <c r="F225" s="7" t="str">
        <f>IFERROR(__xludf.DUMMYFUNCTION("GOOGLETRANSLATE(B225:B5064,""en"",""fr"")"),"heureux")</f>
        <v>heureux</v>
      </c>
    </row>
    <row r="226" ht="19.5" customHeight="1">
      <c r="A226" s="26" t="s">
        <v>591</v>
      </c>
      <c r="B226" s="27" t="s">
        <v>592</v>
      </c>
      <c r="C226" s="28" t="s">
        <v>134</v>
      </c>
      <c r="D226" s="29">
        <v>2956.0</v>
      </c>
      <c r="E226" s="28" t="s">
        <v>592</v>
      </c>
      <c r="F226" s="7" t="str">
        <f>IFERROR(__xludf.DUMMYFUNCTION("GOOGLETRANSLATE(B226:B5064,""en"",""fr"")"),"entier")</f>
        <v>entier</v>
      </c>
    </row>
    <row r="227" ht="19.5" customHeight="1">
      <c r="A227" s="26" t="s">
        <v>593</v>
      </c>
      <c r="B227" s="27" t="s">
        <v>594</v>
      </c>
      <c r="C227" s="28" t="s">
        <v>178</v>
      </c>
      <c r="D227" s="29">
        <v>2954.0</v>
      </c>
      <c r="E227" s="28" t="s">
        <v>595</v>
      </c>
      <c r="F227" s="7" t="str">
        <f>IFERROR(__xludf.DUMMYFUNCTION("GOOGLETRANSLATE(B227:B5064,""en"",""fr"")"),"semaine")</f>
        <v>semaine</v>
      </c>
    </row>
    <row r="228" ht="19.5" customHeight="1">
      <c r="A228" s="26" t="s">
        <v>596</v>
      </c>
      <c r="B228" s="27" t="s">
        <v>597</v>
      </c>
      <c r="C228" s="28" t="s">
        <v>178</v>
      </c>
      <c r="D228" s="29">
        <v>2948.0</v>
      </c>
      <c r="E228" s="28" t="s">
        <v>598</v>
      </c>
      <c r="F228" s="7" t="str">
        <f>IFERROR(__xludf.DUMMYFUNCTION("GOOGLETRANSLATE(B228:B5064,""en"",""fr"")"),"emploi")</f>
        <v>emploi</v>
      </c>
    </row>
    <row r="229" ht="19.5" customHeight="1">
      <c r="A229" s="26" t="s">
        <v>599</v>
      </c>
      <c r="B229" s="27" t="s">
        <v>600</v>
      </c>
      <c r="C229" s="28" t="s">
        <v>178</v>
      </c>
      <c r="D229" s="29">
        <v>2933.0</v>
      </c>
      <c r="E229" s="28" t="s">
        <v>600</v>
      </c>
      <c r="F229" s="7" t="str">
        <f>IFERROR(__xludf.DUMMYFUNCTION("GOOGLETRANSLATE(B229:B5064,""en"",""fr"")"),"amusant")</f>
        <v>amusant</v>
      </c>
    </row>
    <row r="230" ht="19.5" customHeight="1">
      <c r="A230" s="26" t="s">
        <v>601</v>
      </c>
      <c r="B230" s="27" t="s">
        <v>602</v>
      </c>
      <c r="C230" s="28" t="s">
        <v>178</v>
      </c>
      <c r="D230" s="29">
        <v>2931.0</v>
      </c>
      <c r="E230" s="28" t="s">
        <v>603</v>
      </c>
      <c r="F230" s="7" t="str">
        <f>IFERROR(__xludf.DUMMYFUNCTION("GOOGLETRANSLATE(B230:B5064,""en"",""fr"")"),"problème")</f>
        <v>problème</v>
      </c>
    </row>
    <row r="231" ht="19.5" customHeight="1">
      <c r="A231" s="26" t="s">
        <v>604</v>
      </c>
      <c r="B231" s="27" t="s">
        <v>605</v>
      </c>
      <c r="C231" s="28" t="s">
        <v>32</v>
      </c>
      <c r="D231" s="29">
        <v>2921.0</v>
      </c>
      <c r="E231" s="28" t="s">
        <v>606</v>
      </c>
      <c r="F231" s="7" t="str">
        <f>IFERROR(__xludf.DUMMYFUNCTION("GOOGLETRANSLATE(B231:B5064,""en"",""fr"")"),"casser")</f>
        <v>casser</v>
      </c>
    </row>
    <row r="232" ht="19.5" customHeight="1">
      <c r="A232" s="26" t="s">
        <v>607</v>
      </c>
      <c r="B232" s="27" t="s">
        <v>608</v>
      </c>
      <c r="C232" s="28" t="s">
        <v>178</v>
      </c>
      <c r="D232" s="29">
        <v>2910.0</v>
      </c>
      <c r="E232" s="28" t="s">
        <v>609</v>
      </c>
      <c r="F232" s="7" t="str">
        <f>IFERROR(__xludf.DUMMYFUNCTION("GOOGLETRANSLATE(B232:B5064,""en"",""fr"")"),"monde")</f>
        <v>monde</v>
      </c>
    </row>
    <row r="233" ht="19.5" customHeight="1">
      <c r="A233" s="26" t="s">
        <v>610</v>
      </c>
      <c r="B233" s="27" t="s">
        <v>611</v>
      </c>
      <c r="C233" s="28" t="s">
        <v>36</v>
      </c>
      <c r="D233" s="29">
        <v>2903.0</v>
      </c>
      <c r="E233" s="28" t="s">
        <v>611</v>
      </c>
      <c r="F233" s="7" t="str">
        <f>IFERROR(__xludf.DUMMYFUNCTION("GOOGLETRANSLATE(B233:B5064,""en"",""fr"")"),"lequel")</f>
        <v>lequel</v>
      </c>
    </row>
    <row r="234" ht="19.5" customHeight="1">
      <c r="A234" s="26" t="s">
        <v>612</v>
      </c>
      <c r="B234" s="27" t="s">
        <v>613</v>
      </c>
      <c r="C234" s="28" t="s">
        <v>32</v>
      </c>
      <c r="D234" s="29">
        <v>2891.0</v>
      </c>
      <c r="E234" s="28" t="s">
        <v>613</v>
      </c>
      <c r="F234" s="7" t="str">
        <f>IFERROR(__xludf.DUMMYFUNCTION("GOOGLETRANSLATE(B234:B5064,""en"",""fr"")"),"doit")</f>
        <v>doit</v>
      </c>
    </row>
    <row r="235" ht="19.5" customHeight="1">
      <c r="A235" s="26" t="s">
        <v>614</v>
      </c>
      <c r="B235" s="27" t="s">
        <v>615</v>
      </c>
      <c r="C235" s="28" t="s">
        <v>178</v>
      </c>
      <c r="D235" s="29">
        <v>2855.0</v>
      </c>
      <c r="E235" s="28" t="s">
        <v>616</v>
      </c>
      <c r="F235" s="7" t="str">
        <f>IFERROR(__xludf.DUMMYFUNCTION("GOOGLETRANSLATE(B235:B5064,""en"",""fr"")"),"faire la fête")</f>
        <v>faire la fête</v>
      </c>
    </row>
    <row r="236" ht="19.5" customHeight="1">
      <c r="A236" s="26" t="s">
        <v>617</v>
      </c>
      <c r="B236" s="27" t="s">
        <v>618</v>
      </c>
      <c r="C236" s="28" t="s">
        <v>32</v>
      </c>
      <c r="D236" s="29">
        <v>2827.0</v>
      </c>
      <c r="E236" s="28" t="s">
        <v>619</v>
      </c>
      <c r="F236" s="7" t="str">
        <f>IFERROR(__xludf.DUMMYFUNCTION("GOOGLETRANSLATE(B236:B5064,""en"",""fr"")"),"acheter")</f>
        <v>acheter</v>
      </c>
    </row>
    <row r="237" ht="19.5" customHeight="1">
      <c r="A237" s="26" t="s">
        <v>620</v>
      </c>
      <c r="B237" s="27" t="s">
        <v>621</v>
      </c>
      <c r="C237" s="28" t="s">
        <v>36</v>
      </c>
      <c r="D237" s="29">
        <v>2810.0</v>
      </c>
      <c r="E237" s="28" t="s">
        <v>621</v>
      </c>
      <c r="F237" s="7" t="str">
        <f>IFERROR(__xludf.DUMMYFUNCTION("GOOGLETRANSLATE(B237:B5064,""en"",""fr"")"),"à travers")</f>
        <v>à travers</v>
      </c>
    </row>
    <row r="238" ht="19.5" customHeight="1">
      <c r="A238" s="26" t="s">
        <v>622</v>
      </c>
      <c r="B238" s="27" t="s">
        <v>623</v>
      </c>
      <c r="C238" s="28" t="s">
        <v>100</v>
      </c>
      <c r="D238" s="29">
        <v>2796.0</v>
      </c>
      <c r="E238" s="28" t="s">
        <v>623</v>
      </c>
      <c r="F238" s="7" t="str">
        <f>IFERROR(__xludf.DUMMYFUNCTION("GOOGLETRANSLATE(B238:B5064,""en"",""fr"")"),"ensemble")</f>
        <v>ensemble</v>
      </c>
    </row>
    <row r="239" ht="19.5" customHeight="1">
      <c r="A239" s="26" t="s">
        <v>624</v>
      </c>
      <c r="B239" s="27" t="s">
        <v>625</v>
      </c>
      <c r="C239" s="28" t="s">
        <v>178</v>
      </c>
      <c r="D239" s="29">
        <v>2789.0</v>
      </c>
      <c r="E239" s="28" t="s">
        <v>626</v>
      </c>
      <c r="F239" s="7" t="str">
        <f>IFERROR(__xludf.DUMMYFUNCTION("GOOGLETRANSLATE(B239:B5064,""en"",""fr"")"),"chambre")</f>
        <v>chambre</v>
      </c>
    </row>
    <row r="240" ht="19.5" customHeight="1">
      <c r="A240" s="26" t="s">
        <v>627</v>
      </c>
      <c r="B240" s="27" t="s">
        <v>628</v>
      </c>
      <c r="C240" s="28" t="s">
        <v>178</v>
      </c>
      <c r="D240" s="29">
        <v>2785.0</v>
      </c>
      <c r="E240" s="28" t="s">
        <v>629</v>
      </c>
      <c r="F240" s="7" t="str">
        <f>IFERROR(__xludf.DUMMYFUNCTION("GOOGLETRANSLATE(B240:B5064,""en"",""fr"")"),"famille")</f>
        <v>famille</v>
      </c>
    </row>
    <row r="241" ht="19.5" customHeight="1">
      <c r="A241" s="26" t="s">
        <v>630</v>
      </c>
      <c r="B241" s="27" t="s">
        <v>631</v>
      </c>
      <c r="C241" s="28" t="s">
        <v>32</v>
      </c>
      <c r="D241" s="29">
        <v>2781.0</v>
      </c>
      <c r="E241" s="28" t="s">
        <v>632</v>
      </c>
      <c r="F241" s="7" t="str">
        <f>IFERROR(__xludf.DUMMYFUNCTION("GOOGLETRANSLATE(B241:B5064,""en"",""fr"")"),"rester")</f>
        <v>rester</v>
      </c>
    </row>
    <row r="242" ht="19.5" customHeight="1">
      <c r="A242" s="26" t="s">
        <v>633</v>
      </c>
      <c r="B242" s="27" t="s">
        <v>634</v>
      </c>
      <c r="C242" s="28" t="s">
        <v>32</v>
      </c>
      <c r="D242" s="29">
        <v>2710.0</v>
      </c>
      <c r="E242" s="28" t="s">
        <v>635</v>
      </c>
      <c r="F242" s="7" t="str">
        <f>IFERROR(__xludf.DUMMYFUNCTION("GOOGLETRANSLATE(B242:B5064,""en"",""fr"")"),"perdre")</f>
        <v>perdre</v>
      </c>
    </row>
    <row r="243" ht="19.5" customHeight="1">
      <c r="A243" s="26" t="s">
        <v>636</v>
      </c>
      <c r="B243" s="27" t="s">
        <v>637</v>
      </c>
      <c r="C243" s="28" t="s">
        <v>178</v>
      </c>
      <c r="D243" s="29">
        <v>2710.0</v>
      </c>
      <c r="E243" s="28" t="s">
        <v>637</v>
      </c>
      <c r="F243" s="7" t="str">
        <f>IFERROR(__xludf.DUMMYFUNCTION("GOOGLETRANSLATE(B243:B5064,""en"",""fr"")"),"truc")</f>
        <v>truc</v>
      </c>
    </row>
    <row r="244" ht="19.5" customHeight="1">
      <c r="A244" s="26" t="s">
        <v>638</v>
      </c>
      <c r="B244" s="27" t="s">
        <v>639</v>
      </c>
      <c r="C244" s="28" t="s">
        <v>178</v>
      </c>
      <c r="D244" s="29">
        <v>2692.0</v>
      </c>
      <c r="E244" s="28" t="s">
        <v>640</v>
      </c>
      <c r="F244" s="7" t="str">
        <f>IFERROR(__xludf.DUMMYFUNCTION("GOOGLETRANSLATE(B244:B5064,""en"",""fr"")"),"fils")</f>
        <v>fils</v>
      </c>
    </row>
    <row r="245" ht="19.5" customHeight="1">
      <c r="A245" s="26" t="s">
        <v>641</v>
      </c>
      <c r="B245" s="27" t="s">
        <v>642</v>
      </c>
      <c r="C245" s="28" t="s">
        <v>134</v>
      </c>
      <c r="D245" s="29">
        <v>2687.0</v>
      </c>
      <c r="E245" s="28" t="s">
        <v>643</v>
      </c>
      <c r="F245" s="7" t="str">
        <f>IFERROR(__xludf.DUMMYFUNCTION("GOOGLETRANSLATE(B245:B5064,""en"",""fr"")"),"stupide")</f>
        <v>stupide</v>
      </c>
    </row>
    <row r="246" ht="19.5" customHeight="1">
      <c r="A246" s="26" t="s">
        <v>644</v>
      </c>
      <c r="B246" s="27" t="s">
        <v>645</v>
      </c>
      <c r="C246" s="28" t="s">
        <v>178</v>
      </c>
      <c r="D246" s="29">
        <v>2683.0</v>
      </c>
      <c r="E246" s="28" t="s">
        <v>646</v>
      </c>
      <c r="F246" s="7" t="str">
        <f>IFERROR(__xludf.DUMMYFUNCTION("GOOGLETRANSLATE(B246:B5064,""en"",""fr"")"),"nom")</f>
        <v>nom</v>
      </c>
    </row>
    <row r="247" ht="19.5" customHeight="1">
      <c r="A247" s="26" t="s">
        <v>647</v>
      </c>
      <c r="B247" s="27" t="s">
        <v>648</v>
      </c>
      <c r="C247" s="28" t="s">
        <v>36</v>
      </c>
      <c r="D247" s="29">
        <v>2644.0</v>
      </c>
      <c r="E247" s="28" t="s">
        <v>648</v>
      </c>
      <c r="F247" s="7" t="str">
        <f>IFERROR(__xludf.DUMMYFUNCTION("GOOGLETRANSLATE(B247:B5064,""en"",""fr"")"),"tout le monde")</f>
        <v>tout le monde</v>
      </c>
    </row>
    <row r="248" ht="19.5" customHeight="1">
      <c r="A248" s="26" t="s">
        <v>649</v>
      </c>
      <c r="B248" s="27" t="s">
        <v>650</v>
      </c>
      <c r="C248" s="28" t="s">
        <v>32</v>
      </c>
      <c r="D248" s="29">
        <v>2639.0</v>
      </c>
      <c r="E248" s="28" t="s">
        <v>651</v>
      </c>
      <c r="F248" s="7" t="str">
        <f>IFERROR(__xludf.DUMMYFUNCTION("GOOGLETRANSLATE(B248:B5064,""en"",""fr"")"),"dernier")</f>
        <v>dernier</v>
      </c>
    </row>
    <row r="249" ht="19.5" customHeight="1">
      <c r="A249" s="26" t="s">
        <v>652</v>
      </c>
      <c r="B249" s="27" t="s">
        <v>653</v>
      </c>
      <c r="C249" s="28" t="s">
        <v>100</v>
      </c>
      <c r="D249" s="29">
        <v>2639.0</v>
      </c>
      <c r="E249" s="28" t="s">
        <v>654</v>
      </c>
      <c r="F249" s="7" t="str">
        <f>IFERROR(__xludf.DUMMYFUNCTION("GOOGLETRANSLATE(B249:B5064,""en"",""fr"")"),"long")</f>
        <v>long</v>
      </c>
    </row>
    <row r="250" ht="19.5" customHeight="1">
      <c r="A250" s="26" t="s">
        <v>655</v>
      </c>
      <c r="B250" s="27" t="s">
        <v>656</v>
      </c>
      <c r="C250" s="28" t="s">
        <v>100</v>
      </c>
      <c r="D250" s="29">
        <v>2608.0</v>
      </c>
      <c r="E250" s="28" t="s">
        <v>656</v>
      </c>
      <c r="F250" s="7" t="str">
        <f>IFERROR(__xludf.DUMMYFUNCTION("GOOGLETRANSLATE(B250:B5064,""en"",""fr"")"),"ce soir")</f>
        <v>ce soir</v>
      </c>
    </row>
    <row r="251" ht="19.5" customHeight="1">
      <c r="A251" s="26" t="s">
        <v>657</v>
      </c>
      <c r="B251" s="27" t="s">
        <v>658</v>
      </c>
      <c r="C251" s="28" t="s">
        <v>178</v>
      </c>
      <c r="D251" s="29">
        <v>2602.0</v>
      </c>
      <c r="E251" s="28" t="s">
        <v>659</v>
      </c>
      <c r="F251" s="7" t="str">
        <f>IFERROR(__xludf.DUMMYFUNCTION("GOOGLETRANSLATE(B251:B5064,""en"",""fr"")"),"enfant")</f>
        <v>enfant</v>
      </c>
    </row>
    <row r="252" ht="19.5" customHeight="1">
      <c r="A252" s="26" t="s">
        <v>660</v>
      </c>
      <c r="B252" s="27" t="s">
        <v>661</v>
      </c>
      <c r="C252" s="28" t="s">
        <v>32</v>
      </c>
      <c r="D252" s="29">
        <v>2600.0</v>
      </c>
      <c r="E252" s="28" t="s">
        <v>662</v>
      </c>
      <c r="F252" s="7" t="str">
        <f>IFERROR(__xludf.DUMMYFUNCTION("GOOGLETRANSLATE(B252:B5064,""en"",""fr"")"),"s'asseoir")</f>
        <v>s'asseoir</v>
      </c>
    </row>
    <row r="253" ht="19.5" customHeight="1">
      <c r="A253" s="26" t="s">
        <v>663</v>
      </c>
      <c r="B253" s="27" t="s">
        <v>664</v>
      </c>
      <c r="C253" s="28" t="s">
        <v>178</v>
      </c>
      <c r="D253" s="29">
        <v>2585.0</v>
      </c>
      <c r="E253" s="28" t="s">
        <v>665</v>
      </c>
      <c r="F253" s="7" t="str">
        <f>IFERROR(__xludf.DUMMYFUNCTION("GOOGLETRANSLATE(B253:B5064,""en"",""fr"")"),"cours")</f>
        <v>cours</v>
      </c>
    </row>
    <row r="254" ht="19.5" customHeight="1">
      <c r="A254" s="26" t="s">
        <v>666</v>
      </c>
      <c r="B254" s="27" t="s">
        <v>667</v>
      </c>
      <c r="C254" s="28" t="s">
        <v>134</v>
      </c>
      <c r="D254" s="29">
        <v>2577.0</v>
      </c>
      <c r="E254" s="28" t="s">
        <v>668</v>
      </c>
      <c r="F254" s="7" t="str">
        <f>IFERROR(__xludf.DUMMYFUNCTION("GOOGLETRANSLATE(B254:B5064,""en"",""fr"")"),"joli")</f>
        <v>joli</v>
      </c>
    </row>
    <row r="255" ht="19.5" customHeight="1">
      <c r="A255" s="26" t="s">
        <v>669</v>
      </c>
      <c r="B255" s="27" t="s">
        <v>670</v>
      </c>
      <c r="C255" s="28" t="s">
        <v>32</v>
      </c>
      <c r="D255" s="29">
        <v>2574.0</v>
      </c>
      <c r="E255" s="28" t="s">
        <v>671</v>
      </c>
      <c r="F255" s="7" t="str">
        <f>IFERROR(__xludf.DUMMYFUNCTION("GOOGLETRANSLATE(B255:B5064,""en"",""fr"")"),"prise")</f>
        <v>prise</v>
      </c>
    </row>
    <row r="256" ht="19.5" customHeight="1">
      <c r="A256" s="26" t="s">
        <v>672</v>
      </c>
      <c r="B256" s="27" t="s">
        <v>673</v>
      </c>
      <c r="C256" s="28" t="s">
        <v>178</v>
      </c>
      <c r="D256" s="29">
        <v>2534.0</v>
      </c>
      <c r="E256" s="28" t="s">
        <v>674</v>
      </c>
      <c r="F256" s="7" t="str">
        <f>IFERROR(__xludf.DUMMYFUNCTION("GOOGLETRANSLATE(B256:B5064,""en"",""fr"")"),"jeu")</f>
        <v>jeu</v>
      </c>
    </row>
    <row r="257" ht="19.5" customHeight="1">
      <c r="A257" s="26" t="s">
        <v>675</v>
      </c>
      <c r="B257" s="27" t="s">
        <v>676</v>
      </c>
      <c r="C257" s="28" t="s">
        <v>32</v>
      </c>
      <c r="D257" s="29">
        <v>2519.0</v>
      </c>
      <c r="E257" s="28" t="s">
        <v>677</v>
      </c>
      <c r="F257" s="7" t="str">
        <f>IFERROR(__xludf.DUMMYFUNCTION("GOOGLETRANSLATE(B257:B5064,""en"",""fr"")"),"oublier")</f>
        <v>oublier</v>
      </c>
    </row>
    <row r="258" ht="19.5" customHeight="1">
      <c r="A258" s="26" t="s">
        <v>678</v>
      </c>
      <c r="B258" s="27" t="s">
        <v>679</v>
      </c>
      <c r="C258" s="28" t="s">
        <v>100</v>
      </c>
      <c r="D258" s="29">
        <v>2504.0</v>
      </c>
      <c r="E258" s="28" t="s">
        <v>679</v>
      </c>
      <c r="F258" s="7" t="str">
        <f>IFERROR(__xludf.DUMMYFUNCTION("GOOGLETRANSLATE(B258:B5064,""en"",""fr"")"),"autre")</f>
        <v>autre</v>
      </c>
    </row>
    <row r="259" ht="19.5" customHeight="1">
      <c r="A259" s="26" t="s">
        <v>680</v>
      </c>
      <c r="B259" s="27" t="s">
        <v>681</v>
      </c>
      <c r="C259" s="28" t="s">
        <v>134</v>
      </c>
      <c r="D259" s="29">
        <v>2501.0</v>
      </c>
      <c r="E259" s="28" t="s">
        <v>681</v>
      </c>
      <c r="F259" s="7" t="str">
        <f>IFERROR(__xludf.DUMMYFUNCTION("GOOGLETRANSLATE(B259:B5064,""en"",""fr"")"),"propre")</f>
        <v>propre</v>
      </c>
    </row>
    <row r="260" ht="19.5" customHeight="1">
      <c r="A260" s="26" t="s">
        <v>682</v>
      </c>
      <c r="B260" s="27" t="s">
        <v>683</v>
      </c>
      <c r="C260" s="28" t="s">
        <v>150</v>
      </c>
      <c r="D260" s="29">
        <v>2493.0</v>
      </c>
      <c r="E260" s="28" t="s">
        <v>684</v>
      </c>
      <c r="F260" s="7" t="str">
        <f>IFERROR(__xludf.DUMMYFUNCTION("GOOGLETRANSLATE(B260:B5064,""en"",""fr"")"),"cinq")</f>
        <v>cinq</v>
      </c>
    </row>
    <row r="261" ht="19.5" customHeight="1">
      <c r="A261" s="26" t="s">
        <v>685</v>
      </c>
      <c r="B261" s="27" t="s">
        <v>686</v>
      </c>
      <c r="C261" s="28" t="s">
        <v>150</v>
      </c>
      <c r="D261" s="29">
        <v>2491.0</v>
      </c>
      <c r="E261" s="28" t="s">
        <v>686</v>
      </c>
      <c r="F261" s="7" t="str">
        <f>IFERROR(__xludf.DUMMYFUNCTION("GOOGLETRANSLATE(B261:B5064,""en"",""fr"")"),"deuxième")</f>
        <v>deuxième</v>
      </c>
    </row>
    <row r="262" ht="19.5" customHeight="1">
      <c r="A262" s="26" t="s">
        <v>687</v>
      </c>
      <c r="B262" s="27" t="s">
        <v>688</v>
      </c>
      <c r="C262" s="28" t="s">
        <v>178</v>
      </c>
      <c r="D262" s="29">
        <v>2486.0</v>
      </c>
      <c r="E262" s="28" t="s">
        <v>689</v>
      </c>
      <c r="F262" s="7" t="str">
        <f>IFERROR(__xludf.DUMMYFUNCTION("GOOGLETRANSLATE(B262:B5064,""en"",""fr"")"),"médecin")</f>
        <v>médecin</v>
      </c>
    </row>
    <row r="263" ht="19.5" customHeight="1">
      <c r="A263" s="26" t="s">
        <v>690</v>
      </c>
      <c r="B263" s="27" t="s">
        <v>691</v>
      </c>
      <c r="C263" s="28" t="s">
        <v>178</v>
      </c>
      <c r="D263" s="29">
        <v>2485.0</v>
      </c>
      <c r="E263" s="28" t="s">
        <v>692</v>
      </c>
      <c r="F263" s="7" t="str">
        <f>IFERROR(__xludf.DUMMYFUNCTION("GOOGLETRANSLATE(B263:B5064,""en"",""fr"")"),"dollar")</f>
        <v>dollar</v>
      </c>
    </row>
    <row r="264" ht="19.5" customHeight="1">
      <c r="A264" s="26" t="s">
        <v>693</v>
      </c>
      <c r="B264" s="27" t="s">
        <v>694</v>
      </c>
      <c r="C264" s="28" t="s">
        <v>36</v>
      </c>
      <c r="D264" s="29">
        <v>2484.0</v>
      </c>
      <c r="E264" s="28" t="s">
        <v>694</v>
      </c>
      <c r="F264" s="7" t="str">
        <f>IFERROR(__xludf.DUMMYFUNCTION("GOOGLETRANSLATE(B264:B5064,""en"",""fr"")"),"assez")</f>
        <v>assez</v>
      </c>
    </row>
    <row r="265" ht="19.5" customHeight="1">
      <c r="A265" s="26" t="s">
        <v>695</v>
      </c>
      <c r="B265" s="27" t="s">
        <v>696</v>
      </c>
      <c r="C265" s="28" t="s">
        <v>178</v>
      </c>
      <c r="D265" s="29">
        <v>2442.0</v>
      </c>
      <c r="E265" s="28" t="s">
        <v>697</v>
      </c>
      <c r="F265" s="7" t="str">
        <f>IFERROR(__xludf.DUMMYFUNCTION("GOOGLETRANSLATE(B265:B5064,""en"",""fr"")"),"chien")</f>
        <v>chien</v>
      </c>
    </row>
    <row r="266" ht="19.5" customHeight="1">
      <c r="A266" s="26" t="s">
        <v>698</v>
      </c>
      <c r="B266" s="27" t="s">
        <v>699</v>
      </c>
      <c r="C266" s="28" t="s">
        <v>134</v>
      </c>
      <c r="D266" s="29">
        <v>2438.0</v>
      </c>
      <c r="E266" s="28" t="s">
        <v>700</v>
      </c>
      <c r="F266" s="7" t="str">
        <f>IFERROR(__xludf.DUMMYFUNCTION("GOOGLETRANSLATE(B266:B5064,""en"",""fr"")"),"drôle")</f>
        <v>drôle</v>
      </c>
    </row>
    <row r="267" ht="19.5" customHeight="1">
      <c r="A267" s="26" t="s">
        <v>701</v>
      </c>
      <c r="B267" s="27" t="s">
        <v>702</v>
      </c>
      <c r="C267" s="28" t="s">
        <v>32</v>
      </c>
      <c r="D267" s="29">
        <v>2436.0</v>
      </c>
      <c r="E267" s="28" t="s">
        <v>703</v>
      </c>
      <c r="F267" s="7" t="str">
        <f>IFERROR(__xludf.DUMMYFUNCTION("GOOGLETRANSLATE(B267:B5064,""en"",""fr"")"),"porter")</f>
        <v>porter</v>
      </c>
    </row>
    <row r="268" ht="19.5" customHeight="1">
      <c r="A268" s="26" t="s">
        <v>704</v>
      </c>
      <c r="B268" s="27" t="s">
        <v>705</v>
      </c>
      <c r="C268" s="28" t="s">
        <v>32</v>
      </c>
      <c r="D268" s="29">
        <v>2426.0</v>
      </c>
      <c r="E268" s="28" t="s">
        <v>706</v>
      </c>
      <c r="F268" s="7" t="str">
        <f>IFERROR(__xludf.DUMMYFUNCTION("GOOGLETRANSLATE(B268:B5064,""en"",""fr"")"),"mourir")</f>
        <v>mourir</v>
      </c>
    </row>
    <row r="269" ht="19.5" customHeight="1">
      <c r="A269" s="26" t="s">
        <v>707</v>
      </c>
      <c r="B269" s="27" t="s">
        <v>708</v>
      </c>
      <c r="C269" s="28" t="s">
        <v>178</v>
      </c>
      <c r="D269" s="29">
        <v>2425.0</v>
      </c>
      <c r="E269" s="28" t="s">
        <v>709</v>
      </c>
      <c r="F269" s="7" t="str">
        <f>IFERROR(__xludf.DUMMYFUNCTION("GOOGLETRANSLATE(B269:B5064,""en"",""fr"")"),"Monsieur")</f>
        <v>Monsieur</v>
      </c>
    </row>
    <row r="270" ht="19.5" customHeight="1">
      <c r="A270" s="26" t="s">
        <v>710</v>
      </c>
      <c r="B270" s="27" t="s">
        <v>711</v>
      </c>
      <c r="C270" s="28" t="s">
        <v>134</v>
      </c>
      <c r="D270" s="29">
        <v>2422.0</v>
      </c>
      <c r="E270" s="28" t="s">
        <v>712</v>
      </c>
      <c r="F270" s="7" t="str">
        <f>IFERROR(__xludf.DUMMYFUNCTION("GOOGLETRANSLATE(B270:B5064,""en"",""fr"")"),"dur")</f>
        <v>dur</v>
      </c>
    </row>
    <row r="271" ht="19.5" customHeight="1">
      <c r="A271" s="26" t="s">
        <v>713</v>
      </c>
      <c r="B271" s="27" t="s">
        <v>714</v>
      </c>
      <c r="C271" s="28" t="s">
        <v>178</v>
      </c>
      <c r="D271" s="29">
        <v>2414.0</v>
      </c>
      <c r="E271" s="28" t="s">
        <v>714</v>
      </c>
      <c r="F271" s="7" t="str">
        <f>IFERROR(__xludf.DUMMYFUNCTION("GOOGLETRANSLATE(B271:B5064,""en"",""fr"")"),"Miel")</f>
        <v>Miel</v>
      </c>
    </row>
    <row r="272" ht="19.5" customHeight="1">
      <c r="A272" s="26" t="s">
        <v>715</v>
      </c>
      <c r="B272" s="27" t="s">
        <v>716</v>
      </c>
      <c r="C272" s="28" t="s">
        <v>32</v>
      </c>
      <c r="D272" s="29">
        <v>2411.0</v>
      </c>
      <c r="E272" s="28" t="s">
        <v>717</v>
      </c>
      <c r="F272" s="7" t="str">
        <f>IFERROR(__xludf.DUMMYFUNCTION("GOOGLETRANSLATE(B272:B5064,""en"",""fr"")"),"son")</f>
        <v>son</v>
      </c>
    </row>
    <row r="273" ht="19.5" customHeight="1">
      <c r="A273" s="26" t="s">
        <v>718</v>
      </c>
      <c r="B273" s="27" t="s">
        <v>719</v>
      </c>
      <c r="C273" s="28" t="s">
        <v>178</v>
      </c>
      <c r="D273" s="29">
        <v>2388.0</v>
      </c>
      <c r="E273" s="28" t="s">
        <v>720</v>
      </c>
      <c r="F273" s="7" t="str">
        <f>IFERROR(__xludf.DUMMYFUNCTION("GOOGLETRANSLATE(B273:B5064,""en"",""fr"")"),"sexe")</f>
        <v>sexe</v>
      </c>
    </row>
    <row r="274" ht="19.5" customHeight="1">
      <c r="A274" s="26" t="s">
        <v>721</v>
      </c>
      <c r="B274" s="27" t="s">
        <v>722</v>
      </c>
      <c r="C274" s="28" t="s">
        <v>32</v>
      </c>
      <c r="D274" s="29">
        <v>2369.0</v>
      </c>
      <c r="E274" s="28" t="s">
        <v>723</v>
      </c>
      <c r="F274" s="7" t="str">
        <f>IFERROR(__xludf.DUMMYFUNCTION("GOOGLETRANSLATE(B274:B5064,""en"",""fr"")"),"détester")</f>
        <v>détester</v>
      </c>
    </row>
    <row r="275" ht="19.5" customHeight="1">
      <c r="A275" s="26" t="s">
        <v>724</v>
      </c>
      <c r="B275" s="27" t="s">
        <v>725</v>
      </c>
      <c r="C275" s="28" t="s">
        <v>32</v>
      </c>
      <c r="D275" s="29">
        <v>2368.0</v>
      </c>
      <c r="E275" s="28" t="s">
        <v>726</v>
      </c>
      <c r="F275" s="7" t="str">
        <f>IFERROR(__xludf.DUMMYFUNCTION("GOOGLETRANSLATE(B275:B5064,""en"",""fr"")"),"supposer")</f>
        <v>supposer</v>
      </c>
    </row>
    <row r="276" ht="19.5" customHeight="1">
      <c r="A276" s="26" t="s">
        <v>727</v>
      </c>
      <c r="B276" s="27" t="s">
        <v>307</v>
      </c>
      <c r="C276" s="28" t="s">
        <v>728</v>
      </c>
      <c r="D276" s="29">
        <v>2362.0</v>
      </c>
      <c r="E276" s="28" t="s">
        <v>307</v>
      </c>
      <c r="F276" s="7" t="str">
        <f>IFERROR(__xludf.DUMMYFUNCTION("GOOGLETRANSLATE(B276:B5064,""en"",""fr"")"),"Dieu")</f>
        <v>Dieu</v>
      </c>
    </row>
    <row r="277" ht="19.5" customHeight="1">
      <c r="A277" s="26" t="s">
        <v>729</v>
      </c>
      <c r="B277" s="27" t="s">
        <v>730</v>
      </c>
      <c r="C277" s="28" t="s">
        <v>178</v>
      </c>
      <c r="D277" s="29">
        <v>2362.0</v>
      </c>
      <c r="E277" s="28" t="s">
        <v>731</v>
      </c>
      <c r="F277" s="7" t="str">
        <f>IFERROR(__xludf.DUMMYFUNCTION("GOOGLETRANSLATE(B277:B5064,""en"",""fr"")"),"tête")</f>
        <v>tête</v>
      </c>
    </row>
    <row r="278" ht="19.5" customHeight="1">
      <c r="A278" s="26" t="s">
        <v>732</v>
      </c>
      <c r="B278" s="27" t="s">
        <v>733</v>
      </c>
      <c r="C278" s="28" t="s">
        <v>32</v>
      </c>
      <c r="D278" s="29">
        <v>2360.0</v>
      </c>
      <c r="E278" s="28" t="s">
        <v>734</v>
      </c>
      <c r="F278" s="7" t="str">
        <f>IFERROR(__xludf.DUMMYFUNCTION("GOOGLETRANSLATE(B278:B5064,""en"",""fr"")"),"comprendre")</f>
        <v>comprendre</v>
      </c>
    </row>
    <row r="279" ht="19.5" customHeight="1">
      <c r="A279" s="26" t="s">
        <v>735</v>
      </c>
      <c r="B279" s="27" t="s">
        <v>736</v>
      </c>
      <c r="C279" s="28" t="s">
        <v>85</v>
      </c>
      <c r="D279" s="29">
        <v>2341.0</v>
      </c>
      <c r="E279" s="28" t="s">
        <v>736</v>
      </c>
      <c r="F279" s="7" t="str">
        <f>IFERROR(__xludf.DUMMYFUNCTION("GOOGLETRANSLATE(B279:B5064,""en"",""fr"")"),"whoa")</f>
        <v>whoa</v>
      </c>
    </row>
    <row r="280" ht="19.5" customHeight="1">
      <c r="A280" s="26" t="s">
        <v>737</v>
      </c>
      <c r="B280" s="27" t="s">
        <v>738</v>
      </c>
      <c r="C280" s="28" t="s">
        <v>178</v>
      </c>
      <c r="D280" s="29">
        <v>2340.0</v>
      </c>
      <c r="E280" s="28" t="s">
        <v>739</v>
      </c>
      <c r="F280" s="7" t="str">
        <f>IFERROR(__xludf.DUMMYFUNCTION("GOOGLETRANSLATE(B280:B5064,""en"",""fr"")"),"film")</f>
        <v>film</v>
      </c>
    </row>
    <row r="281" ht="19.5" customHeight="1">
      <c r="A281" s="26" t="s">
        <v>740</v>
      </c>
      <c r="B281" s="27" t="s">
        <v>741</v>
      </c>
      <c r="C281" s="28" t="s">
        <v>32</v>
      </c>
      <c r="D281" s="29">
        <v>2329.0</v>
      </c>
      <c r="E281" s="28" t="s">
        <v>742</v>
      </c>
      <c r="F281" s="7" t="str">
        <f>IFERROR(__xludf.DUMMYFUNCTION("GOOGLETRANSLATE(B281:B5064,""en"",""fr"")"),"inquiétude")</f>
        <v>inquiétude</v>
      </c>
    </row>
    <row r="282" ht="19.5" customHeight="1">
      <c r="A282" s="26" t="s">
        <v>743</v>
      </c>
      <c r="B282" s="27" t="s">
        <v>744</v>
      </c>
      <c r="C282" s="28" t="s">
        <v>134</v>
      </c>
      <c r="D282" s="29">
        <v>2323.0</v>
      </c>
      <c r="E282" s="28" t="s">
        <v>745</v>
      </c>
      <c r="F282" s="7" t="str">
        <f>IFERROR(__xludf.DUMMYFUNCTION("GOOGLETRANSLATE(B282:B5064,""en"",""fr"")"),"cool")</f>
        <v>cool</v>
      </c>
    </row>
    <row r="283" ht="19.5" customHeight="1">
      <c r="A283" s="26" t="s">
        <v>746</v>
      </c>
      <c r="B283" s="27" t="s">
        <v>747</v>
      </c>
      <c r="C283" s="28" t="s">
        <v>32</v>
      </c>
      <c r="D283" s="29">
        <v>2323.0</v>
      </c>
      <c r="E283" s="28" t="s">
        <v>748</v>
      </c>
      <c r="F283" s="7" t="str">
        <f>IFERROR(__xludf.DUMMYFUNCTION("GOOGLETRANSLATE(B283:B5064,""en"",""fr"")"),"marier")</f>
        <v>marier</v>
      </c>
    </row>
    <row r="284" ht="19.5" customHeight="1">
      <c r="A284" s="26" t="s">
        <v>749</v>
      </c>
      <c r="B284" s="27" t="s">
        <v>750</v>
      </c>
      <c r="C284" s="28" t="s">
        <v>32</v>
      </c>
      <c r="D284" s="29">
        <v>2318.0</v>
      </c>
      <c r="E284" s="28" t="s">
        <v>751</v>
      </c>
      <c r="F284" s="7" t="str">
        <f>IFERROR(__xludf.DUMMYFUNCTION("GOOGLETRANSLATE(B284:B5064,""en"",""fr"")"),"manquer")</f>
        <v>manquer</v>
      </c>
    </row>
    <row r="285" ht="19.5" customHeight="1">
      <c r="A285" s="26" t="s">
        <v>752</v>
      </c>
      <c r="B285" s="27" t="s">
        <v>753</v>
      </c>
      <c r="C285" s="28" t="s">
        <v>32</v>
      </c>
      <c r="D285" s="29">
        <v>2314.0</v>
      </c>
      <c r="E285" s="28" t="s">
        <v>754</v>
      </c>
      <c r="F285" s="7" t="str">
        <f>IFERROR(__xludf.DUMMYFUNCTION("GOOGLETRANSLATE(B285:B5064,""en"",""fr"")"),"payer")</f>
        <v>payer</v>
      </c>
    </row>
    <row r="286" ht="19.5" customHeight="1">
      <c r="A286" s="26" t="s">
        <v>755</v>
      </c>
      <c r="B286" s="27" t="s">
        <v>756</v>
      </c>
      <c r="C286" s="28" t="s">
        <v>178</v>
      </c>
      <c r="D286" s="29">
        <v>2313.0</v>
      </c>
      <c r="E286" s="28" t="s">
        <v>757</v>
      </c>
      <c r="F286" s="7" t="str">
        <f>IFERROR(__xludf.DUMMYFUNCTION("GOOGLETRANSLATE(B286:B5064,""en"",""fr"")"),"heure")</f>
        <v>heure</v>
      </c>
    </row>
    <row r="287" ht="19.5" customHeight="1">
      <c r="A287" s="26" t="s">
        <v>758</v>
      </c>
      <c r="B287" s="27" t="s">
        <v>759</v>
      </c>
      <c r="C287" s="28" t="s">
        <v>134</v>
      </c>
      <c r="D287" s="29">
        <v>2291.0</v>
      </c>
      <c r="E287" s="28" t="s">
        <v>760</v>
      </c>
      <c r="F287" s="7" t="str">
        <f>IFERROR(__xludf.DUMMYFUNCTION("GOOGLETRANSLATE(B287:B5064,""en"",""fr"")"),"fou")</f>
        <v>fou</v>
      </c>
    </row>
    <row r="288" ht="19.5" customHeight="1">
      <c r="A288" s="26" t="s">
        <v>761</v>
      </c>
      <c r="B288" s="27" t="s">
        <v>762</v>
      </c>
      <c r="C288" s="28" t="s">
        <v>32</v>
      </c>
      <c r="D288" s="29">
        <v>2256.0</v>
      </c>
      <c r="E288" s="28" t="s">
        <v>763</v>
      </c>
      <c r="F288" s="7" t="str">
        <f>IFERROR(__xludf.DUMMYFUNCTION("GOOGLETRANSLATE(B288:B5064,""en"",""fr"")"),"changement")</f>
        <v>changement</v>
      </c>
    </row>
    <row r="289" ht="19.5" customHeight="1">
      <c r="A289" s="26" t="s">
        <v>764</v>
      </c>
      <c r="B289" s="27" t="s">
        <v>765</v>
      </c>
      <c r="C289" s="28" t="s">
        <v>134</v>
      </c>
      <c r="D289" s="29">
        <v>2256.0</v>
      </c>
      <c r="E289" s="28" t="s">
        <v>766</v>
      </c>
      <c r="F289" s="7" t="str">
        <f>IFERROR(__xludf.DUMMYFUNCTION("GOOGLETRANSLATE(B289:B5064,""en"",""fr"")"),"chaud")</f>
        <v>chaud</v>
      </c>
    </row>
    <row r="290" ht="19.5" customHeight="1">
      <c r="A290" s="26" t="s">
        <v>767</v>
      </c>
      <c r="B290" s="27" t="s">
        <v>768</v>
      </c>
      <c r="C290" s="28" t="s">
        <v>36</v>
      </c>
      <c r="D290" s="29">
        <v>2244.0</v>
      </c>
      <c r="E290" s="28" t="s">
        <v>768</v>
      </c>
      <c r="F290" s="7" t="str">
        <f>IFERROR(__xludf.DUMMYFUNCTION("GOOGLETRANSLATE(B290:B5064,""en"",""fr"")"),"la plupart")</f>
        <v>la plupart</v>
      </c>
    </row>
    <row r="291" ht="19.5" customHeight="1">
      <c r="A291" s="26" t="s">
        <v>769</v>
      </c>
      <c r="B291" s="27" t="s">
        <v>770</v>
      </c>
      <c r="C291" s="28" t="s">
        <v>32</v>
      </c>
      <c r="D291" s="29">
        <v>2232.0</v>
      </c>
      <c r="E291" s="28" t="s">
        <v>771</v>
      </c>
      <c r="F291" s="7" t="str">
        <f>IFERROR(__xludf.DUMMYFUNCTION("GOOGLETRANSLATE(B291:B5064,""en"",""fr"")"),"excuse")</f>
        <v>excuse</v>
      </c>
    </row>
    <row r="292" ht="19.5" customHeight="1">
      <c r="A292" s="26" t="s">
        <v>772</v>
      </c>
      <c r="B292" s="27" t="s">
        <v>773</v>
      </c>
      <c r="C292" s="28" t="s">
        <v>178</v>
      </c>
      <c r="D292" s="29">
        <v>2219.0</v>
      </c>
      <c r="E292" s="28" t="s">
        <v>774</v>
      </c>
      <c r="F292" s="7" t="str">
        <f>IFERROR(__xludf.DUMMYFUNCTION("GOOGLETRANSLATE(B292:B5064,""en"",""fr"")"),"mère")</f>
        <v>mère</v>
      </c>
    </row>
    <row r="293" ht="19.5" customHeight="1">
      <c r="A293" s="26" t="s">
        <v>775</v>
      </c>
      <c r="B293" s="27" t="s">
        <v>776</v>
      </c>
      <c r="C293" s="28" t="s">
        <v>32</v>
      </c>
      <c r="D293" s="29">
        <v>2217.0</v>
      </c>
      <c r="E293" s="28" t="s">
        <v>777</v>
      </c>
      <c r="F293" s="7" t="str">
        <f>IFERROR(__xludf.DUMMYFUNCTION("GOOGLETRANSLATE(B293:B5064,""en"",""fr"")"),"vérifier")</f>
        <v>vérifier</v>
      </c>
    </row>
    <row r="294" ht="19.5" customHeight="1">
      <c r="A294" s="26" t="s">
        <v>778</v>
      </c>
      <c r="B294" s="27" t="s">
        <v>779</v>
      </c>
      <c r="C294" s="28" t="s">
        <v>32</v>
      </c>
      <c r="D294" s="29">
        <v>2207.0</v>
      </c>
      <c r="E294" s="28" t="s">
        <v>780</v>
      </c>
      <c r="F294" s="7" t="str">
        <f>IFERROR(__xludf.DUMMYFUNCTION("GOOGLETRANSLATE(B294:B5064,""en"",""fr"")"),"prendre")</f>
        <v>prendre</v>
      </c>
    </row>
    <row r="295" ht="19.5" customHeight="1">
      <c r="A295" s="26" t="s">
        <v>781</v>
      </c>
      <c r="B295" s="27" t="s">
        <v>782</v>
      </c>
      <c r="C295" s="28" t="s">
        <v>178</v>
      </c>
      <c r="D295" s="29">
        <v>2207.0</v>
      </c>
      <c r="E295" s="28" t="s">
        <v>783</v>
      </c>
      <c r="F295" s="7" t="str">
        <f>IFERROR(__xludf.DUMMYFUNCTION("GOOGLETRANSLATE(B295:B5064,""en"",""fr"")"),"mot")</f>
        <v>mot</v>
      </c>
    </row>
    <row r="296" ht="19.5" customHeight="1">
      <c r="A296" s="26" t="s">
        <v>784</v>
      </c>
      <c r="B296" s="27" t="s">
        <v>785</v>
      </c>
      <c r="C296" s="28" t="s">
        <v>134</v>
      </c>
      <c r="D296" s="29">
        <v>2200.0</v>
      </c>
      <c r="E296" s="28" t="s">
        <v>786</v>
      </c>
      <c r="F296" s="7" t="str">
        <f>IFERROR(__xludf.DUMMYFUNCTION("GOOGLETRANSLATE(B296:B5064,""en"",""fr"")"),"même")</f>
        <v>même</v>
      </c>
    </row>
    <row r="297" ht="19.5" customHeight="1">
      <c r="A297" s="26" t="s">
        <v>787</v>
      </c>
      <c r="B297" s="27" t="s">
        <v>788</v>
      </c>
      <c r="C297" s="28" t="s">
        <v>36</v>
      </c>
      <c r="D297" s="29">
        <v>2188.0</v>
      </c>
      <c r="E297" s="28" t="s">
        <v>789</v>
      </c>
      <c r="F297" s="7" t="str">
        <f>IFERROR(__xludf.DUMMYFUNCTION("GOOGLETRANSLATE(B297:B5064,""en"",""fr"")"),"toi-même")</f>
        <v>toi-même</v>
      </c>
    </row>
    <row r="298" ht="19.5" customHeight="1">
      <c r="A298" s="26" t="s">
        <v>790</v>
      </c>
      <c r="B298" s="27" t="s">
        <v>791</v>
      </c>
      <c r="C298" s="28" t="s">
        <v>134</v>
      </c>
      <c r="D298" s="29">
        <v>2177.0</v>
      </c>
      <c r="E298" s="28" t="s">
        <v>792</v>
      </c>
      <c r="F298" s="7" t="str">
        <f>IFERROR(__xludf.DUMMYFUNCTION("GOOGLETRANSLATE(B298:B5064,""en"",""fr"")"),"prêt")</f>
        <v>prêt</v>
      </c>
    </row>
    <row r="299" ht="19.5" customHeight="1">
      <c r="A299" s="26" t="s">
        <v>793</v>
      </c>
      <c r="B299" s="27" t="s">
        <v>794</v>
      </c>
      <c r="C299" s="28" t="s">
        <v>32</v>
      </c>
      <c r="D299" s="29">
        <v>2165.0</v>
      </c>
      <c r="E299" s="28" t="s">
        <v>795</v>
      </c>
      <c r="F299" s="7" t="str">
        <f>IFERROR(__xludf.DUMMYFUNCTION("GOOGLETRANSLATE(B299:B5064,""en"",""fr"")"),"sembler")</f>
        <v>sembler</v>
      </c>
    </row>
    <row r="300" ht="19.5" customHeight="1">
      <c r="A300" s="26" t="s">
        <v>796</v>
      </c>
      <c r="B300" s="27" t="s">
        <v>797</v>
      </c>
      <c r="C300" s="28" t="s">
        <v>32</v>
      </c>
      <c r="D300" s="29">
        <v>2162.0</v>
      </c>
      <c r="E300" s="28" t="s">
        <v>798</v>
      </c>
      <c r="F300" s="7" t="str">
        <f>IFERROR(__xludf.DUMMYFUNCTION("GOOGLETRANSLATE(B300:B5064,""en"",""fr"")"),"gagner")</f>
        <v>gagner</v>
      </c>
    </row>
    <row r="301" ht="19.5" customHeight="1">
      <c r="A301" s="26" t="s">
        <v>799</v>
      </c>
      <c r="B301" s="27" t="s">
        <v>800</v>
      </c>
      <c r="C301" s="28" t="s">
        <v>32</v>
      </c>
      <c r="D301" s="29">
        <v>2131.0</v>
      </c>
      <c r="E301" s="28" t="s">
        <v>801</v>
      </c>
      <c r="F301" s="7" t="str">
        <f>IFERROR(__xludf.DUMMYFUNCTION("GOOGLETRANSLATE(B301:B5064,""en"",""fr"")"),"marcher")</f>
        <v>marcher</v>
      </c>
    </row>
    <row r="302" ht="19.5" customHeight="1">
      <c r="A302" s="26" t="s">
        <v>802</v>
      </c>
      <c r="B302" s="27" t="s">
        <v>803</v>
      </c>
      <c r="C302" s="28" t="s">
        <v>178</v>
      </c>
      <c r="D302" s="29">
        <v>2108.0</v>
      </c>
      <c r="E302" s="28" t="s">
        <v>804</v>
      </c>
      <c r="F302" s="7" t="str">
        <f>IFERROR(__xludf.DUMMYFUNCTION("GOOGLETRANSLATE(B302:B5064,""en"",""fr"")"),"père")</f>
        <v>père</v>
      </c>
    </row>
    <row r="303" ht="19.5" customHeight="1">
      <c r="A303" s="26" t="s">
        <v>805</v>
      </c>
      <c r="B303" s="27" t="s">
        <v>806</v>
      </c>
      <c r="C303" s="28" t="s">
        <v>178</v>
      </c>
      <c r="D303" s="29">
        <v>2107.0</v>
      </c>
      <c r="E303" s="28" t="s">
        <v>807</v>
      </c>
      <c r="F303" s="7" t="str">
        <f>IFERROR(__xludf.DUMMYFUNCTION("GOOGLETRANSLATE(B303:B5064,""en"",""fr"")"),"histoire")</f>
        <v>histoire</v>
      </c>
    </row>
    <row r="304" ht="19.5" customHeight="1">
      <c r="A304" s="26" t="s">
        <v>808</v>
      </c>
      <c r="B304" s="27" t="s">
        <v>809</v>
      </c>
      <c r="C304" s="28" t="s">
        <v>100</v>
      </c>
      <c r="D304" s="29">
        <v>2077.0</v>
      </c>
      <c r="E304" s="28" t="s">
        <v>809</v>
      </c>
      <c r="F304" s="7" t="str">
        <f>IFERROR(__xludf.DUMMYFUNCTION("GOOGLETRANSLATE(B304:B5064,""en"",""fr"")"),"déjà")</f>
        <v>déjà</v>
      </c>
    </row>
    <row r="305" ht="19.5" customHeight="1">
      <c r="A305" s="26" t="s">
        <v>810</v>
      </c>
      <c r="B305" s="27" t="s">
        <v>811</v>
      </c>
      <c r="C305" s="28" t="s">
        <v>32</v>
      </c>
      <c r="D305" s="29">
        <v>2077.0</v>
      </c>
      <c r="E305" s="28" t="s">
        <v>812</v>
      </c>
      <c r="F305" s="7" t="str">
        <f>IFERROR(__xludf.DUMMYFUNCTION("GOOGLETRANSLATE(B305:B5064,""en"",""fr"")"),"espoir")</f>
        <v>espoir</v>
      </c>
    </row>
    <row r="306" ht="19.5" customHeight="1">
      <c r="A306" s="26" t="s">
        <v>813</v>
      </c>
      <c r="B306" s="27" t="s">
        <v>814</v>
      </c>
      <c r="C306" s="28" t="s">
        <v>178</v>
      </c>
      <c r="D306" s="29">
        <v>2062.0</v>
      </c>
      <c r="E306" s="28" t="s">
        <v>815</v>
      </c>
      <c r="F306" s="7" t="str">
        <f>IFERROR(__xludf.DUMMYFUNCTION("GOOGLETRANSLATE(B306:B5064,""en"",""fr"")"),"partie")</f>
        <v>partie</v>
      </c>
    </row>
    <row r="307" ht="19.5" customHeight="1">
      <c r="A307" s="26" t="s">
        <v>816</v>
      </c>
      <c r="B307" s="27" t="s">
        <v>817</v>
      </c>
      <c r="C307" s="28" t="s">
        <v>32</v>
      </c>
      <c r="D307" s="29">
        <v>2059.0</v>
      </c>
      <c r="E307" s="28" t="s">
        <v>818</v>
      </c>
      <c r="F307" s="7" t="str">
        <f>IFERROR(__xludf.DUMMYFUNCTION("GOOGLETRANSLATE(B307:B5064,""en"",""fr"")"),"ouvrir")</f>
        <v>ouvrir</v>
      </c>
    </row>
    <row r="308" ht="19.5" customHeight="1">
      <c r="A308" s="26" t="s">
        <v>819</v>
      </c>
      <c r="B308" s="27" t="s">
        <v>820</v>
      </c>
      <c r="C308" s="28" t="s">
        <v>178</v>
      </c>
      <c r="D308" s="29">
        <v>2056.0</v>
      </c>
      <c r="E308" s="28" t="s">
        <v>821</v>
      </c>
      <c r="F308" s="7" t="str">
        <f>IFERROR(__xludf.DUMMYFUNCTION("GOOGLETRANSLATE(B308:B5064,""en"",""fr"")"),"dame")</f>
        <v>dame</v>
      </c>
    </row>
    <row r="309" ht="19.5" customHeight="1">
      <c r="A309" s="26" t="s">
        <v>822</v>
      </c>
      <c r="B309" s="27" t="s">
        <v>823</v>
      </c>
      <c r="C309" s="28" t="s">
        <v>32</v>
      </c>
      <c r="D309" s="29">
        <v>2046.0</v>
      </c>
      <c r="E309" s="28" t="s">
        <v>824</v>
      </c>
      <c r="F309" s="7" t="str">
        <f>IFERROR(__xludf.DUMMYFUNCTION("GOOGLETRANSLATE(B309:B5064,""en"",""fr"")"),"lire")</f>
        <v>lire</v>
      </c>
    </row>
    <row r="310" ht="19.5" customHeight="1">
      <c r="A310" s="26" t="s">
        <v>825</v>
      </c>
      <c r="B310" s="27" t="s">
        <v>826</v>
      </c>
      <c r="C310" s="28" t="s">
        <v>32</v>
      </c>
      <c r="D310" s="29">
        <v>2033.0</v>
      </c>
      <c r="E310" s="28" t="s">
        <v>827</v>
      </c>
      <c r="F310" s="7" t="str">
        <f>IFERROR(__xludf.DUMMYFUNCTION("GOOGLETRANSLATE(B310:B5064,""en"",""fr"")"),"boire")</f>
        <v>boire</v>
      </c>
    </row>
    <row r="311" ht="19.5" customHeight="1">
      <c r="A311" s="26" t="s">
        <v>828</v>
      </c>
      <c r="B311" s="27" t="s">
        <v>829</v>
      </c>
      <c r="C311" s="28" t="s">
        <v>32</v>
      </c>
      <c r="D311" s="29">
        <v>2030.0</v>
      </c>
      <c r="E311" s="28" t="s">
        <v>830</v>
      </c>
      <c r="F311" s="7" t="str">
        <f>IFERROR(__xludf.DUMMYFUNCTION("GOOGLETRANSLATE(B311:B5064,""en"",""fr"")"),"dormir")</f>
        <v>dormir</v>
      </c>
    </row>
    <row r="312" ht="19.5" customHeight="1">
      <c r="A312" s="26" t="s">
        <v>831</v>
      </c>
      <c r="B312" s="27" t="s">
        <v>832</v>
      </c>
      <c r="C312" s="28" t="s">
        <v>178</v>
      </c>
      <c r="D312" s="29">
        <v>2005.0</v>
      </c>
      <c r="E312" s="28" t="s">
        <v>833</v>
      </c>
      <c r="F312" s="7" t="str">
        <f>IFERROR(__xludf.DUMMYFUNCTION("GOOGLETRANSLATE(B312:B5064,""en"",""fr"")"),"nombre")</f>
        <v>nombre</v>
      </c>
    </row>
    <row r="313" ht="19.5" customHeight="1">
      <c r="A313" s="26" t="s">
        <v>834</v>
      </c>
      <c r="B313" s="27" t="s">
        <v>835</v>
      </c>
      <c r="C313" s="28" t="s">
        <v>32</v>
      </c>
      <c r="D313" s="29">
        <v>2001.0</v>
      </c>
      <c r="E313" s="28" t="s">
        <v>836</v>
      </c>
      <c r="F313" s="7" t="str">
        <f>IFERROR(__xludf.DUMMYFUNCTION("GOOGLETRANSLATE(B313:B5064,""en"",""fr"")"),"écrire")</f>
        <v>écrire</v>
      </c>
    </row>
    <row r="314" ht="19.5" customHeight="1">
      <c r="A314" s="26" t="s">
        <v>837</v>
      </c>
      <c r="B314" s="27" t="s">
        <v>838</v>
      </c>
      <c r="C314" s="28" t="s">
        <v>178</v>
      </c>
      <c r="D314" s="29">
        <v>1985.0</v>
      </c>
      <c r="E314" s="28" t="s">
        <v>839</v>
      </c>
      <c r="F314" s="7" t="str">
        <f>IFERROR(__xludf.DUMMYFUNCTION("GOOGLETRANSLATE(B314:B5064,""en"",""fr"")"),"matin")</f>
        <v>matin</v>
      </c>
    </row>
    <row r="315" ht="19.5" customHeight="1">
      <c r="A315" s="26" t="s">
        <v>840</v>
      </c>
      <c r="B315" s="27" t="s">
        <v>841</v>
      </c>
      <c r="C315" s="28" t="s">
        <v>178</v>
      </c>
      <c r="D315" s="29">
        <v>1964.0</v>
      </c>
      <c r="E315" s="28" t="s">
        <v>842</v>
      </c>
      <c r="F315" s="7" t="str">
        <f>IFERROR(__xludf.DUMMYFUNCTION("GOOGLETRANSLATE(B315:B5064,""en"",""fr"")"),"demain")</f>
        <v>demain</v>
      </c>
    </row>
    <row r="316" ht="19.5" customHeight="1">
      <c r="A316" s="26" t="s">
        <v>843</v>
      </c>
      <c r="B316" s="27" t="s">
        <v>844</v>
      </c>
      <c r="C316" s="28" t="s">
        <v>134</v>
      </c>
      <c r="D316" s="29">
        <v>1947.0</v>
      </c>
      <c r="E316" s="28" t="s">
        <v>844</v>
      </c>
      <c r="F316" s="7" t="str">
        <f>IFERROR(__xludf.DUMMYFUNCTION("GOOGLETRANSLATE(B316:B5064,""en"",""fr"")"),"suivant")</f>
        <v>suivant</v>
      </c>
    </row>
    <row r="317" ht="19.5" customHeight="1">
      <c r="A317" s="26" t="s">
        <v>845</v>
      </c>
      <c r="B317" s="27" t="s">
        <v>846</v>
      </c>
      <c r="C317" s="28" t="s">
        <v>178</v>
      </c>
      <c r="D317" s="29">
        <v>1945.0</v>
      </c>
      <c r="E317" s="28" t="s">
        <v>847</v>
      </c>
      <c r="F317" s="7" t="str">
        <f>IFERROR(__xludf.DUMMYFUNCTION("GOOGLETRANSLATE(B317:B5064,""en"",""fr"")"),"téléphone")</f>
        <v>téléphone</v>
      </c>
    </row>
    <row r="318" ht="19.5" customHeight="1">
      <c r="A318" s="26" t="s">
        <v>848</v>
      </c>
      <c r="B318" s="27" t="s">
        <v>849</v>
      </c>
      <c r="C318" s="28" t="s">
        <v>150</v>
      </c>
      <c r="D318" s="29">
        <v>1943.0</v>
      </c>
      <c r="E318" s="28" t="s">
        <v>850</v>
      </c>
      <c r="F318" s="7" t="str">
        <f>IFERROR(__xludf.DUMMYFUNCTION("GOOGLETRANSLATE(B318:B5064,""en"",""fr"")"),"quatre")</f>
        <v>quatre</v>
      </c>
    </row>
    <row r="319" ht="19.5" customHeight="1">
      <c r="A319" s="26" t="s">
        <v>851</v>
      </c>
      <c r="B319" s="27" t="s">
        <v>650</v>
      </c>
      <c r="C319" s="28" t="s">
        <v>150</v>
      </c>
      <c r="D319" s="29">
        <v>1942.0</v>
      </c>
      <c r="E319" s="28" t="s">
        <v>650</v>
      </c>
      <c r="F319" s="7" t="str">
        <f>IFERROR(__xludf.DUMMYFUNCTION("GOOGLETRANSLATE(B319:B5064,""en"",""fr"")"),"dernier")</f>
        <v>dernier</v>
      </c>
    </row>
    <row r="320" ht="19.5" customHeight="1">
      <c r="A320" s="26" t="s">
        <v>852</v>
      </c>
      <c r="B320" s="27" t="s">
        <v>853</v>
      </c>
      <c r="C320" s="28" t="s">
        <v>100</v>
      </c>
      <c r="D320" s="29">
        <v>1937.0</v>
      </c>
      <c r="E320" s="28" t="s">
        <v>853</v>
      </c>
      <c r="F320" s="7" t="str">
        <f>IFERROR(__xludf.DUMMYFUNCTION("GOOGLETRANSLATE(B320:B5064,""en"",""fr"")"),"une fois")</f>
        <v>une fois</v>
      </c>
    </row>
    <row r="321" ht="19.5" customHeight="1">
      <c r="A321" s="26" t="s">
        <v>854</v>
      </c>
      <c r="B321" s="27" t="s">
        <v>855</v>
      </c>
      <c r="C321" s="28" t="s">
        <v>36</v>
      </c>
      <c r="D321" s="29">
        <v>1936.0</v>
      </c>
      <c r="E321" s="28" t="s">
        <v>855</v>
      </c>
      <c r="F321" s="7" t="str">
        <f>IFERROR(__xludf.DUMMYFUNCTION("GOOGLETRANSLATE(B321:B5064,""en"",""fr"")"),"quelqu'un")</f>
        <v>quelqu'un</v>
      </c>
    </row>
    <row r="322" ht="19.5" customHeight="1">
      <c r="A322" s="26" t="s">
        <v>856</v>
      </c>
      <c r="B322" s="27" t="s">
        <v>857</v>
      </c>
      <c r="C322" s="28" t="s">
        <v>100</v>
      </c>
      <c r="D322" s="29">
        <v>1916.0</v>
      </c>
      <c r="E322" s="28" t="s">
        <v>857</v>
      </c>
      <c r="F322" s="7" t="str">
        <f>IFERROR(__xludf.DUMMYFUNCTION("GOOGLETRANSLATE(B322:B5064,""en"",""fr"")"),"probablement")</f>
        <v>probablement</v>
      </c>
    </row>
    <row r="323" ht="19.5" customHeight="1">
      <c r="A323" s="26" t="s">
        <v>858</v>
      </c>
      <c r="B323" s="27" t="s">
        <v>859</v>
      </c>
      <c r="C323" s="28" t="s">
        <v>36</v>
      </c>
      <c r="D323" s="29">
        <v>1910.0</v>
      </c>
      <c r="E323" s="28" t="s">
        <v>859</v>
      </c>
      <c r="F323" s="7" t="str">
        <f>IFERROR(__xludf.DUMMYFUNCTION("GOOGLETRANSLATE(B323:B5064,""en"",""fr"")"),"sans")</f>
        <v>sans</v>
      </c>
    </row>
    <row r="324" ht="19.5" customHeight="1">
      <c r="A324" s="26" t="s">
        <v>860</v>
      </c>
      <c r="B324" s="27" t="s">
        <v>861</v>
      </c>
      <c r="C324" s="28" t="s">
        <v>36</v>
      </c>
      <c r="D324" s="29">
        <v>1904.0</v>
      </c>
      <c r="E324" s="28" t="s">
        <v>861</v>
      </c>
      <c r="F324" s="7" t="str">
        <f>IFERROR(__xludf.DUMMYFUNCTION("GOOGLETRANSLATE(B324:B5064,""en"",""fr"")"),"beaucoup")</f>
        <v>beaucoup</v>
      </c>
    </row>
    <row r="325" ht="19.5" customHeight="1">
      <c r="A325" s="26" t="s">
        <v>862</v>
      </c>
      <c r="B325" s="27" t="s">
        <v>863</v>
      </c>
      <c r="C325" s="28" t="s">
        <v>36</v>
      </c>
      <c r="D325" s="29">
        <v>1901.0</v>
      </c>
      <c r="E325" s="28" t="s">
        <v>863</v>
      </c>
      <c r="F325" s="7" t="str">
        <f>IFERROR(__xludf.DUMMYFUNCTION("GOOGLETRANSLATE(B325:B5064,""en"",""fr"")"),"tel")</f>
        <v>tel</v>
      </c>
    </row>
    <row r="326" ht="19.5" customHeight="1">
      <c r="A326" s="26" t="s">
        <v>864</v>
      </c>
      <c r="B326" s="27" t="s">
        <v>865</v>
      </c>
      <c r="C326" s="28" t="s">
        <v>178</v>
      </c>
      <c r="D326" s="29">
        <v>1896.0</v>
      </c>
      <c r="E326" s="28" t="s">
        <v>866</v>
      </c>
      <c r="F326" s="7" t="str">
        <f>IFERROR(__xludf.DUMMYFUNCTION("GOOGLETRANSLATE(B326:B5064,""en"",""fr"")"),"œil")</f>
        <v>œil</v>
      </c>
    </row>
    <row r="327" ht="19.5" customHeight="1">
      <c r="A327" s="26" t="s">
        <v>867</v>
      </c>
      <c r="B327" s="27" t="s">
        <v>868</v>
      </c>
      <c r="C327" s="28" t="s">
        <v>32</v>
      </c>
      <c r="D327" s="29">
        <v>1890.0</v>
      </c>
      <c r="E327" s="28" t="s">
        <v>869</v>
      </c>
      <c r="F327" s="7" t="str">
        <f>IFERROR(__xludf.DUMMYFUNCTION("GOOGLETRANSLATE(B327:B5064,""en"",""fr"")"),"conduire")</f>
        <v>conduire</v>
      </c>
    </row>
    <row r="328" ht="19.5" customHeight="1">
      <c r="A328" s="26" t="s">
        <v>870</v>
      </c>
      <c r="B328" s="27" t="s">
        <v>871</v>
      </c>
      <c r="C328" s="28" t="s">
        <v>178</v>
      </c>
      <c r="D328" s="29">
        <v>1885.0</v>
      </c>
      <c r="E328" s="28" t="s">
        <v>872</v>
      </c>
      <c r="F328" s="7" t="str">
        <f>IFERROR(__xludf.DUMMYFUNCTION("GOOGLETRANSLATE(B328:B5064,""en"",""fr"")"),"épouse")</f>
        <v>épouse</v>
      </c>
    </row>
    <row r="329" ht="19.5" customHeight="1">
      <c r="A329" s="26" t="s">
        <v>873</v>
      </c>
      <c r="B329" s="27" t="s">
        <v>874</v>
      </c>
      <c r="C329" s="28" t="s">
        <v>178</v>
      </c>
      <c r="D329" s="29">
        <v>1879.0</v>
      </c>
      <c r="E329" s="28" t="s">
        <v>875</v>
      </c>
      <c r="F329" s="7" t="str">
        <f>IFERROR(__xludf.DUMMYFUNCTION("GOOGLETRANSLATE(B329:B5064,""en"",""fr"")"),"livre")</f>
        <v>livre</v>
      </c>
    </row>
    <row r="330" ht="19.5" customHeight="1">
      <c r="A330" s="26" t="s">
        <v>876</v>
      </c>
      <c r="B330" s="27" t="s">
        <v>877</v>
      </c>
      <c r="C330" s="28" t="s">
        <v>32</v>
      </c>
      <c r="D330" s="29">
        <v>1860.0</v>
      </c>
      <c r="E330" s="28" t="s">
        <v>878</v>
      </c>
      <c r="F330" s="7" t="str">
        <f>IFERROR(__xludf.DUMMYFUNCTION("GOOGLETRANSLATE(B330:B5064,""en"",""fr"")"),"accrocher")</f>
        <v>accrocher</v>
      </c>
    </row>
    <row r="331" ht="19.5" customHeight="1">
      <c r="A331" s="26" t="s">
        <v>879</v>
      </c>
      <c r="B331" s="27" t="s">
        <v>880</v>
      </c>
      <c r="C331" s="28" t="s">
        <v>36</v>
      </c>
      <c r="D331" s="29">
        <v>1859.0</v>
      </c>
      <c r="E331" s="28" t="s">
        <v>880</v>
      </c>
      <c r="F331" s="7" t="str">
        <f>IFERROR(__xludf.DUMMYFUNCTION("GOOGLETRANSLATE(B331:B5064,""en"",""fr"")"),"depuis")</f>
        <v>depuis</v>
      </c>
    </row>
    <row r="332" ht="19.5" customHeight="1">
      <c r="A332" s="26" t="s">
        <v>881</v>
      </c>
      <c r="B332" s="27" t="s">
        <v>882</v>
      </c>
      <c r="C332" s="28" t="s">
        <v>32</v>
      </c>
      <c r="D332" s="29">
        <v>1839.0</v>
      </c>
      <c r="E332" s="28" t="s">
        <v>883</v>
      </c>
      <c r="F332" s="7" t="str">
        <f>IFERROR(__xludf.DUMMYFUNCTION("GOOGLETRANSLATE(B332:B5064,""en"",""fr"")"),"lancer")</f>
        <v>lancer</v>
      </c>
    </row>
    <row r="333" ht="19.5" customHeight="1">
      <c r="A333" s="26" t="s">
        <v>884</v>
      </c>
      <c r="B333" s="27" t="s">
        <v>645</v>
      </c>
      <c r="C333" s="28" t="s">
        <v>32</v>
      </c>
      <c r="D333" s="29">
        <v>1833.0</v>
      </c>
      <c r="E333" s="28" t="s">
        <v>885</v>
      </c>
      <c r="F333" s="7" t="str">
        <f>IFERROR(__xludf.DUMMYFUNCTION("GOOGLETRANSLATE(B333:B5064,""en"",""fr"")"),"nom")</f>
        <v>nom</v>
      </c>
    </row>
    <row r="334" ht="19.5" customHeight="1">
      <c r="A334" s="26" t="s">
        <v>886</v>
      </c>
      <c r="B334" s="27" t="s">
        <v>887</v>
      </c>
      <c r="C334" s="28" t="s">
        <v>134</v>
      </c>
      <c r="D334" s="29">
        <v>1821.0</v>
      </c>
      <c r="E334" s="28" t="s">
        <v>887</v>
      </c>
      <c r="F334" s="7" t="str">
        <f>IFERROR(__xludf.DUMMYFUNCTION("GOOGLETRANSLATE(B334:B5064,""en"",""fr"")"),"mort")</f>
        <v>mort</v>
      </c>
    </row>
    <row r="335" ht="19.5" customHeight="1">
      <c r="A335" s="26" t="s">
        <v>888</v>
      </c>
      <c r="B335" s="27" t="s">
        <v>889</v>
      </c>
      <c r="C335" s="28" t="s">
        <v>32</v>
      </c>
      <c r="D335" s="29">
        <v>1815.0</v>
      </c>
      <c r="E335" s="28" t="s">
        <v>890</v>
      </c>
      <c r="F335" s="7" t="str">
        <f>IFERROR(__xludf.DUMMYFUNCTION("GOOGLETRANSLATE(B335:B5064,""en"",""fr"")"),"rester")</f>
        <v>rester</v>
      </c>
    </row>
    <row r="336" ht="19.5" customHeight="1">
      <c r="A336" s="26" t="s">
        <v>891</v>
      </c>
      <c r="B336" s="27" t="s">
        <v>892</v>
      </c>
      <c r="C336" s="28" t="s">
        <v>36</v>
      </c>
      <c r="D336" s="29">
        <v>1799.0</v>
      </c>
      <c r="E336" s="28" t="s">
        <v>892</v>
      </c>
      <c r="F336" s="7" t="str">
        <f>IFERROR(__xludf.DUMMYFUNCTION("GOOGLETRANSLATE(B336:B5064,""en"",""fr"")"),"moi-même")</f>
        <v>moi-même</v>
      </c>
    </row>
    <row r="337" ht="19.5" customHeight="1">
      <c r="A337" s="26" t="s">
        <v>893</v>
      </c>
      <c r="B337" s="27" t="s">
        <v>894</v>
      </c>
      <c r="C337" s="28" t="s">
        <v>85</v>
      </c>
      <c r="D337" s="29">
        <v>1794.0</v>
      </c>
      <c r="E337" s="28" t="s">
        <v>894</v>
      </c>
      <c r="F337" s="7" t="str">
        <f>IFERROR(__xludf.DUMMYFUNCTION("GOOGLETRANSLATE(B337:B5064,""en"",""fr"")"),"aw")</f>
        <v>aw</v>
      </c>
    </row>
    <row r="338" ht="19.5" customHeight="1">
      <c r="A338" s="26" t="s">
        <v>895</v>
      </c>
      <c r="B338" s="27" t="s">
        <v>896</v>
      </c>
      <c r="C338" s="28" t="s">
        <v>178</v>
      </c>
      <c r="D338" s="29">
        <v>1787.0</v>
      </c>
      <c r="E338" s="28" t="s">
        <v>897</v>
      </c>
      <c r="F338" s="7" t="str">
        <f>IFERROR(__xludf.DUMMYFUNCTION("GOOGLETRANSLATE(B338:B5064,""en"",""fr"")"),"dîner")</f>
        <v>dîner</v>
      </c>
    </row>
    <row r="339" ht="19.5" customHeight="1">
      <c r="A339" s="26" t="s">
        <v>898</v>
      </c>
      <c r="B339" s="27" t="s">
        <v>899</v>
      </c>
      <c r="C339" s="28" t="s">
        <v>36</v>
      </c>
      <c r="D339" s="29">
        <v>1772.0</v>
      </c>
      <c r="E339" s="28" t="s">
        <v>899</v>
      </c>
      <c r="F339" s="7" t="str">
        <f>IFERROR(__xludf.DUMMYFUNCTION("GOOGLETRANSLATE(B339:B5064,""en"",""fr"")"),"n'importe qui")</f>
        <v>n'importe qui</v>
      </c>
    </row>
    <row r="340" ht="19.5" customHeight="1">
      <c r="A340" s="26" t="s">
        <v>900</v>
      </c>
      <c r="B340" s="27" t="s">
        <v>901</v>
      </c>
      <c r="C340" s="28" t="s">
        <v>178</v>
      </c>
      <c r="D340" s="29">
        <v>1767.0</v>
      </c>
      <c r="E340" s="28" t="s">
        <v>902</v>
      </c>
      <c r="F340" s="7" t="str">
        <f>IFERROR(__xludf.DUMMYFUNCTION("GOOGLETRANSLATE(B340:B5064,""en"",""fr"")"),"main")</f>
        <v>main</v>
      </c>
    </row>
    <row r="341" ht="19.5" customHeight="1">
      <c r="A341" s="26" t="s">
        <v>903</v>
      </c>
      <c r="B341" s="27" t="s">
        <v>904</v>
      </c>
      <c r="C341" s="28" t="s">
        <v>36</v>
      </c>
      <c r="D341" s="29">
        <v>1739.0</v>
      </c>
      <c r="E341" s="28" t="s">
        <v>904</v>
      </c>
      <c r="F341" s="7" t="str">
        <f>IFERROR(__xludf.DUMMYFUNCTION("GOOGLETRANSLATE(B341:B5064,""en"",""fr"")"),"chaque")</f>
        <v>chaque</v>
      </c>
    </row>
    <row r="342" ht="19.5" customHeight="1">
      <c r="A342" s="26" t="s">
        <v>905</v>
      </c>
      <c r="B342" s="27" t="s">
        <v>906</v>
      </c>
      <c r="C342" s="28" t="s">
        <v>100</v>
      </c>
      <c r="D342" s="29">
        <v>1723.0</v>
      </c>
      <c r="E342" s="28" t="s">
        <v>906</v>
      </c>
      <c r="F342" s="7" t="str">
        <f>IFERROR(__xludf.DUMMYFUNCTION("GOOGLETRANSLATE(B342:B5064,""en"",""fr"")"),"de toute façon")</f>
        <v>de toute façon</v>
      </c>
    </row>
    <row r="343" ht="19.5" customHeight="1">
      <c r="A343" s="26" t="s">
        <v>907</v>
      </c>
      <c r="B343" s="27" t="s">
        <v>908</v>
      </c>
      <c r="C343" s="28" t="s">
        <v>178</v>
      </c>
      <c r="D343" s="29">
        <v>1716.0</v>
      </c>
      <c r="E343" s="28" t="s">
        <v>909</v>
      </c>
      <c r="F343" s="7" t="str">
        <f>IFERROR(__xludf.DUMMYFUNCTION("GOOGLETRANSLATE(B343:B5064,""en"",""fr"")"),"télévision")</f>
        <v>télévision</v>
      </c>
    </row>
    <row r="344" ht="19.5" customHeight="1">
      <c r="A344" s="26" t="s">
        <v>910</v>
      </c>
      <c r="B344" s="27" t="s">
        <v>911</v>
      </c>
      <c r="C344" s="28" t="s">
        <v>32</v>
      </c>
      <c r="D344" s="29">
        <v>1715.0</v>
      </c>
      <c r="E344" s="28" t="s">
        <v>912</v>
      </c>
      <c r="F344" s="7" t="str">
        <f>IFERROR(__xludf.DUMMYFUNCTION("GOOGLETRANSLATE(B344:B5064,""en"",""fr"")"),"apprendre")</f>
        <v>apprendre</v>
      </c>
    </row>
    <row r="345" ht="19.5" customHeight="1">
      <c r="A345" s="26" t="s">
        <v>913</v>
      </c>
      <c r="B345" s="27" t="s">
        <v>914</v>
      </c>
      <c r="C345" s="28" t="s">
        <v>32</v>
      </c>
      <c r="D345" s="29">
        <v>1709.0</v>
      </c>
      <c r="E345" s="28" t="s">
        <v>915</v>
      </c>
      <c r="F345" s="7" t="str">
        <f>IFERROR(__xludf.DUMMYFUNCTION("GOOGLETRANSLATE(B345:B5064,""en"",""fr"")"),"fermer")</f>
        <v>fermer</v>
      </c>
    </row>
    <row r="346" ht="19.5" customHeight="1">
      <c r="A346" s="26" t="s">
        <v>916</v>
      </c>
      <c r="B346" s="27" t="s">
        <v>917</v>
      </c>
      <c r="C346" s="28" t="s">
        <v>178</v>
      </c>
      <c r="D346" s="29">
        <v>1709.0</v>
      </c>
      <c r="E346" s="28" t="s">
        <v>918</v>
      </c>
      <c r="F346" s="7" t="str">
        <f>IFERROR(__xludf.DUMMYFUNCTION("GOOGLETRANSLATE(B346:B5064,""en"",""fr"")"),"ville")</f>
        <v>ville</v>
      </c>
    </row>
    <row r="347" ht="19.5" customHeight="1">
      <c r="A347" s="26" t="s">
        <v>919</v>
      </c>
      <c r="B347" s="27" t="s">
        <v>920</v>
      </c>
      <c r="C347" s="28" t="s">
        <v>134</v>
      </c>
      <c r="D347" s="29">
        <v>1707.0</v>
      </c>
      <c r="E347" s="28" t="s">
        <v>920</v>
      </c>
      <c r="F347" s="7" t="str">
        <f>IFERROR(__xludf.DUMMYFUNCTION("GOOGLETRANSLATE(B347:B5064,""en"",""fr"")"),"beau")</f>
        <v>beau</v>
      </c>
    </row>
    <row r="348" ht="19.5" customHeight="1">
      <c r="A348" s="26" t="s">
        <v>921</v>
      </c>
      <c r="B348" s="27" t="s">
        <v>922</v>
      </c>
      <c r="C348" s="28" t="s">
        <v>36</v>
      </c>
      <c r="D348" s="29">
        <v>1687.0</v>
      </c>
      <c r="E348" s="28" t="s">
        <v>922</v>
      </c>
      <c r="F348" s="7" t="str">
        <f>IFERROR(__xludf.DUMMYFUNCTION("GOOGLETRANSLATE(B348:B5064,""en"",""fr"")"),"les deux")</f>
        <v>les deux</v>
      </c>
    </row>
    <row r="349" ht="19.5" customHeight="1">
      <c r="A349" s="26" t="s">
        <v>923</v>
      </c>
      <c r="B349" s="27" t="s">
        <v>924</v>
      </c>
      <c r="C349" s="28" t="s">
        <v>178</v>
      </c>
      <c r="D349" s="29">
        <v>1682.0</v>
      </c>
      <c r="E349" s="28" t="s">
        <v>925</v>
      </c>
      <c r="F349" s="7" t="str">
        <f>IFERROR(__xludf.DUMMYFUNCTION("GOOGLETRANSLATE(B349:B5064,""en"",""fr"")"),"date")</f>
        <v>date</v>
      </c>
    </row>
    <row r="350" ht="19.5" customHeight="1">
      <c r="A350" s="26" t="s">
        <v>926</v>
      </c>
      <c r="B350" s="27" t="s">
        <v>927</v>
      </c>
      <c r="C350" s="28" t="s">
        <v>32</v>
      </c>
      <c r="D350" s="29">
        <v>1680.0</v>
      </c>
      <c r="E350" s="28" t="s">
        <v>928</v>
      </c>
      <c r="F350" s="7" t="str">
        <f>IFERROR(__xludf.DUMMYFUNCTION("GOOGLETRANSLATE(B350:B5064,""en"",""fr"")"),"dépenser")</f>
        <v>dépenser</v>
      </c>
    </row>
    <row r="351" ht="19.5" customHeight="1">
      <c r="A351" s="26" t="s">
        <v>929</v>
      </c>
      <c r="B351" s="27" t="s">
        <v>930</v>
      </c>
      <c r="C351" s="28" t="s">
        <v>178</v>
      </c>
      <c r="D351" s="29">
        <v>1673.0</v>
      </c>
      <c r="E351" s="28" t="s">
        <v>931</v>
      </c>
      <c r="F351" s="7" t="str">
        <f>IFERROR(__xludf.DUMMYFUNCTION("GOOGLETRANSLATE(B351:B5064,""en"",""fr"")"),"bureau")</f>
        <v>bureau</v>
      </c>
    </row>
    <row r="352" ht="19.5" customHeight="1">
      <c r="A352" s="26" t="s">
        <v>932</v>
      </c>
      <c r="B352" s="27" t="s">
        <v>933</v>
      </c>
      <c r="C352" s="28" t="s">
        <v>32</v>
      </c>
      <c r="D352" s="29">
        <v>1668.0</v>
      </c>
      <c r="E352" s="28" t="s">
        <v>934</v>
      </c>
      <c r="F352" s="7" t="str">
        <f>IFERROR(__xludf.DUMMYFUNCTION("GOOGLETRANSLATE(B352:B5064,""en"",""fr"")"),"frapper")</f>
        <v>frapper</v>
      </c>
    </row>
    <row r="353" ht="19.5" customHeight="1">
      <c r="A353" s="26" t="s">
        <v>935</v>
      </c>
      <c r="B353" s="27" t="s">
        <v>936</v>
      </c>
      <c r="C353" s="28" t="s">
        <v>36</v>
      </c>
      <c r="D353" s="29">
        <v>1658.0</v>
      </c>
      <c r="E353" s="28" t="s">
        <v>936</v>
      </c>
      <c r="F353" s="7" t="str">
        <f>IFERROR(__xludf.DUMMYFUNCTION("GOOGLETRANSLATE(B353:B5064,""en"",""fr"")"),"encore")</f>
        <v>encore</v>
      </c>
    </row>
    <row r="354" ht="19.5" customHeight="1">
      <c r="A354" s="26" t="s">
        <v>937</v>
      </c>
      <c r="B354" s="27" t="s">
        <v>938</v>
      </c>
      <c r="C354" s="28" t="s">
        <v>32</v>
      </c>
      <c r="D354" s="29">
        <v>1656.0</v>
      </c>
      <c r="E354" s="28" t="s">
        <v>939</v>
      </c>
      <c r="F354" s="7" t="str">
        <f>IFERROR(__xludf.DUMMYFUNCTION("GOOGLETRANSLATE(B354:B5064,""en"",""fr"")"),"sauvegarder")</f>
        <v>sauvegarder</v>
      </c>
    </row>
    <row r="355" ht="19.5" customHeight="1">
      <c r="A355" s="26" t="s">
        <v>940</v>
      </c>
      <c r="B355" s="27" t="s">
        <v>941</v>
      </c>
      <c r="C355" s="28" t="s">
        <v>134</v>
      </c>
      <c r="D355" s="29">
        <v>1653.0</v>
      </c>
      <c r="E355" s="28" t="s">
        <v>942</v>
      </c>
      <c r="F355" s="7" t="str">
        <f>IFERROR(__xludf.DUMMYFUNCTION("GOOGLETRANSLATE(B355:B5064,""en"",""fr"")"),"vrai")</f>
        <v>vrai</v>
      </c>
    </row>
    <row r="356" ht="19.5" customHeight="1">
      <c r="A356" s="26" t="s">
        <v>943</v>
      </c>
      <c r="B356" s="27" t="s">
        <v>944</v>
      </c>
      <c r="C356" s="28" t="s">
        <v>134</v>
      </c>
      <c r="D356" s="29">
        <v>1649.0</v>
      </c>
      <c r="E356" s="28" t="s">
        <v>945</v>
      </c>
      <c r="F356" s="7" t="str">
        <f>IFERROR(__xludf.DUMMYFUNCTION("GOOGLETRANSLATE(B356:B5064,""en"",""fr"")"),"doux")</f>
        <v>doux</v>
      </c>
    </row>
    <row r="357" ht="19.5" customHeight="1">
      <c r="A357" s="26" t="s">
        <v>946</v>
      </c>
      <c r="B357" s="27" t="s">
        <v>947</v>
      </c>
      <c r="C357" s="28" t="s">
        <v>36</v>
      </c>
      <c r="D357" s="29">
        <v>1642.0</v>
      </c>
      <c r="E357" s="28" t="s">
        <v>947</v>
      </c>
      <c r="F357" s="7" t="str">
        <f>IFERROR(__xludf.DUMMYFUNCTION("GOOGLETRANSLATE(B357:B5064,""en"",""fr"")"),"jusqu'à")</f>
        <v>jusqu'à</v>
      </c>
    </row>
    <row r="358" ht="19.5" customHeight="1">
      <c r="A358" s="26" t="s">
        <v>948</v>
      </c>
      <c r="B358" s="27" t="s">
        <v>949</v>
      </c>
      <c r="C358" s="28" t="s">
        <v>178</v>
      </c>
      <c r="D358" s="29">
        <v>1628.0</v>
      </c>
      <c r="E358" s="28" t="s">
        <v>950</v>
      </c>
      <c r="F358" s="7" t="str">
        <f>IFERROR(__xludf.DUMMYFUNCTION("GOOGLETRANSLATE(B358:B5064,""en"",""fr"")"),"nourriture")</f>
        <v>nourriture</v>
      </c>
    </row>
    <row r="359" ht="19.5" customHeight="1">
      <c r="A359" s="26" t="s">
        <v>951</v>
      </c>
      <c r="B359" s="27" t="s">
        <v>952</v>
      </c>
      <c r="C359" s="28" t="s">
        <v>36</v>
      </c>
      <c r="D359" s="29">
        <v>1620.0</v>
      </c>
      <c r="E359" s="28" t="s">
        <v>952</v>
      </c>
      <c r="F359" s="7" t="str">
        <f>IFERROR(__xludf.DUMMYFUNCTION("GOOGLETRANSLATE(B359:B5064,""en"",""fr"")"),"alors que")</f>
        <v>alors que</v>
      </c>
    </row>
    <row r="360" ht="19.5" customHeight="1">
      <c r="A360" s="26" t="s">
        <v>953</v>
      </c>
      <c r="B360" s="27" t="s">
        <v>954</v>
      </c>
      <c r="C360" s="28" t="s">
        <v>32</v>
      </c>
      <c r="D360" s="29">
        <v>1617.0</v>
      </c>
      <c r="E360" s="28" t="s">
        <v>955</v>
      </c>
      <c r="F360" s="7" t="str">
        <f>IFERROR(__xludf.DUMMYFUNCTION("GOOGLETRANSLATE(B360:B5064,""en"",""fr"")"),"envoyer")</f>
        <v>envoyer</v>
      </c>
    </row>
    <row r="361" ht="19.5" customHeight="1">
      <c r="A361" s="26" t="s">
        <v>956</v>
      </c>
      <c r="B361" s="27" t="s">
        <v>957</v>
      </c>
      <c r="C361" s="28" t="s">
        <v>134</v>
      </c>
      <c r="D361" s="29">
        <v>1602.0</v>
      </c>
      <c r="E361" s="28" t="s">
        <v>958</v>
      </c>
      <c r="F361" s="7" t="str">
        <f>IFERROR(__xludf.DUMMYFUNCTION("GOOGLETRANSLATE(B361:B5064,""en"",""fr"")"),"haut")</f>
        <v>haut</v>
      </c>
    </row>
    <row r="362" ht="19.5" customHeight="1">
      <c r="A362" s="26" t="s">
        <v>959</v>
      </c>
      <c r="B362" s="27" t="s">
        <v>960</v>
      </c>
      <c r="C362" s="28" t="s">
        <v>100</v>
      </c>
      <c r="D362" s="29">
        <v>1596.0</v>
      </c>
      <c r="E362" s="28" t="s">
        <v>960</v>
      </c>
      <c r="F362" s="7" t="str">
        <f>IFERROR(__xludf.DUMMYFUNCTION("GOOGLETRANSLATE(B362:B5064,""en"",""fr"")"),"plus")</f>
        <v>plus</v>
      </c>
    </row>
    <row r="363" ht="19.5" customHeight="1">
      <c r="A363" s="26" t="s">
        <v>961</v>
      </c>
      <c r="B363" s="27" t="s">
        <v>962</v>
      </c>
      <c r="C363" s="28" t="s">
        <v>100</v>
      </c>
      <c r="D363" s="29">
        <v>1590.0</v>
      </c>
      <c r="E363" s="28" t="s">
        <v>962</v>
      </c>
      <c r="F363" s="7" t="str">
        <f>IFERROR(__xludf.DUMMYFUNCTION("GOOGLETRANSLATE(B363:B5064,""en"",""fr"")"),"aussi")</f>
        <v>aussi</v>
      </c>
    </row>
    <row r="364" ht="19.5" customHeight="1">
      <c r="A364" s="26" t="s">
        <v>963</v>
      </c>
      <c r="B364" s="27" t="s">
        <v>964</v>
      </c>
      <c r="C364" s="28" t="s">
        <v>178</v>
      </c>
      <c r="D364" s="29">
        <v>1572.0</v>
      </c>
      <c r="E364" s="28" t="s">
        <v>964</v>
      </c>
      <c r="F364" s="7" t="str">
        <f>IFERROR(__xludf.DUMMYFUNCTION("GOOGLETRANSLATE(B364:B5064,""en"",""fr"")"),"nouvelles")</f>
        <v>nouvelles</v>
      </c>
    </row>
    <row r="365" ht="19.5" customHeight="1">
      <c r="A365" s="26" t="s">
        <v>965</v>
      </c>
      <c r="B365" s="27" t="s">
        <v>966</v>
      </c>
      <c r="C365" s="28" t="s">
        <v>728</v>
      </c>
      <c r="D365" s="29">
        <v>1561.0</v>
      </c>
      <c r="E365" s="28" t="s">
        <v>966</v>
      </c>
      <c r="F365" s="7" t="str">
        <f>IFERROR(__xludf.DUMMYFUNCTION("GOOGLETRANSLATE(B365:B5064,""en"",""fr"")"),"Noël")</f>
        <v>Noël</v>
      </c>
    </row>
    <row r="366" ht="19.5" customHeight="1">
      <c r="A366" s="26" t="s">
        <v>967</v>
      </c>
      <c r="B366" s="27" t="s">
        <v>968</v>
      </c>
      <c r="C366" s="28" t="s">
        <v>150</v>
      </c>
      <c r="D366" s="29">
        <v>1560.0</v>
      </c>
      <c r="E366" s="28" t="s">
        <v>968</v>
      </c>
      <c r="F366" s="7" t="str">
        <f>IFERROR(__xludf.DUMMYFUNCTION("GOOGLETRANSLATE(B366:B5064,""en"",""fr"")"),"dix")</f>
        <v>dix</v>
      </c>
    </row>
    <row r="367" ht="19.5" customHeight="1">
      <c r="A367" s="26" t="s">
        <v>969</v>
      </c>
      <c r="B367" s="27" t="s">
        <v>970</v>
      </c>
      <c r="C367" s="28" t="s">
        <v>178</v>
      </c>
      <c r="D367" s="29">
        <v>1548.0</v>
      </c>
      <c r="E367" s="28" t="s">
        <v>971</v>
      </c>
      <c r="F367" s="7" t="str">
        <f>IFERROR(__xludf.DUMMYFUNCTION("GOOGLETRANSLATE(B367:B5064,""en"",""fr"")"),"cul")</f>
        <v>cul</v>
      </c>
    </row>
    <row r="368" ht="19.5" customHeight="1">
      <c r="A368" s="26" t="s">
        <v>972</v>
      </c>
      <c r="B368" s="27" t="s">
        <v>973</v>
      </c>
      <c r="C368" s="28" t="s">
        <v>178</v>
      </c>
      <c r="D368" s="29">
        <v>1542.0</v>
      </c>
      <c r="E368" s="28" t="s">
        <v>974</v>
      </c>
      <c r="F368" s="7" t="str">
        <f>IFERROR(__xludf.DUMMYFUNCTION("GOOGLETRANSLATE(B368:B5064,""en"",""fr"")"),"entreprise")</f>
        <v>entreprise</v>
      </c>
    </row>
    <row r="369" ht="19.5" customHeight="1">
      <c r="A369" s="26" t="s">
        <v>975</v>
      </c>
      <c r="B369" s="27" t="s">
        <v>424</v>
      </c>
      <c r="C369" s="28" t="s">
        <v>134</v>
      </c>
      <c r="D369" s="29">
        <v>1539.0</v>
      </c>
      <c r="E369" s="28" t="s">
        <v>424</v>
      </c>
      <c r="F369" s="7" t="str">
        <f>IFERROR(__xludf.DUMMYFUNCTION("GOOGLETRANSLATE(B369:B5064,""en"",""fr"")"),"seulement")</f>
        <v>seulement</v>
      </c>
    </row>
    <row r="370" ht="19.5" customHeight="1">
      <c r="A370" s="26" t="s">
        <v>976</v>
      </c>
      <c r="B370" s="27" t="s">
        <v>977</v>
      </c>
      <c r="C370" s="28" t="s">
        <v>178</v>
      </c>
      <c r="D370" s="29">
        <v>1534.0</v>
      </c>
      <c r="E370" s="28" t="s">
        <v>978</v>
      </c>
      <c r="F370" s="7" t="str">
        <f>IFERROR(__xludf.DUMMYFUNCTION("GOOGLETRANSLATE(B370:B5064,""en"",""fr"")"),"couple")</f>
        <v>couple</v>
      </c>
    </row>
    <row r="371" ht="19.5" customHeight="1">
      <c r="A371" s="26" t="s">
        <v>979</v>
      </c>
      <c r="B371" s="27" t="s">
        <v>980</v>
      </c>
      <c r="C371" s="28" t="s">
        <v>100</v>
      </c>
      <c r="D371" s="29">
        <v>1532.0</v>
      </c>
      <c r="E371" s="28" t="s">
        <v>980</v>
      </c>
      <c r="F371" s="7" t="str">
        <f>IFERROR(__xludf.DUMMYFUNCTION("GOOGLETRANSLATE(B371:B5064,""en"",""fr"")"),"totalement")</f>
        <v>totalement</v>
      </c>
    </row>
    <row r="372" ht="19.5" customHeight="1">
      <c r="A372" s="26" t="s">
        <v>981</v>
      </c>
      <c r="B372" s="27" t="s">
        <v>982</v>
      </c>
      <c r="C372" s="28" t="s">
        <v>178</v>
      </c>
      <c r="D372" s="29">
        <v>1528.0</v>
      </c>
      <c r="E372" s="28" t="s">
        <v>983</v>
      </c>
      <c r="F372" s="7" t="str">
        <f>IFERROR(__xludf.DUMMYFUNCTION("GOOGLETRANSLATE(B372:B5064,""en"",""fr"")"),"porte")</f>
        <v>porte</v>
      </c>
    </row>
    <row r="373" ht="19.5" customHeight="1">
      <c r="A373" s="26" t="s">
        <v>984</v>
      </c>
      <c r="B373" s="27" t="s">
        <v>985</v>
      </c>
      <c r="C373" s="28" t="s">
        <v>134</v>
      </c>
      <c r="D373" s="29">
        <v>1525.0</v>
      </c>
      <c r="E373" s="28" t="s">
        <v>986</v>
      </c>
      <c r="F373" s="7" t="str">
        <f>IFERROR(__xludf.DUMMYFUNCTION("GOOGLETRANSLATE(B373:B5064,""en"",""fr"")"),"gay")</f>
        <v>gay</v>
      </c>
    </row>
    <row r="374" ht="19.5" customHeight="1">
      <c r="A374" s="26" t="s">
        <v>987</v>
      </c>
      <c r="B374" s="27" t="s">
        <v>988</v>
      </c>
      <c r="C374" s="28" t="s">
        <v>100</v>
      </c>
      <c r="D374" s="29">
        <v>1523.0</v>
      </c>
      <c r="E374" s="28" t="s">
        <v>988</v>
      </c>
      <c r="F374" s="7" t="str">
        <f>IFERROR(__xludf.DUMMYFUNCTION("GOOGLETRANSLATE(B374:B5064,""en"",""fr"")"),"exactement")</f>
        <v>exactement</v>
      </c>
    </row>
    <row r="375" ht="19.5" customHeight="1">
      <c r="A375" s="26" t="s">
        <v>989</v>
      </c>
      <c r="B375" s="27" t="s">
        <v>990</v>
      </c>
      <c r="C375" s="28" t="s">
        <v>178</v>
      </c>
      <c r="D375" s="29">
        <v>1521.0</v>
      </c>
      <c r="E375" s="28" t="s">
        <v>991</v>
      </c>
      <c r="F375" s="7" t="str">
        <f>IFERROR(__xludf.DUMMYFUNCTION("GOOGLETRANSLATE(B375:B5064,""en"",""fr"")"),"parent")</f>
        <v>parent</v>
      </c>
    </row>
    <row r="376" ht="19.5" customHeight="1">
      <c r="A376" s="26" t="s">
        <v>992</v>
      </c>
      <c r="B376" s="27" t="s">
        <v>993</v>
      </c>
      <c r="C376" s="28" t="s">
        <v>36</v>
      </c>
      <c r="D376" s="29">
        <v>1516.0</v>
      </c>
      <c r="E376" s="28" t="s">
        <v>994</v>
      </c>
      <c r="F376" s="7" t="str">
        <f>IFERROR(__xludf.DUMMYFUNCTION("GOOGLETRANSLATE(B376:B5064,""en"",""fr"")"),"peu")</f>
        <v>peu</v>
      </c>
    </row>
    <row r="377" ht="19.5" customHeight="1">
      <c r="A377" s="26" t="s">
        <v>995</v>
      </c>
      <c r="B377" s="27" t="s">
        <v>996</v>
      </c>
      <c r="C377" s="28" t="s">
        <v>178</v>
      </c>
      <c r="D377" s="29">
        <v>1514.0</v>
      </c>
      <c r="E377" s="28" t="s">
        <v>997</v>
      </c>
      <c r="F377" s="7" t="str">
        <f>IFERROR(__xludf.DUMMYFUNCTION("GOOGLETRANSLATE(B377:B5064,""en"",""fr"")"),"mois")</f>
        <v>mois</v>
      </c>
    </row>
    <row r="378" ht="19.5" customHeight="1">
      <c r="A378" s="26" t="s">
        <v>998</v>
      </c>
      <c r="B378" s="27" t="s">
        <v>999</v>
      </c>
      <c r="C378" s="28" t="s">
        <v>134</v>
      </c>
      <c r="D378" s="29">
        <v>1508.0</v>
      </c>
      <c r="E378" s="28" t="s">
        <v>1000</v>
      </c>
      <c r="F378" s="7" t="str">
        <f>IFERROR(__xludf.DUMMYFUNCTION("GOOGLETRANSLATE(B378:B5064,""en"",""fr"")"),"facile")</f>
        <v>facile</v>
      </c>
    </row>
    <row r="379" ht="19.5" customHeight="1">
      <c r="A379" s="26" t="s">
        <v>1001</v>
      </c>
      <c r="B379" s="27" t="s">
        <v>1002</v>
      </c>
      <c r="C379" s="28" t="s">
        <v>178</v>
      </c>
      <c r="D379" s="29">
        <v>1503.0</v>
      </c>
      <c r="E379" s="28" t="s">
        <v>1003</v>
      </c>
      <c r="F379" s="7" t="str">
        <f>IFERROR(__xludf.DUMMYFUNCTION("GOOGLETRANSLATE(B379:B5064,""en"",""fr"")"),"accord")</f>
        <v>accord</v>
      </c>
    </row>
    <row r="380" ht="19.5" customHeight="1">
      <c r="A380" s="26" t="s">
        <v>1004</v>
      </c>
      <c r="B380" s="27" t="s">
        <v>1005</v>
      </c>
      <c r="C380" s="28" t="s">
        <v>85</v>
      </c>
      <c r="D380" s="29">
        <v>1503.0</v>
      </c>
      <c r="E380" s="28" t="s">
        <v>1006</v>
      </c>
      <c r="F380" s="7" t="str">
        <f>IFERROR(__xludf.DUMMYFUNCTION("GOOGLETRANSLATE(B380:B5064,""en"",""fr"")"),"ow")</f>
        <v>ow</v>
      </c>
    </row>
    <row r="381" ht="19.5" customHeight="1">
      <c r="A381" s="26" t="s">
        <v>1007</v>
      </c>
      <c r="B381" s="27" t="s">
        <v>1008</v>
      </c>
      <c r="C381" s="28" t="s">
        <v>32</v>
      </c>
      <c r="D381" s="29">
        <v>1495.0</v>
      </c>
      <c r="E381" s="28" t="s">
        <v>1009</v>
      </c>
      <c r="F381" s="7" t="str">
        <f>IFERROR(__xludf.DUMMYFUNCTION("GOOGLETRANSLATE(B381:B5064,""en"",""fr"")"),"blesser")</f>
        <v>blesser</v>
      </c>
    </row>
    <row r="382" ht="19.5" customHeight="1">
      <c r="A382" s="26" t="s">
        <v>1010</v>
      </c>
      <c r="B382" s="27" t="s">
        <v>1011</v>
      </c>
      <c r="C382" s="28" t="s">
        <v>36</v>
      </c>
      <c r="D382" s="29">
        <v>1495.0</v>
      </c>
      <c r="E382" s="28" t="s">
        <v>1011</v>
      </c>
      <c r="F382" s="7" t="str">
        <f>IFERROR(__xludf.DUMMYFUNCTION("GOOGLETRANSLATE(B382:B5064,""en"",""fr"")"),"personne")</f>
        <v>personne</v>
      </c>
    </row>
    <row r="383" ht="19.5" customHeight="1">
      <c r="A383" s="26" t="s">
        <v>1012</v>
      </c>
      <c r="B383" s="27" t="s">
        <v>1013</v>
      </c>
      <c r="C383" s="28" t="s">
        <v>100</v>
      </c>
      <c r="D383" s="29">
        <v>1480.0</v>
      </c>
      <c r="E383" s="28" t="s">
        <v>1013</v>
      </c>
      <c r="F383" s="7" t="str">
        <f>IFERROR(__xludf.DUMMYFUNCTION("GOOGLETRANSLATE(B383:B5064,""en"",""fr"")"),"D'ACCORD")</f>
        <v>D'ACCORD</v>
      </c>
    </row>
    <row r="384" ht="19.5" customHeight="1">
      <c r="A384" s="26" t="s">
        <v>1014</v>
      </c>
      <c r="B384" s="27" t="s">
        <v>1015</v>
      </c>
      <c r="C384" s="28" t="s">
        <v>134</v>
      </c>
      <c r="D384" s="29">
        <v>1477.0</v>
      </c>
      <c r="E384" s="28" t="s">
        <v>1015</v>
      </c>
      <c r="F384" s="7" t="str">
        <f>IFERROR(__xludf.DUMMYFUNCTION("GOOGLETRANSLATE(B384:B5064,""en"",""fr"")"),"parfait")</f>
        <v>parfait</v>
      </c>
    </row>
    <row r="385" ht="19.5" customHeight="1">
      <c r="A385" s="26" t="s">
        <v>1016</v>
      </c>
      <c r="B385" s="27" t="s">
        <v>1017</v>
      </c>
      <c r="C385" s="28" t="s">
        <v>32</v>
      </c>
      <c r="D385" s="29">
        <v>1474.0</v>
      </c>
      <c r="E385" s="28" t="s">
        <v>1018</v>
      </c>
      <c r="F385" s="7" t="str">
        <f>IFERROR(__xludf.DUMMYFUNCTION("GOOGLETRANSLATE(B385:B5064,""en"",""fr"")"),"mensonge")</f>
        <v>mensonge</v>
      </c>
    </row>
    <row r="386" ht="19.5" customHeight="1">
      <c r="A386" s="26" t="s">
        <v>1019</v>
      </c>
      <c r="B386" s="27" t="s">
        <v>1020</v>
      </c>
      <c r="C386" s="28" t="s">
        <v>134</v>
      </c>
      <c r="D386" s="29">
        <v>1473.0</v>
      </c>
      <c r="E386" s="28" t="s">
        <v>1021</v>
      </c>
      <c r="F386" s="7" t="str">
        <f>IFERROR(__xludf.DUMMYFUNCTION("GOOGLETRANSLATE(B386:B5064,""en"",""fr"")"),"gratuit")</f>
        <v>gratuit</v>
      </c>
    </row>
    <row r="387" ht="19.5" customHeight="1">
      <c r="A387" s="26" t="s">
        <v>1022</v>
      </c>
      <c r="B387" s="27" t="s">
        <v>1023</v>
      </c>
      <c r="C387" s="28" t="s">
        <v>134</v>
      </c>
      <c r="D387" s="29">
        <v>1471.0</v>
      </c>
      <c r="E387" s="28" t="s">
        <v>1024</v>
      </c>
      <c r="F387" s="7" t="str">
        <f>IFERROR(__xludf.DUMMYFUNCTION("GOOGLETRANSLATE(B387:B5064,""en"",""fr"")"),"jeune")</f>
        <v>jeune</v>
      </c>
    </row>
    <row r="388" ht="19.5" customHeight="1">
      <c r="A388" s="26" t="s">
        <v>1025</v>
      </c>
      <c r="B388" s="27" t="s">
        <v>1026</v>
      </c>
      <c r="C388" s="28" t="s">
        <v>134</v>
      </c>
      <c r="D388" s="29">
        <v>1465.0</v>
      </c>
      <c r="E388" s="28" t="s">
        <v>1027</v>
      </c>
      <c r="F388" s="7" t="str">
        <f>IFERROR(__xludf.DUMMYFUNCTION("GOOGLETRANSLATE(B388:B5064,""en"",""fr"")"),"bizarre")</f>
        <v>bizarre</v>
      </c>
    </row>
    <row r="389" ht="19.5" customHeight="1">
      <c r="A389" s="26" t="s">
        <v>1028</v>
      </c>
      <c r="B389" s="27" t="s">
        <v>1029</v>
      </c>
      <c r="C389" s="28" t="s">
        <v>36</v>
      </c>
      <c r="D389" s="29">
        <v>1452.0</v>
      </c>
      <c r="E389" s="28" t="s">
        <v>1029</v>
      </c>
      <c r="F389" s="7" t="str">
        <f>IFERROR(__xludf.DUMMYFUNCTION("GOOGLETRANSLATE(B389:B5064,""en"",""fr"")"),"peu importe")</f>
        <v>peu importe</v>
      </c>
    </row>
    <row r="390" ht="19.5" customHeight="1">
      <c r="A390" s="26" t="s">
        <v>1030</v>
      </c>
      <c r="B390" s="27" t="s">
        <v>1031</v>
      </c>
      <c r="C390" s="28" t="s">
        <v>178</v>
      </c>
      <c r="D390" s="29">
        <v>1441.0</v>
      </c>
      <c r="E390" s="28" t="s">
        <v>1032</v>
      </c>
      <c r="F390" s="7" t="str">
        <f>IFERROR(__xludf.DUMMYFUNCTION("GOOGLETRANSLATE(B390:B5064,""en"",""fr"")"),"frère")</f>
        <v>frère</v>
      </c>
    </row>
    <row r="391" ht="19.5" customHeight="1">
      <c r="A391" s="26" t="s">
        <v>1033</v>
      </c>
      <c r="B391" s="27" t="s">
        <v>313</v>
      </c>
      <c r="C391" s="28" t="s">
        <v>178</v>
      </c>
      <c r="D391" s="29">
        <v>1441.0</v>
      </c>
      <c r="E391" s="28" t="s">
        <v>1034</v>
      </c>
      <c r="F391" s="7" t="str">
        <f>IFERROR(__xludf.DUMMYFUNCTION("GOOGLETRANSLATE(B391:B5064,""en"",""fr"")"),"travail")</f>
        <v>travail</v>
      </c>
    </row>
    <row r="392" ht="19.5" customHeight="1">
      <c r="A392" s="26" t="s">
        <v>1035</v>
      </c>
      <c r="B392" s="27" t="s">
        <v>344</v>
      </c>
      <c r="C392" s="28" t="s">
        <v>32</v>
      </c>
      <c r="D392" s="29">
        <v>1432.0</v>
      </c>
      <c r="E392" s="28" t="s">
        <v>1036</v>
      </c>
      <c r="F392" s="7" t="str">
        <f>IFERROR(__xludf.DUMMYFUNCTION("GOOGLETRANSLATE(B392:B5064,""en"",""fr"")"),"enfant")</f>
        <v>enfant</v>
      </c>
    </row>
    <row r="393" ht="19.5" customHeight="1">
      <c r="A393" s="26" t="s">
        <v>1037</v>
      </c>
      <c r="B393" s="27" t="s">
        <v>1038</v>
      </c>
      <c r="C393" s="28" t="s">
        <v>100</v>
      </c>
      <c r="D393" s="29">
        <v>1431.0</v>
      </c>
      <c r="E393" s="28" t="s">
        <v>1038</v>
      </c>
      <c r="F393" s="7" t="str">
        <f>IFERROR(__xludf.DUMMYFUNCTION("GOOGLETRANSLATE(B393:B5064,""en"",""fr"")"),"il y a")</f>
        <v>il y a</v>
      </c>
    </row>
    <row r="394" ht="19.5" customHeight="1">
      <c r="A394" s="26" t="s">
        <v>1039</v>
      </c>
      <c r="B394" s="27" t="s">
        <v>1040</v>
      </c>
      <c r="C394" s="28" t="s">
        <v>32</v>
      </c>
      <c r="D394" s="29">
        <v>1427.0</v>
      </c>
      <c r="E394" s="28" t="s">
        <v>1041</v>
      </c>
      <c r="F394" s="7" t="str">
        <f>IFERROR(__xludf.DUMMYFUNCTION("GOOGLETRANSLATE(B394:B5064,""en"",""fr"")"),"fin")</f>
        <v>fin</v>
      </c>
    </row>
    <row r="395" ht="19.5" customHeight="1">
      <c r="A395" s="26" t="s">
        <v>1042</v>
      </c>
      <c r="B395" s="27" t="s">
        <v>539</v>
      </c>
      <c r="C395" s="28" t="s">
        <v>178</v>
      </c>
      <c r="D395" s="29">
        <v>1426.0</v>
      </c>
      <c r="E395" s="28" t="s">
        <v>1043</v>
      </c>
      <c r="F395" s="7" t="str">
        <f>IFERROR(__xludf.DUMMYFUNCTION("GOOGLETRANSLATE(B395:B5064,""en"",""fr"")"),"autre")</f>
        <v>autre</v>
      </c>
    </row>
    <row r="396" ht="19.5" customHeight="1">
      <c r="A396" s="26" t="s">
        <v>1044</v>
      </c>
      <c r="B396" s="27" t="s">
        <v>1045</v>
      </c>
      <c r="C396" s="28" t="s">
        <v>178</v>
      </c>
      <c r="D396" s="29">
        <v>1413.0</v>
      </c>
      <c r="E396" s="28" t="s">
        <v>1046</v>
      </c>
      <c r="F396" s="7" t="str">
        <f>IFERROR(__xludf.DUMMYFUNCTION("GOOGLETRANSLATE(B396:B5064,""en"",""fr"")"),"balle")</f>
        <v>balle</v>
      </c>
    </row>
    <row r="397" ht="19.5" customHeight="1">
      <c r="A397" s="26" t="s">
        <v>1047</v>
      </c>
      <c r="B397" s="27" t="s">
        <v>1048</v>
      </c>
      <c r="C397" s="28" t="s">
        <v>100</v>
      </c>
      <c r="D397" s="29">
        <v>1413.0</v>
      </c>
      <c r="E397" s="28" t="s">
        <v>1048</v>
      </c>
      <c r="F397" s="7" t="str">
        <f>IFERROR(__xludf.DUMMYFUNCTION("GOOGLETRANSLATE(B397:B5064,""en"",""fr"")"),"enfin")</f>
        <v>enfin</v>
      </c>
    </row>
    <row r="398" ht="19.5" customHeight="1">
      <c r="A398" s="26" t="s">
        <v>1049</v>
      </c>
      <c r="B398" s="27" t="s">
        <v>1050</v>
      </c>
      <c r="C398" s="28" t="s">
        <v>178</v>
      </c>
      <c r="D398" s="29">
        <v>1406.0</v>
      </c>
      <c r="E398" s="28" t="s">
        <v>1051</v>
      </c>
      <c r="F398" s="7" t="str">
        <f>IFERROR(__xludf.DUMMYFUNCTION("GOOGLETRANSLATE(B398:B5064,""en"",""fr"")"),"doubler")</f>
        <v>doubler</v>
      </c>
    </row>
    <row r="399" ht="19.5" customHeight="1">
      <c r="A399" s="26" t="s">
        <v>1052</v>
      </c>
      <c r="B399" s="27" t="s">
        <v>1053</v>
      </c>
      <c r="C399" s="28" t="s">
        <v>36</v>
      </c>
      <c r="D399" s="29">
        <v>1403.0</v>
      </c>
      <c r="E399" s="28" t="s">
        <v>1053</v>
      </c>
      <c r="F399" s="7" t="str">
        <f>IFERROR(__xludf.DUMMYFUNCTION("GOOGLETRANSLATE(B399:B5064,""en"",""fr"")"),"c'est")</f>
        <v>c'est</v>
      </c>
    </row>
    <row r="400" ht="19.5" customHeight="1">
      <c r="A400" s="26" t="s">
        <v>1054</v>
      </c>
      <c r="B400" s="27" t="s">
        <v>1055</v>
      </c>
      <c r="C400" s="28" t="s">
        <v>85</v>
      </c>
      <c r="D400" s="29">
        <v>1401.0</v>
      </c>
      <c r="E400" s="28" t="s">
        <v>1056</v>
      </c>
      <c r="F400" s="7" t="str">
        <f>IFERROR(__xludf.DUMMYFUNCTION("GOOGLETRANSLATE(B400:B5064,""en"",""fr"")"),"Ha")</f>
        <v>Ha</v>
      </c>
    </row>
    <row r="401" ht="19.5" customHeight="1">
      <c r="A401" s="26" t="s">
        <v>1057</v>
      </c>
      <c r="B401" s="27" t="s">
        <v>1058</v>
      </c>
      <c r="C401" s="28" t="s">
        <v>134</v>
      </c>
      <c r="D401" s="29">
        <v>1401.0</v>
      </c>
      <c r="E401" s="28" t="s">
        <v>1058</v>
      </c>
      <c r="F401" s="7" t="str">
        <f>IFERROR(__xludf.DUMMYFUNCTION("GOOGLETRANSLATE(B401:B5064,""en"",""fr"")"),"important")</f>
        <v>important</v>
      </c>
    </row>
    <row r="402" ht="19.5" customHeight="1">
      <c r="A402" s="26" t="s">
        <v>1059</v>
      </c>
      <c r="B402" s="27" t="s">
        <v>1060</v>
      </c>
      <c r="C402" s="28" t="s">
        <v>32</v>
      </c>
      <c r="D402" s="29">
        <v>1400.0</v>
      </c>
      <c r="E402" s="28" t="s">
        <v>1061</v>
      </c>
      <c r="F402" s="7" t="str">
        <f>IFERROR(__xludf.DUMMYFUNCTION("GOOGLETRANSLATE(B402:B5064,""en"",""fr"")"),"automne")</f>
        <v>automne</v>
      </c>
    </row>
    <row r="403" ht="19.5" customHeight="1">
      <c r="A403" s="26" t="s">
        <v>1062</v>
      </c>
      <c r="B403" s="27" t="s">
        <v>1063</v>
      </c>
      <c r="C403" s="28" t="s">
        <v>178</v>
      </c>
      <c r="D403" s="29">
        <v>1396.0</v>
      </c>
      <c r="E403" s="28" t="s">
        <v>1064</v>
      </c>
      <c r="F403" s="7" t="str">
        <f>IFERROR(__xludf.DUMMYFUNCTION("GOOGLETRANSLATE(B403:B5064,""en"",""fr"")"),"cœur")</f>
        <v>cœur</v>
      </c>
    </row>
    <row r="404" ht="19.5" customHeight="1">
      <c r="A404" s="26" t="s">
        <v>1065</v>
      </c>
      <c r="B404" s="27" t="s">
        <v>653</v>
      </c>
      <c r="C404" s="28" t="s">
        <v>134</v>
      </c>
      <c r="D404" s="29">
        <v>1395.0</v>
      </c>
      <c r="E404" s="28" t="s">
        <v>654</v>
      </c>
      <c r="F404" s="7" t="str">
        <f>IFERROR(__xludf.DUMMYFUNCTION("GOOGLETRANSLATE(B404:B5064,""en"",""fr"")"),"long")</f>
        <v>long</v>
      </c>
    </row>
    <row r="405" ht="19.5" customHeight="1">
      <c r="A405" s="26" t="s">
        <v>1066</v>
      </c>
      <c r="B405" s="27" t="s">
        <v>1067</v>
      </c>
      <c r="C405" s="28" t="s">
        <v>134</v>
      </c>
      <c r="D405" s="29">
        <v>1393.0</v>
      </c>
      <c r="E405" s="28" t="s">
        <v>1068</v>
      </c>
      <c r="F405" s="7" t="str">
        <f>IFERROR(__xludf.DUMMYFUNCTION("GOOGLETRANSLATE(B405:B5064,""en"",""fr"")"),"graisse")</f>
        <v>graisse</v>
      </c>
    </row>
    <row r="406" ht="19.5" customHeight="1">
      <c r="A406" s="26" t="s">
        <v>1069</v>
      </c>
      <c r="B406" s="27" t="s">
        <v>1070</v>
      </c>
      <c r="C406" s="28" t="s">
        <v>178</v>
      </c>
      <c r="D406" s="29">
        <v>1388.0</v>
      </c>
      <c r="E406" s="28" t="s">
        <v>1071</v>
      </c>
      <c r="F406" s="7" t="str">
        <f>IFERROR(__xludf.DUMMYFUNCTION("GOOGLETRANSLATE(B406:B5064,""en"",""fr"")"),"classe")</f>
        <v>classe</v>
      </c>
    </row>
    <row r="407" ht="19.5" customHeight="1">
      <c r="A407" s="26" t="s">
        <v>1072</v>
      </c>
      <c r="B407" s="27" t="s">
        <v>1073</v>
      </c>
      <c r="C407" s="28" t="s">
        <v>32</v>
      </c>
      <c r="D407" s="29">
        <v>1377.0</v>
      </c>
      <c r="E407" s="28" t="s">
        <v>1074</v>
      </c>
      <c r="F407" s="7" t="str">
        <f>IFERROR(__xludf.DUMMYFUNCTION("GOOGLETRANSLATE(B407:B5064,""en"",""fr"")"),"tirer")</f>
        <v>tirer</v>
      </c>
    </row>
    <row r="408" ht="19.5" customHeight="1">
      <c r="A408" s="26" t="s">
        <v>1075</v>
      </c>
      <c r="B408" s="27" t="s">
        <v>1076</v>
      </c>
      <c r="C408" s="28" t="s">
        <v>178</v>
      </c>
      <c r="D408" s="29">
        <v>1370.0</v>
      </c>
      <c r="E408" s="28" t="s">
        <v>1077</v>
      </c>
      <c r="F408" s="7" t="str">
        <f>IFERROR(__xludf.DUMMYFUNCTION("GOOGLETRANSLATE(B408:B5064,""en"",""fr"")"),"image")</f>
        <v>image</v>
      </c>
    </row>
    <row r="409" ht="19.5" customHeight="1">
      <c r="A409" s="26" t="s">
        <v>1078</v>
      </c>
      <c r="B409" s="27" t="s">
        <v>1079</v>
      </c>
      <c r="C409" s="28" t="s">
        <v>32</v>
      </c>
      <c r="D409" s="29">
        <v>1369.0</v>
      </c>
      <c r="E409" s="28" t="s">
        <v>1080</v>
      </c>
      <c r="F409" s="7" t="str">
        <f>IFERROR(__xludf.DUMMYFUNCTION("GOOGLETRANSLATE(B409:B5064,""en"",""fr"")"),"vendre")</f>
        <v>vendre</v>
      </c>
    </row>
    <row r="410" ht="19.5" customHeight="1">
      <c r="A410" s="26" t="s">
        <v>1081</v>
      </c>
      <c r="B410" s="27" t="s">
        <v>1082</v>
      </c>
      <c r="C410" s="28" t="s">
        <v>178</v>
      </c>
      <c r="D410" s="29">
        <v>1366.0</v>
      </c>
      <c r="E410" s="28" t="s">
        <v>1083</v>
      </c>
      <c r="F410" s="7" t="str">
        <f>IFERROR(__xludf.DUMMYFUNCTION("GOOGLETRANSLATE(B410:B5064,""en"",""fr"")"),"côté")</f>
        <v>côté</v>
      </c>
    </row>
    <row r="411" ht="19.5" customHeight="1">
      <c r="A411" s="26" t="s">
        <v>1084</v>
      </c>
      <c r="B411" s="27" t="s">
        <v>1085</v>
      </c>
      <c r="C411" s="28" t="s">
        <v>32</v>
      </c>
      <c r="D411" s="29">
        <v>1365.0</v>
      </c>
      <c r="E411" s="28" t="s">
        <v>1086</v>
      </c>
      <c r="F411" s="7" t="str">
        <f>IFERROR(__xludf.DUMMYFUNCTION("GOOGLETRANSLATE(B411:B5064,""en"",""fr"")"),"souhait")</f>
        <v>souhait</v>
      </c>
    </row>
    <row r="412" ht="19.5" customHeight="1">
      <c r="A412" s="26" t="s">
        <v>1087</v>
      </c>
      <c r="B412" s="27" t="s">
        <v>289</v>
      </c>
      <c r="C412" s="28" t="s">
        <v>178</v>
      </c>
      <c r="D412" s="29">
        <v>1364.0</v>
      </c>
      <c r="E412" s="28" t="s">
        <v>1088</v>
      </c>
      <c r="F412" s="7" t="str">
        <f>IFERROR(__xludf.DUMMYFUNCTION("GOOGLETRANSLATE(B412:B5064,""en"",""fr"")"),"amour")</f>
        <v>amour</v>
      </c>
    </row>
    <row r="413" ht="19.5" customHeight="1">
      <c r="A413" s="26" t="s">
        <v>1089</v>
      </c>
      <c r="B413" s="27" t="s">
        <v>1090</v>
      </c>
      <c r="C413" s="28" t="s">
        <v>178</v>
      </c>
      <c r="D413" s="29">
        <v>1360.0</v>
      </c>
      <c r="E413" s="28" t="s">
        <v>1091</v>
      </c>
      <c r="F413" s="7" t="str">
        <f>IFERROR(__xludf.DUMMYFUNCTION("GOOGLETRANSLATE(B413:B5064,""en"",""fr"")"),"esprit")</f>
        <v>esprit</v>
      </c>
    </row>
    <row r="414" ht="19.5" customHeight="1">
      <c r="A414" s="26" t="s">
        <v>1092</v>
      </c>
      <c r="B414" s="27" t="s">
        <v>1093</v>
      </c>
      <c r="C414" s="28" t="s">
        <v>178</v>
      </c>
      <c r="D414" s="29">
        <v>1359.0</v>
      </c>
      <c r="E414" s="28" t="s">
        <v>1094</v>
      </c>
      <c r="F414" s="7" t="str">
        <f>IFERROR(__xludf.DUMMYFUNCTION("GOOGLETRANSLATE(B414:B5064,""en"",""fr"")"),"cheveux")</f>
        <v>cheveux</v>
      </c>
    </row>
    <row r="415" ht="19.5" customHeight="1">
      <c r="A415" s="26" t="s">
        <v>1095</v>
      </c>
      <c r="B415" s="27" t="s">
        <v>1096</v>
      </c>
      <c r="C415" s="28" t="s">
        <v>32</v>
      </c>
      <c r="D415" s="29">
        <v>1347.0</v>
      </c>
      <c r="E415" s="28" t="s">
        <v>1097</v>
      </c>
      <c r="F415" s="7" t="str">
        <f>IFERROR(__xludf.DUMMYFUNCTION("GOOGLETRANSLATE(B415:B5064,""en"",""fr"")"),"couper")</f>
        <v>couper</v>
      </c>
    </row>
    <row r="416" ht="19.5" customHeight="1">
      <c r="A416" s="26" t="s">
        <v>1098</v>
      </c>
      <c r="B416" s="27" t="s">
        <v>1099</v>
      </c>
      <c r="C416" s="28" t="s">
        <v>178</v>
      </c>
      <c r="D416" s="29">
        <v>1342.0</v>
      </c>
      <c r="E416" s="28" t="s">
        <v>1100</v>
      </c>
      <c r="F416" s="7" t="str">
        <f>IFERROR(__xludf.DUMMYFUNCTION("GOOGLETRANSLATE(B416:B5064,""en"",""fr"")"),"mariage")</f>
        <v>mariage</v>
      </c>
    </row>
    <row r="417" ht="19.5" customHeight="1">
      <c r="A417" s="26" t="s">
        <v>1101</v>
      </c>
      <c r="B417" s="27" t="s">
        <v>1102</v>
      </c>
      <c r="C417" s="28" t="s">
        <v>178</v>
      </c>
      <c r="D417" s="29">
        <v>1339.0</v>
      </c>
      <c r="E417" s="28" t="s">
        <v>1103</v>
      </c>
      <c r="F417" s="7" t="str">
        <f>IFERROR(__xludf.DUMMYFUNCTION("GOOGLETRANSLATE(B417:B5064,""en"",""fr"")"),"raison")</f>
        <v>raison</v>
      </c>
    </row>
    <row r="418" ht="19.5" customHeight="1">
      <c r="A418" s="26" t="s">
        <v>1104</v>
      </c>
      <c r="B418" s="27" t="s">
        <v>1105</v>
      </c>
      <c r="C418" s="28" t="s">
        <v>32</v>
      </c>
      <c r="D418" s="29">
        <v>1335.0</v>
      </c>
      <c r="E418" s="28" t="s">
        <v>1106</v>
      </c>
      <c r="F418" s="7" t="str">
        <f>IFERROR(__xludf.DUMMYFUNCTION("GOOGLETRANSLATE(B418:B5064,""en"",""fr"")"),"devenir")</f>
        <v>devenir</v>
      </c>
    </row>
    <row r="419" ht="19.5" customHeight="1">
      <c r="A419" s="26" t="s">
        <v>1107</v>
      </c>
      <c r="B419" s="27" t="s">
        <v>1108</v>
      </c>
      <c r="C419" s="28" t="s">
        <v>36</v>
      </c>
      <c r="D419" s="29">
        <v>1335.0</v>
      </c>
      <c r="E419" s="28" t="s">
        <v>1108</v>
      </c>
      <c r="F419" s="7" t="str">
        <f>IFERROR(__xludf.DUMMYFUNCTION("GOOGLETRANSLATE(B419:B5064,""en"",""fr"")"),"moins")</f>
        <v>moins</v>
      </c>
    </row>
    <row r="420" ht="19.5" customHeight="1">
      <c r="A420" s="26" t="s">
        <v>1109</v>
      </c>
      <c r="B420" s="27" t="s">
        <v>169</v>
      </c>
      <c r="C420" s="28" t="s">
        <v>178</v>
      </c>
      <c r="D420" s="29">
        <v>1332.0</v>
      </c>
      <c r="E420" s="28" t="s">
        <v>170</v>
      </c>
      <c r="F420" s="7" t="str">
        <f>IFERROR(__xludf.DUMMYFUNCTION("GOOGLETRANSLATE(B420:B5064,""en"",""fr"")"),"regarder")</f>
        <v>regarder</v>
      </c>
    </row>
    <row r="421" ht="19.5" customHeight="1">
      <c r="A421" s="26" t="s">
        <v>1110</v>
      </c>
      <c r="B421" s="27" t="s">
        <v>1111</v>
      </c>
      <c r="C421" s="28" t="s">
        <v>32</v>
      </c>
      <c r="D421" s="29">
        <v>1331.0</v>
      </c>
      <c r="E421" s="28" t="s">
        <v>1112</v>
      </c>
      <c r="F421" s="7" t="str">
        <f>IFERROR(__xludf.DUMMYFUNCTION("GOOGLETRANSLATE(B421:B5064,""en"",""fr"")"),"mordre")</f>
        <v>mordre</v>
      </c>
    </row>
    <row r="422" ht="19.5" customHeight="1">
      <c r="A422" s="26" t="s">
        <v>1113</v>
      </c>
      <c r="B422" s="27" t="s">
        <v>1114</v>
      </c>
      <c r="C422" s="28" t="s">
        <v>32</v>
      </c>
      <c r="D422" s="29">
        <v>1318.0</v>
      </c>
      <c r="E422" s="28" t="s">
        <v>1115</v>
      </c>
      <c r="F422" s="7" t="str">
        <f>IFERROR(__xludf.DUMMYFUNCTION("GOOGLETRANSLATE(B422:B5064,""en"",""fr"")"),"Putain")</f>
        <v>Putain</v>
      </c>
    </row>
    <row r="423" ht="19.5" customHeight="1">
      <c r="A423" s="26" t="s">
        <v>1116</v>
      </c>
      <c r="B423" s="27" t="s">
        <v>1117</v>
      </c>
      <c r="C423" s="28" t="s">
        <v>36</v>
      </c>
      <c r="D423" s="29">
        <v>1311.0</v>
      </c>
      <c r="E423" s="28" t="s">
        <v>1117</v>
      </c>
      <c r="F423" s="7" t="str">
        <f>IFERROR(__xludf.DUMMYFUNCTION("GOOGLETRANSLATE(B423:B5064,""en"",""fr"")"),"sous")</f>
        <v>sous</v>
      </c>
    </row>
    <row r="424" ht="19.5" customHeight="1">
      <c r="A424" s="26" t="s">
        <v>1118</v>
      </c>
      <c r="B424" s="27" t="s">
        <v>1119</v>
      </c>
      <c r="C424" s="28" t="s">
        <v>178</v>
      </c>
      <c r="D424" s="29">
        <v>1309.0</v>
      </c>
      <c r="E424" s="28" t="s">
        <v>1120</v>
      </c>
      <c r="F424" s="7" t="str">
        <f>IFERROR(__xludf.DUMMYFUNCTION("GOOGLETRANSLATE(B424:B5064,""en"",""fr"")"),"lit")</f>
        <v>lit</v>
      </c>
    </row>
    <row r="425" ht="19.5" customHeight="1">
      <c r="A425" s="26" t="s">
        <v>1121</v>
      </c>
      <c r="B425" s="27" t="s">
        <v>1122</v>
      </c>
      <c r="C425" s="28" t="s">
        <v>178</v>
      </c>
      <c r="D425" s="29">
        <v>1308.0</v>
      </c>
      <c r="E425" s="28" t="s">
        <v>1123</v>
      </c>
      <c r="F425" s="7" t="str">
        <f>IFERROR(__xludf.DUMMYFUNCTION("GOOGLETRANSLATE(B425:B5064,""en"",""fr"")"),"papier")</f>
        <v>papier</v>
      </c>
    </row>
    <row r="426" ht="19.5" customHeight="1">
      <c r="A426" s="26" t="s">
        <v>1124</v>
      </c>
      <c r="B426" s="27" t="s">
        <v>1125</v>
      </c>
      <c r="C426" s="28" t="s">
        <v>134</v>
      </c>
      <c r="D426" s="29">
        <v>1307.0</v>
      </c>
      <c r="E426" s="28" t="s">
        <v>1125</v>
      </c>
      <c r="F426" s="7" t="str">
        <f>IFERROR(__xludf.DUMMYFUNCTION("GOOGLETRANSLATE(B426:B5064,""en"",""fr"")"),"différent")</f>
        <v>différent</v>
      </c>
    </row>
    <row r="427" ht="19.5" customHeight="1">
      <c r="A427" s="26" t="s">
        <v>1126</v>
      </c>
      <c r="B427" s="27" t="s">
        <v>1127</v>
      </c>
      <c r="C427" s="28" t="s">
        <v>32</v>
      </c>
      <c r="D427" s="29">
        <v>1290.0</v>
      </c>
      <c r="E427" s="28" t="s">
        <v>1128</v>
      </c>
      <c r="F427" s="7" t="str">
        <f>IFERROR(__xludf.DUMMYFUNCTION("GOOGLETRANSLATE(B427:B5064,""en"",""fr"")"),"attraper")</f>
        <v>attraper</v>
      </c>
    </row>
    <row r="428" ht="19.5" customHeight="1">
      <c r="A428" s="26" t="s">
        <v>1129</v>
      </c>
      <c r="B428" s="27" t="s">
        <v>1130</v>
      </c>
      <c r="C428" s="28" t="s">
        <v>36</v>
      </c>
      <c r="D428" s="29">
        <v>1289.0</v>
      </c>
      <c r="E428" s="28" t="s">
        <v>1130</v>
      </c>
      <c r="F428" s="7" t="str">
        <f>IFERROR(__xludf.DUMMYFUNCTION("GOOGLETRANSLATE(B428:B5064,""en"",""fr"")"),"le mien")</f>
        <v>le mien</v>
      </c>
    </row>
    <row r="429" ht="19.5" customHeight="1">
      <c r="A429" s="26" t="s">
        <v>1131</v>
      </c>
      <c r="B429" s="27" t="s">
        <v>1132</v>
      </c>
      <c r="C429" s="28" t="s">
        <v>150</v>
      </c>
      <c r="D429" s="29">
        <v>1289.0</v>
      </c>
      <c r="E429" s="28" t="s">
        <v>1132</v>
      </c>
      <c r="F429" s="7" t="str">
        <f>IFERROR(__xludf.DUMMYFUNCTION("GOOGLETRANSLATE(B429:B5064,""en"",""fr"")"),"six")</f>
        <v>six</v>
      </c>
    </row>
    <row r="430" ht="19.5" customHeight="1">
      <c r="A430" s="26" t="s">
        <v>1133</v>
      </c>
      <c r="B430" s="27" t="s">
        <v>1134</v>
      </c>
      <c r="C430" s="28" t="s">
        <v>32</v>
      </c>
      <c r="D430" s="29">
        <v>1280.0</v>
      </c>
      <c r="E430" s="28" t="s">
        <v>1135</v>
      </c>
      <c r="F430" s="7" t="str">
        <f>IFERROR(__xludf.DUMMYFUNCTION("GOOGLETRANSLATE(B430:B5064,""en"",""fr"")"),"ensemble")</f>
        <v>ensemble</v>
      </c>
    </row>
    <row r="431" ht="19.5" customHeight="1">
      <c r="A431" s="26" t="s">
        <v>1136</v>
      </c>
      <c r="B431" s="27" t="s">
        <v>1137</v>
      </c>
      <c r="C431" s="28" t="s">
        <v>178</v>
      </c>
      <c r="D431" s="29">
        <v>1274.0</v>
      </c>
      <c r="E431" s="28" t="s">
        <v>1138</v>
      </c>
      <c r="F431" s="7" t="str">
        <f>IFERROR(__xludf.DUMMYFUNCTION("GOOGLETRANSLATE(B431:B5064,""en"",""fr"")"),"affronter")</f>
        <v>affronter</v>
      </c>
    </row>
    <row r="432" ht="19.5" customHeight="1">
      <c r="A432" s="26" t="s">
        <v>1139</v>
      </c>
      <c r="B432" s="27" t="s">
        <v>1140</v>
      </c>
      <c r="C432" s="28" t="s">
        <v>32</v>
      </c>
      <c r="D432" s="29">
        <v>1268.0</v>
      </c>
      <c r="E432" s="28" t="s">
        <v>1141</v>
      </c>
      <c r="F432" s="7" t="str">
        <f>IFERROR(__xludf.DUMMYFUNCTION("GOOGLETRANSLATE(B432:B5064,""en"",""fr"")"),"parler")</f>
        <v>parler</v>
      </c>
    </row>
    <row r="433" ht="19.5" customHeight="1">
      <c r="A433" s="26" t="s">
        <v>1142</v>
      </c>
      <c r="B433" s="27" t="s">
        <v>1143</v>
      </c>
      <c r="C433" s="28" t="s">
        <v>32</v>
      </c>
      <c r="D433" s="29">
        <v>1260.0</v>
      </c>
      <c r="E433" s="28" t="s">
        <v>1144</v>
      </c>
      <c r="F433" s="7" t="str">
        <f>IFERROR(__xludf.DUMMYFUNCTION("GOOGLETRANSLATE(B433:B5064,""en"",""fr"")"),"sucer")</f>
        <v>sucer</v>
      </c>
    </row>
    <row r="434" ht="19.5" customHeight="1">
      <c r="A434" s="26" t="s">
        <v>1145</v>
      </c>
      <c r="B434" s="27" t="s">
        <v>1146</v>
      </c>
      <c r="C434" s="28" t="s">
        <v>100</v>
      </c>
      <c r="D434" s="29">
        <v>1258.0</v>
      </c>
      <c r="E434" s="28" t="s">
        <v>1146</v>
      </c>
      <c r="F434" s="7" t="str">
        <f>IFERROR(__xludf.DUMMYFUNCTION("GOOGLETRANSLATE(B434:B5064,""en"",""fr"")"),"parfois")</f>
        <v>parfois</v>
      </c>
    </row>
    <row r="435" ht="19.5" customHeight="1">
      <c r="A435" s="26" t="s">
        <v>1147</v>
      </c>
      <c r="B435" s="27" t="s">
        <v>1148</v>
      </c>
      <c r="C435" s="28" t="s">
        <v>178</v>
      </c>
      <c r="D435" s="29">
        <v>1243.0</v>
      </c>
      <c r="E435" s="28" t="s">
        <v>1149</v>
      </c>
      <c r="F435" s="7" t="str">
        <f>IFERROR(__xludf.DUMMYFUNCTION("GOOGLETRANSLATE(B435:B5064,""en"",""fr"")"),"ville")</f>
        <v>ville</v>
      </c>
    </row>
    <row r="436" ht="19.5" customHeight="1">
      <c r="A436" s="26" t="s">
        <v>1150</v>
      </c>
      <c r="B436" s="27" t="s">
        <v>1151</v>
      </c>
      <c r="C436" s="28" t="s">
        <v>134</v>
      </c>
      <c r="D436" s="29">
        <v>1234.0</v>
      </c>
      <c r="E436" s="28" t="s">
        <v>1151</v>
      </c>
      <c r="F436" s="7" t="str">
        <f>IFERROR(__xludf.DUMMYFUNCTION("GOOGLETRANSLATE(B436:B5064,""en"",""fr"")"),"spécial")</f>
        <v>spécial</v>
      </c>
    </row>
    <row r="437" ht="19.5" customHeight="1">
      <c r="A437" s="26" t="s">
        <v>1152</v>
      </c>
      <c r="B437" s="27" t="s">
        <v>1153</v>
      </c>
      <c r="C437" s="28" t="s">
        <v>32</v>
      </c>
      <c r="D437" s="29">
        <v>1225.0</v>
      </c>
      <c r="E437" s="28" t="s">
        <v>1154</v>
      </c>
      <c r="F437" s="7" t="str">
        <f>IFERROR(__xludf.DUMMYFUNCTION("GOOGLETRANSLATE(B437:B5064,""en"",""fr"")"),"bâton")</f>
        <v>bâton</v>
      </c>
    </row>
    <row r="438" ht="19.5" customHeight="1">
      <c r="A438" s="26" t="s">
        <v>1155</v>
      </c>
      <c r="B438" s="27" t="s">
        <v>1156</v>
      </c>
      <c r="C438" s="28" t="s">
        <v>178</v>
      </c>
      <c r="D438" s="29">
        <v>1223.0</v>
      </c>
      <c r="E438" s="28" t="s">
        <v>1157</v>
      </c>
      <c r="F438" s="7" t="str">
        <f>IFERROR(__xludf.DUMMYFUNCTION("GOOGLETRANSLATE(B438:B5064,""en"",""fr"")"),"question")</f>
        <v>question</v>
      </c>
    </row>
    <row r="439" ht="19.5" customHeight="1">
      <c r="A439" s="26" t="s">
        <v>1158</v>
      </c>
      <c r="B439" s="27" t="s">
        <v>1159</v>
      </c>
      <c r="C439" s="28" t="s">
        <v>178</v>
      </c>
      <c r="D439" s="29">
        <v>1215.0</v>
      </c>
      <c r="E439" s="28" t="s">
        <v>1160</v>
      </c>
      <c r="F439" s="7" t="str">
        <f>IFERROR(__xludf.DUMMYFUNCTION("GOOGLETRANSLATE(B439:B5064,""en"",""fr"")"),"mec")</f>
        <v>mec</v>
      </c>
    </row>
    <row r="440" ht="19.5" customHeight="1">
      <c r="A440" s="26" t="s">
        <v>1161</v>
      </c>
      <c r="B440" s="27" t="s">
        <v>1162</v>
      </c>
      <c r="C440" s="28" t="s">
        <v>32</v>
      </c>
      <c r="D440" s="29">
        <v>1212.0</v>
      </c>
      <c r="E440" s="28" t="s">
        <v>1163</v>
      </c>
      <c r="F440" s="7" t="str">
        <f>IFERROR(__xludf.DUMMYFUNCTION("GOOGLETRANSLATE(B440:B5064,""en"",""fr"")"),"réaliser")</f>
        <v>réaliser</v>
      </c>
    </row>
    <row r="441" ht="19.5" customHeight="1">
      <c r="A441" s="26" t="s">
        <v>1164</v>
      </c>
      <c r="B441" s="27" t="s">
        <v>1165</v>
      </c>
      <c r="C441" s="28" t="s">
        <v>178</v>
      </c>
      <c r="D441" s="29">
        <v>1209.0</v>
      </c>
      <c r="E441" s="28" t="s">
        <v>1166</v>
      </c>
      <c r="F441" s="7" t="str">
        <f>IFERROR(__xludf.DUMMYFUNCTION("GOOGLETRANSLATE(B441:B5064,""en"",""fr"")"),"anniversaire")</f>
        <v>anniversaire</v>
      </c>
    </row>
    <row r="442" ht="19.5" customHeight="1">
      <c r="A442" s="26" t="s">
        <v>1167</v>
      </c>
      <c r="B442" s="27" t="s">
        <v>1168</v>
      </c>
      <c r="C442" s="28" t="s">
        <v>178</v>
      </c>
      <c r="D442" s="29">
        <v>1207.0</v>
      </c>
      <c r="E442" s="28" t="s">
        <v>1169</v>
      </c>
      <c r="F442" s="7" t="str">
        <f>IFERROR(__xludf.DUMMYFUNCTION("GOOGLETRANSLATE(B442:B5064,""en"",""fr"")"),"indiquer")</f>
        <v>indiquer</v>
      </c>
    </row>
    <row r="443" ht="19.5" customHeight="1">
      <c r="A443" s="26" t="s">
        <v>1170</v>
      </c>
      <c r="B443" s="27" t="s">
        <v>1171</v>
      </c>
      <c r="C443" s="28" t="s">
        <v>32</v>
      </c>
      <c r="D443" s="29">
        <v>1206.0</v>
      </c>
      <c r="E443" s="28" t="s">
        <v>1172</v>
      </c>
      <c r="F443" s="7" t="str">
        <f>IFERROR(__xludf.DUMMYFUNCTION("GOOGLETRANSLATE(B443:B5064,""en"",""fr"")"),"apprécier")</f>
        <v>apprécier</v>
      </c>
    </row>
    <row r="444" ht="19.5" customHeight="1">
      <c r="A444" s="26" t="s">
        <v>1173</v>
      </c>
      <c r="B444" s="27" t="s">
        <v>1174</v>
      </c>
      <c r="C444" s="28" t="s">
        <v>178</v>
      </c>
      <c r="D444" s="29">
        <v>1201.0</v>
      </c>
      <c r="E444" s="28" t="s">
        <v>1175</v>
      </c>
      <c r="F444" s="7" t="str">
        <f>IFERROR(__xludf.DUMMYFUNCTION("GOOGLETRANSLATE(B444:B5064,""en"",""fr"")"),"fait")</f>
        <v>fait</v>
      </c>
    </row>
    <row r="445" ht="19.5" customHeight="1">
      <c r="A445" s="26" t="s">
        <v>1176</v>
      </c>
      <c r="B445" s="27" t="s">
        <v>1177</v>
      </c>
      <c r="C445" s="28" t="s">
        <v>32</v>
      </c>
      <c r="D445" s="29">
        <v>1195.0</v>
      </c>
      <c r="E445" s="28" t="s">
        <v>1178</v>
      </c>
      <c r="F445" s="7" t="str">
        <f>IFERROR(__xludf.DUMMYFUNCTION("GOOGLETRANSLATE(B445:B5064,""en"",""fr"")"),"danse")</f>
        <v>danse</v>
      </c>
    </row>
    <row r="446" ht="19.5" customHeight="1">
      <c r="A446" s="26" t="s">
        <v>1179</v>
      </c>
      <c r="B446" s="27" t="s">
        <v>1180</v>
      </c>
      <c r="C446" s="28" t="s">
        <v>100</v>
      </c>
      <c r="D446" s="29">
        <v>1191.0</v>
      </c>
      <c r="E446" s="28" t="s">
        <v>1180</v>
      </c>
      <c r="F446" s="7" t="str">
        <f>IFERROR(__xludf.DUMMYFUNCTION("GOOGLETRANSLATE(B446:B5064,""en"",""fr"")"),"bientôt")</f>
        <v>bientôt</v>
      </c>
    </row>
    <row r="447" ht="19.5" customHeight="1">
      <c r="A447" s="26" t="s">
        <v>1181</v>
      </c>
      <c r="B447" s="27" t="s">
        <v>1182</v>
      </c>
      <c r="C447" s="28" t="s">
        <v>178</v>
      </c>
      <c r="D447" s="29">
        <v>1185.0</v>
      </c>
      <c r="E447" s="28" t="s">
        <v>1183</v>
      </c>
      <c r="F447" s="7" t="str">
        <f>IFERROR(__xludf.DUMMYFUNCTION("GOOGLETRANSLATE(B447:B5064,""en"",""fr"")"),"bar")</f>
        <v>bar</v>
      </c>
    </row>
    <row r="448" ht="19.5" customHeight="1">
      <c r="A448" s="26" t="s">
        <v>1184</v>
      </c>
      <c r="B448" s="27" t="s">
        <v>1185</v>
      </c>
      <c r="C448" s="28" t="s">
        <v>32</v>
      </c>
      <c r="D448" s="29">
        <v>1182.0</v>
      </c>
      <c r="E448" s="28" t="s">
        <v>1186</v>
      </c>
      <c r="F448" s="7" t="str">
        <f>IFERROR(__xludf.DUMMYFUNCTION("GOOGLETRANSLATE(B448:B5064,""en"",""fr"")"),"merveille")</f>
        <v>merveille</v>
      </c>
    </row>
    <row r="449" ht="19.5" customHeight="1">
      <c r="A449" s="26" t="s">
        <v>1187</v>
      </c>
      <c r="B449" s="27" t="s">
        <v>1188</v>
      </c>
      <c r="C449" s="28" t="s">
        <v>178</v>
      </c>
      <c r="D449" s="29">
        <v>1179.0</v>
      </c>
      <c r="E449" s="28" t="s">
        <v>1189</v>
      </c>
      <c r="F449" s="7" t="str">
        <f>IFERROR(__xludf.DUMMYFUNCTION("GOOGLETRANSLATE(B449:B5064,""en"",""fr"")"),"blague")</f>
        <v>blague</v>
      </c>
    </row>
    <row r="450" ht="19.5" customHeight="1">
      <c r="A450" s="26" t="s">
        <v>1190</v>
      </c>
      <c r="B450" s="27" t="s">
        <v>1191</v>
      </c>
      <c r="C450" s="28" t="s">
        <v>178</v>
      </c>
      <c r="D450" s="29">
        <v>1179.0</v>
      </c>
      <c r="E450" s="28" t="s">
        <v>1192</v>
      </c>
      <c r="F450" s="7" t="str">
        <f>IFERROR(__xludf.DUMMYFUNCTION("GOOGLETRANSLATE(B450:B5064,""en"",""fr"")"),"relation")</f>
        <v>relation</v>
      </c>
    </row>
    <row r="451" ht="19.5" customHeight="1">
      <c r="A451" s="26" t="s">
        <v>1193</v>
      </c>
      <c r="B451" s="27" t="s">
        <v>1194</v>
      </c>
      <c r="C451" s="28" t="s">
        <v>178</v>
      </c>
      <c r="D451" s="29">
        <v>1175.0</v>
      </c>
      <c r="E451" s="28" t="s">
        <v>1195</v>
      </c>
      <c r="F451" s="7" t="str">
        <f>IFERROR(__xludf.DUMMYFUNCTION("GOOGLETRANSLATE(B451:B5064,""en"",""fr"")"),"chance")</f>
        <v>chance</v>
      </c>
    </row>
    <row r="452" ht="19.5" customHeight="1">
      <c r="A452" s="26" t="s">
        <v>1196</v>
      </c>
      <c r="B452" s="27" t="s">
        <v>1197</v>
      </c>
      <c r="C452" s="28" t="s">
        <v>134</v>
      </c>
      <c r="D452" s="29">
        <v>1170.0</v>
      </c>
      <c r="E452" s="28" t="s">
        <v>1198</v>
      </c>
      <c r="F452" s="7" t="str">
        <f>IFERROR(__xludf.DUMMYFUNCTION("GOOGLETRANSLATE(B452:B5064,""en"",""fr"")"),"noir")</f>
        <v>noir</v>
      </c>
    </row>
    <row r="453" ht="19.5" customHeight="1">
      <c r="A453" s="26" t="s">
        <v>1199</v>
      </c>
      <c r="B453" s="27" t="s">
        <v>1200</v>
      </c>
      <c r="C453" s="28" t="s">
        <v>100</v>
      </c>
      <c r="D453" s="29">
        <v>1168.0</v>
      </c>
      <c r="E453" s="28" t="s">
        <v>1200</v>
      </c>
      <c r="F453" s="7" t="str">
        <f>IFERROR(__xludf.DUMMYFUNCTION("GOOGLETRANSLATE(B453:B5064,""en"",""fr"")"),"presque")</f>
        <v>presque</v>
      </c>
    </row>
    <row r="454" ht="19.5" customHeight="1">
      <c r="A454" s="26" t="s">
        <v>1201</v>
      </c>
      <c r="B454" s="27" t="s">
        <v>1202</v>
      </c>
      <c r="C454" s="28" t="s">
        <v>32</v>
      </c>
      <c r="D454" s="29">
        <v>1156.0</v>
      </c>
      <c r="E454" s="28" t="s">
        <v>1203</v>
      </c>
      <c r="F454" s="7" t="str">
        <f>IFERROR(__xludf.DUMMYFUNCTION("GOOGLETRANSLATE(B454:B5064,""en"",""fr"")"),"lutte")</f>
        <v>lutte</v>
      </c>
    </row>
    <row r="455" ht="19.5" customHeight="1">
      <c r="A455" s="26" t="s">
        <v>1204</v>
      </c>
      <c r="B455" s="27" t="s">
        <v>1205</v>
      </c>
      <c r="C455" s="28" t="s">
        <v>178</v>
      </c>
      <c r="D455" s="29">
        <v>1154.0</v>
      </c>
      <c r="E455" s="28" t="s">
        <v>1206</v>
      </c>
      <c r="F455" s="7" t="str">
        <f>IFERROR(__xludf.DUMMYFUNCTION("GOOGLETRANSLATE(B455:B5064,""en"",""fr"")"),"carte")</f>
        <v>carte</v>
      </c>
    </row>
    <row r="456" ht="19.5" customHeight="1">
      <c r="A456" s="26" t="s">
        <v>1207</v>
      </c>
      <c r="B456" s="27" t="s">
        <v>1208</v>
      </c>
      <c r="C456" s="28" t="s">
        <v>178</v>
      </c>
      <c r="D456" s="29">
        <v>1154.0</v>
      </c>
      <c r="E456" s="28" t="s">
        <v>1209</v>
      </c>
      <c r="F456" s="7" t="str">
        <f>IFERROR(__xludf.DUMMYFUNCTION("GOOGLETRANSLATE(B456:B5064,""en"",""fr"")"),"chanson")</f>
        <v>chanson</v>
      </c>
    </row>
    <row r="457" ht="19.5" customHeight="1">
      <c r="A457" s="26" t="s">
        <v>1210</v>
      </c>
      <c r="B457" s="27" t="s">
        <v>240</v>
      </c>
      <c r="C457" s="28" t="s">
        <v>36</v>
      </c>
      <c r="D457" s="29">
        <v>1148.0</v>
      </c>
      <c r="E457" s="28" t="s">
        <v>240</v>
      </c>
      <c r="F457" s="7" t="str">
        <f>IFERROR(__xludf.DUMMYFUNCTION("GOOGLETRANSLATE(B457:B5064,""en"",""fr"")"),"petit")</f>
        <v>petit</v>
      </c>
    </row>
    <row r="458" ht="19.5" customHeight="1">
      <c r="A458" s="26" t="s">
        <v>1211</v>
      </c>
      <c r="B458" s="27" t="s">
        <v>1212</v>
      </c>
      <c r="C458" s="28" t="s">
        <v>85</v>
      </c>
      <c r="D458" s="29">
        <v>1147.0</v>
      </c>
      <c r="E458" s="28" t="s">
        <v>1213</v>
      </c>
      <c r="F458" s="7" t="str">
        <f>IFERROR(__xludf.DUMMYFUNCTION("GOOGLETRANSLATE(B458:B5064,""en"",""fr"")"),"au revoir")</f>
        <v>au revoir</v>
      </c>
    </row>
    <row r="459" ht="19.5" customHeight="1">
      <c r="A459" s="26" t="s">
        <v>1214</v>
      </c>
      <c r="B459" s="27" t="s">
        <v>1215</v>
      </c>
      <c r="C459" s="28" t="s">
        <v>178</v>
      </c>
      <c r="D459" s="29">
        <v>1147.0</v>
      </c>
      <c r="E459" s="28" t="s">
        <v>1216</v>
      </c>
      <c r="F459" s="7" t="str">
        <f>IFERROR(__xludf.DUMMYFUNCTION("GOOGLETRANSLATE(B459:B5064,""en"",""fr"")"),"café")</f>
        <v>café</v>
      </c>
    </row>
    <row r="460" ht="19.5" customHeight="1">
      <c r="A460" s="26" t="s">
        <v>1217</v>
      </c>
      <c r="B460" s="27" t="s">
        <v>1218</v>
      </c>
      <c r="C460" s="28" t="s">
        <v>134</v>
      </c>
      <c r="D460" s="29">
        <v>1133.0</v>
      </c>
      <c r="E460" s="28" t="s">
        <v>1218</v>
      </c>
      <c r="F460" s="7" t="str">
        <f>IFERROR(__xludf.DUMMYFUNCTION("GOOGLETRANSLATE(B460:B5064,""en"",""fr"")"),"génial")</f>
        <v>génial</v>
      </c>
    </row>
    <row r="461" ht="19.5" customHeight="1">
      <c r="A461" s="26" t="s">
        <v>1219</v>
      </c>
      <c r="B461" s="27" t="s">
        <v>1220</v>
      </c>
      <c r="C461" s="28" t="s">
        <v>134</v>
      </c>
      <c r="D461" s="29">
        <v>1133.0</v>
      </c>
      <c r="E461" s="28" t="s">
        <v>1221</v>
      </c>
      <c r="F461" s="7" t="str">
        <f>IFERROR(__xludf.DUMMYFUNCTION("GOOGLETRANSLATE(B461:B5064,""en"",""fr"")"),"malade")</f>
        <v>malade</v>
      </c>
    </row>
    <row r="462" ht="19.5" customHeight="1">
      <c r="A462" s="26" t="s">
        <v>1222</v>
      </c>
      <c r="B462" s="27" t="s">
        <v>1223</v>
      </c>
      <c r="C462" s="28" t="s">
        <v>178</v>
      </c>
      <c r="D462" s="29">
        <v>1132.0</v>
      </c>
      <c r="E462" s="28" t="s">
        <v>1224</v>
      </c>
      <c r="F462" s="7" t="str">
        <f>IFERROR(__xludf.DUMMYFUNCTION("GOOGLETRANSLATE(B462:B5064,""en"",""fr"")"),"appartement")</f>
        <v>appartement</v>
      </c>
    </row>
    <row r="463" ht="19.5" customHeight="1">
      <c r="A463" s="26" t="s">
        <v>1225</v>
      </c>
      <c r="B463" s="27" t="s">
        <v>285</v>
      </c>
      <c r="C463" s="28" t="s">
        <v>85</v>
      </c>
      <c r="D463" s="29">
        <v>1127.0</v>
      </c>
      <c r="E463" s="28" t="s">
        <v>285</v>
      </c>
      <c r="F463" s="7" t="str">
        <f>IFERROR(__xludf.DUMMYFUNCTION("GOOGLETRANSLATE(B463:B5064,""en"",""fr"")"),"Désolé")</f>
        <v>Désolé</v>
      </c>
    </row>
    <row r="464" ht="19.5" customHeight="1">
      <c r="A464" s="26" t="s">
        <v>1226</v>
      </c>
      <c r="B464" s="27" t="s">
        <v>232</v>
      </c>
      <c r="C464" s="28" t="s">
        <v>178</v>
      </c>
      <c r="D464" s="29">
        <v>1126.0</v>
      </c>
      <c r="E464" s="28" t="s">
        <v>1227</v>
      </c>
      <c r="F464" s="7" t="str">
        <f>IFERROR(__xludf.DUMMYFUNCTION("GOOGLETRANSLATE(B464:B5064,""en"",""fr"")"),"dos")</f>
        <v>dos</v>
      </c>
    </row>
    <row r="465" ht="19.5" customHeight="1">
      <c r="A465" s="26" t="s">
        <v>1228</v>
      </c>
      <c r="B465" s="27" t="s">
        <v>1229</v>
      </c>
      <c r="C465" s="28" t="s">
        <v>32</v>
      </c>
      <c r="D465" s="29">
        <v>1121.0</v>
      </c>
      <c r="E465" s="28" t="s">
        <v>1230</v>
      </c>
      <c r="F465" s="7" t="str">
        <f>IFERROR(__xludf.DUMMYFUNCTION("GOOGLETRANSLATE(B465:B5064,""en"",""fr"")"),"chiffre")</f>
        <v>chiffre</v>
      </c>
    </row>
    <row r="466" ht="19.5" customHeight="1">
      <c r="A466" s="26" t="s">
        <v>1231</v>
      </c>
      <c r="B466" s="27" t="s">
        <v>1232</v>
      </c>
      <c r="C466" s="28" t="s">
        <v>32</v>
      </c>
      <c r="D466" s="29">
        <v>1118.0</v>
      </c>
      <c r="E466" s="28" t="s">
        <v>1233</v>
      </c>
      <c r="F466" s="7" t="str">
        <f>IFERROR(__xludf.DUMMYFUNCTION("GOOGLETRANSLATE(B466:B5064,""en"",""fr"")"),"tirer")</f>
        <v>tirer</v>
      </c>
    </row>
    <row r="467" ht="19.5" customHeight="1">
      <c r="A467" s="26" t="s">
        <v>1234</v>
      </c>
      <c r="B467" s="27" t="s">
        <v>1235</v>
      </c>
      <c r="C467" s="28" t="s">
        <v>178</v>
      </c>
      <c r="D467" s="29">
        <v>1111.0</v>
      </c>
      <c r="E467" s="28" t="s">
        <v>1236</v>
      </c>
      <c r="F467" s="7" t="str">
        <f>IFERROR(__xludf.DUMMYFUNCTION("GOOGLETRANSLATE(B467:B5064,""en"",""fr"")"),"boîte")</f>
        <v>boîte</v>
      </c>
    </row>
    <row r="468" ht="19.5" customHeight="1">
      <c r="A468" s="26" t="s">
        <v>1237</v>
      </c>
      <c r="B468" s="27" t="s">
        <v>1238</v>
      </c>
      <c r="C468" s="28" t="s">
        <v>178</v>
      </c>
      <c r="D468" s="29">
        <v>1110.0</v>
      </c>
      <c r="E468" s="28" t="s">
        <v>1239</v>
      </c>
      <c r="F468" s="7" t="str">
        <f>IFERROR(__xludf.DUMMYFUNCTION("GOOGLETRANSLATE(B468:B5064,""en"",""fr"")"),"rêve")</f>
        <v>rêve</v>
      </c>
    </row>
    <row r="469" ht="19.5" customHeight="1">
      <c r="A469" s="26" t="s">
        <v>1240</v>
      </c>
      <c r="B469" s="27" t="s">
        <v>1241</v>
      </c>
      <c r="C469" s="28" t="s">
        <v>178</v>
      </c>
      <c r="D469" s="29">
        <v>1110.0</v>
      </c>
      <c r="E469" s="28" t="s">
        <v>1242</v>
      </c>
      <c r="F469" s="7" t="str">
        <f>IFERROR(__xludf.DUMMYFUNCTION("GOOGLETRANSLATE(B469:B5064,""en"",""fr"")"),"eau")</f>
        <v>eau</v>
      </c>
    </row>
    <row r="470" ht="19.5" customHeight="1">
      <c r="A470" s="26" t="s">
        <v>1243</v>
      </c>
      <c r="B470" s="27" t="s">
        <v>1244</v>
      </c>
      <c r="C470" s="28" t="s">
        <v>32</v>
      </c>
      <c r="D470" s="29">
        <v>1109.0</v>
      </c>
      <c r="E470" s="28" t="s">
        <v>1245</v>
      </c>
      <c r="F470" s="7" t="str">
        <f>IFERROR(__xludf.DUMMYFUNCTION("GOOGLETRANSLATE(B470:B5064,""en"",""fr"")"),"décider")</f>
        <v>décider</v>
      </c>
    </row>
    <row r="471" ht="19.5" customHeight="1">
      <c r="A471" s="26" t="s">
        <v>1246</v>
      </c>
      <c r="B471" s="27" t="s">
        <v>1247</v>
      </c>
      <c r="C471" s="28" t="s">
        <v>178</v>
      </c>
      <c r="D471" s="29">
        <v>1107.0</v>
      </c>
      <c r="E471" s="28" t="s">
        <v>1248</v>
      </c>
      <c r="F471" s="7" t="str">
        <f>IFERROR(__xludf.DUMMYFUNCTION("GOOGLETRANSLATE(B471:B5064,""en"",""fr"")"),"magasin")</f>
        <v>magasin</v>
      </c>
    </row>
    <row r="472" ht="19.5" customHeight="1">
      <c r="A472" s="26" t="s">
        <v>1249</v>
      </c>
      <c r="B472" s="27" t="s">
        <v>1250</v>
      </c>
      <c r="C472" s="28" t="s">
        <v>32</v>
      </c>
      <c r="D472" s="29">
        <v>1106.0</v>
      </c>
      <c r="E472" s="28" t="s">
        <v>1251</v>
      </c>
      <c r="F472" s="7" t="str">
        <f>IFERROR(__xludf.DUMMYFUNCTION("GOOGLETRANSLATE(B472:B5064,""en"",""fr"")"),"pari")</f>
        <v>pari</v>
      </c>
    </row>
    <row r="473" ht="19.5" customHeight="1">
      <c r="A473" s="26" t="s">
        <v>1252</v>
      </c>
      <c r="B473" s="27" t="s">
        <v>1253</v>
      </c>
      <c r="C473" s="28" t="s">
        <v>178</v>
      </c>
      <c r="D473" s="29">
        <v>1105.0</v>
      </c>
      <c r="E473" s="28" t="s">
        <v>1254</v>
      </c>
      <c r="F473" s="7" t="str">
        <f>IFERROR(__xludf.DUMMYFUNCTION("GOOGLETRANSLATE(B473:B5064,""en"",""fr"")"),"déjeuner")</f>
        <v>déjeuner</v>
      </c>
    </row>
    <row r="474" ht="19.5" customHeight="1">
      <c r="A474" s="26" t="s">
        <v>1255</v>
      </c>
      <c r="B474" s="27" t="s">
        <v>1137</v>
      </c>
      <c r="C474" s="28" t="s">
        <v>32</v>
      </c>
      <c r="D474" s="29">
        <v>1103.0</v>
      </c>
      <c r="E474" s="28" t="s">
        <v>1256</v>
      </c>
      <c r="F474" s="7" t="str">
        <f>IFERROR(__xludf.DUMMYFUNCTION("GOOGLETRANSLATE(B474:B5064,""en"",""fr"")"),"affronter")</f>
        <v>affronter</v>
      </c>
    </row>
    <row r="475" ht="19.5" customHeight="1">
      <c r="A475" s="26" t="s">
        <v>1257</v>
      </c>
      <c r="B475" s="27" t="s">
        <v>1258</v>
      </c>
      <c r="C475" s="28" t="s">
        <v>36</v>
      </c>
      <c r="D475" s="29">
        <v>1101.0</v>
      </c>
      <c r="E475" s="28" t="s">
        <v>1258</v>
      </c>
      <c r="F475" s="7" t="str">
        <f>IFERROR(__xludf.DUMMYFUNCTION("GOOGLETRANSLATE(B475:B5064,""en"",""fr"")"),"n'importe qui")</f>
        <v>n'importe qui</v>
      </c>
    </row>
    <row r="476" ht="19.5" customHeight="1">
      <c r="A476" s="26" t="s">
        <v>1259</v>
      </c>
      <c r="B476" s="27" t="s">
        <v>1260</v>
      </c>
      <c r="C476" s="28" t="s">
        <v>134</v>
      </c>
      <c r="D476" s="29">
        <v>1096.0</v>
      </c>
      <c r="E476" s="28" t="s">
        <v>1260</v>
      </c>
      <c r="F476" s="7" t="str">
        <f>IFERROR(__xludf.DUMMYFUNCTION("GOOGLETRANSLATE(B476:B5064,""en"",""fr"")"),"effrayé")</f>
        <v>effrayé</v>
      </c>
    </row>
    <row r="477" ht="19.5" customHeight="1">
      <c r="A477" s="26" t="s">
        <v>1261</v>
      </c>
      <c r="B477" s="27" t="s">
        <v>1262</v>
      </c>
      <c r="C477" s="28" t="s">
        <v>178</v>
      </c>
      <c r="D477" s="29">
        <v>1096.0</v>
      </c>
      <c r="E477" s="28" t="s">
        <v>1263</v>
      </c>
      <c r="F477" s="7" t="str">
        <f>IFERROR(__xludf.DUMMYFUNCTION("GOOGLETRANSLATE(B477:B5064,""en"",""fr"")"),"copain")</f>
        <v>copain</v>
      </c>
    </row>
    <row r="478" ht="19.5" customHeight="1">
      <c r="A478" s="26" t="s">
        <v>1264</v>
      </c>
      <c r="B478" s="27" t="s">
        <v>1265</v>
      </c>
      <c r="C478" s="28" t="s">
        <v>134</v>
      </c>
      <c r="D478" s="29">
        <v>1090.0</v>
      </c>
      <c r="E478" s="28" t="s">
        <v>1266</v>
      </c>
      <c r="F478" s="7" t="str">
        <f>IFERROR(__xludf.DUMMYFUNCTION("GOOGLETRANSLATE(B478:B5064,""en"",""fr"")"),"mignon")</f>
        <v>mignon</v>
      </c>
    </row>
    <row r="479" ht="19.5" customHeight="1">
      <c r="A479" s="26" t="s">
        <v>1267</v>
      </c>
      <c r="B479" s="27" t="s">
        <v>1268</v>
      </c>
      <c r="C479" s="28" t="s">
        <v>134</v>
      </c>
      <c r="D479" s="29">
        <v>1085.0</v>
      </c>
      <c r="E479" s="28" t="s">
        <v>1269</v>
      </c>
      <c r="F479" s="7" t="str">
        <f>IFERROR(__xludf.DUMMYFUNCTION("GOOGLETRANSLATE(B479:B5064,""en"",""fr"")"),"fermer")</f>
        <v>fermer</v>
      </c>
    </row>
    <row r="480" ht="19.5" customHeight="1">
      <c r="A480" s="26" t="s">
        <v>1270</v>
      </c>
      <c r="B480" s="27" t="s">
        <v>1271</v>
      </c>
      <c r="C480" s="28" t="s">
        <v>178</v>
      </c>
      <c r="D480" s="29">
        <v>1082.0</v>
      </c>
      <c r="E480" s="28" t="s">
        <v>1272</v>
      </c>
      <c r="F480" s="7" t="str">
        <f>IFERROR(__xludf.DUMMYFUNCTION("GOOGLETRANSLATE(B480:B5064,""en"",""fr"")"),"salle de bain")</f>
        <v>salle de bain</v>
      </c>
    </row>
    <row r="481" ht="19.5" customHeight="1">
      <c r="A481" s="26" t="s">
        <v>1273</v>
      </c>
      <c r="B481" s="27" t="s">
        <v>479</v>
      </c>
      <c r="C481" s="28" t="s">
        <v>178</v>
      </c>
      <c r="D481" s="29">
        <v>1081.0</v>
      </c>
      <c r="E481" s="28" t="s">
        <v>1274</v>
      </c>
      <c r="F481" s="7" t="str">
        <f>IFERROR(__xludf.DUMMYFUNCTION("GOOGLETRANSLATE(B481:B5064,""en"",""fr"")"),"montrer")</f>
        <v>montrer</v>
      </c>
    </row>
    <row r="482" ht="19.5" customHeight="1">
      <c r="A482" s="26" t="s">
        <v>1275</v>
      </c>
      <c r="B482" s="27" t="s">
        <v>1090</v>
      </c>
      <c r="C482" s="28" t="s">
        <v>32</v>
      </c>
      <c r="D482" s="29">
        <v>1076.0</v>
      </c>
      <c r="E482" s="28" t="s">
        <v>1276</v>
      </c>
      <c r="F482" s="7" t="str">
        <f>IFERROR(__xludf.DUMMYFUNCTION("GOOGLETRANSLATE(B482:B5064,""en"",""fr"")"),"esprit")</f>
        <v>esprit</v>
      </c>
    </row>
    <row r="483" ht="19.5" customHeight="1">
      <c r="A483" s="26" t="s">
        <v>1277</v>
      </c>
      <c r="B483" s="27" t="s">
        <v>1278</v>
      </c>
      <c r="C483" s="28" t="s">
        <v>32</v>
      </c>
      <c r="D483" s="29">
        <v>1073.0</v>
      </c>
      <c r="E483" s="28" t="s">
        <v>1279</v>
      </c>
      <c r="F483" s="7" t="str">
        <f>IFERROR(__xludf.DUMMYFUNCTION("GOOGLETRANSLATE(B483:B5064,""en"",""fr"")"),"voler")</f>
        <v>voler</v>
      </c>
    </row>
    <row r="484" ht="19.5" customHeight="1">
      <c r="A484" s="26" t="s">
        <v>1280</v>
      </c>
      <c r="B484" s="27" t="s">
        <v>1281</v>
      </c>
      <c r="C484" s="28" t="s">
        <v>134</v>
      </c>
      <c r="D484" s="29">
        <v>1070.0</v>
      </c>
      <c r="E484" s="28" t="s">
        <v>1282</v>
      </c>
      <c r="F484" s="7" t="str">
        <f>IFERROR(__xludf.DUMMYFUNCTION("GOOGLETRANSLATE(B484:B5064,""en"",""fr"")"),"complet")</f>
        <v>complet</v>
      </c>
    </row>
    <row r="485" ht="19.5" customHeight="1">
      <c r="A485" s="26" t="s">
        <v>1283</v>
      </c>
      <c r="B485" s="27" t="s">
        <v>1284</v>
      </c>
      <c r="C485" s="28" t="s">
        <v>178</v>
      </c>
      <c r="D485" s="29">
        <v>1061.0</v>
      </c>
      <c r="E485" s="28" t="s">
        <v>1285</v>
      </c>
      <c r="F485" s="7" t="str">
        <f>IFERROR(__xludf.DUMMYFUNCTION("GOOGLETRANSLATE(B485:B5064,""en"",""fr"")"),"entreprise")</f>
        <v>entreprise</v>
      </c>
    </row>
    <row r="486" ht="19.5" customHeight="1">
      <c r="A486" s="26" t="s">
        <v>1286</v>
      </c>
      <c r="B486" s="27" t="s">
        <v>1287</v>
      </c>
      <c r="C486" s="28" t="s">
        <v>178</v>
      </c>
      <c r="D486" s="29">
        <v>1061.0</v>
      </c>
      <c r="E486" s="28" t="s">
        <v>1288</v>
      </c>
      <c r="F486" s="7" t="str">
        <f>IFERROR(__xludf.DUMMYFUNCTION("GOOGLETRANSLATE(B486:B5064,""en"",""fr"")"),"devant")</f>
        <v>devant</v>
      </c>
    </row>
    <row r="487" ht="19.5" customHeight="1">
      <c r="A487" s="26" t="s">
        <v>1289</v>
      </c>
      <c r="B487" s="27" t="s">
        <v>1290</v>
      </c>
      <c r="C487" s="28" t="s">
        <v>100</v>
      </c>
      <c r="D487" s="29">
        <v>1059.0</v>
      </c>
      <c r="E487" s="28" t="s">
        <v>1290</v>
      </c>
      <c r="F487" s="7" t="str">
        <f>IFERROR(__xludf.DUMMYFUNCTION("GOOGLETRANSLATE(B487:B5064,""en"",""fr"")"),"devant")</f>
        <v>devant</v>
      </c>
    </row>
    <row r="488" ht="19.5" customHeight="1">
      <c r="A488" s="26" t="s">
        <v>1291</v>
      </c>
      <c r="B488" s="27" t="s">
        <v>1292</v>
      </c>
      <c r="C488" s="28" t="s">
        <v>178</v>
      </c>
      <c r="D488" s="29">
        <v>1058.0</v>
      </c>
      <c r="E488" s="28" t="s">
        <v>1293</v>
      </c>
      <c r="F488" s="7" t="str">
        <f>IFERROR(__xludf.DUMMYFUNCTION("GOOGLETRANSLATE(B488:B5064,""en"",""fr"")"),"moment")</f>
        <v>moment</v>
      </c>
    </row>
    <row r="489" ht="19.5" customHeight="1">
      <c r="A489" s="26" t="s">
        <v>1294</v>
      </c>
      <c r="B489" s="27" t="s">
        <v>1295</v>
      </c>
      <c r="C489" s="28" t="s">
        <v>178</v>
      </c>
      <c r="D489" s="29">
        <v>1056.0</v>
      </c>
      <c r="E489" s="28" t="s">
        <v>1296</v>
      </c>
      <c r="F489" s="7" t="str">
        <f>IFERROR(__xludf.DUMMYFUNCTION("GOOGLETRANSLATE(B489:B5064,""en"",""fr"")"),"cas")</f>
        <v>cas</v>
      </c>
    </row>
    <row r="490" ht="19.5" customHeight="1">
      <c r="A490" s="26" t="s">
        <v>1297</v>
      </c>
      <c r="B490" s="27" t="s">
        <v>924</v>
      </c>
      <c r="C490" s="28" t="s">
        <v>32</v>
      </c>
      <c r="D490" s="29">
        <v>1050.0</v>
      </c>
      <c r="E490" s="28" t="s">
        <v>1298</v>
      </c>
      <c r="F490" s="7" t="str">
        <f>IFERROR(__xludf.DUMMYFUNCTION("GOOGLETRANSLATE(B490:B5064,""en"",""fr"")"),"date")</f>
        <v>date</v>
      </c>
    </row>
    <row r="491" ht="19.5" customHeight="1">
      <c r="A491" s="26" t="s">
        <v>1299</v>
      </c>
      <c r="B491" s="27" t="s">
        <v>1300</v>
      </c>
      <c r="C491" s="28" t="s">
        <v>36</v>
      </c>
      <c r="D491" s="29">
        <v>1050.0</v>
      </c>
      <c r="E491" s="28" t="s">
        <v>1301</v>
      </c>
      <c r="F491" s="7" t="str">
        <f>IFERROR(__xludf.DUMMYFUNCTION("GOOGLETRANSLATE(B491:B5064,""en"",""fr"")"),"cependant")</f>
        <v>cependant</v>
      </c>
    </row>
    <row r="492" ht="19.5" customHeight="1">
      <c r="A492" s="26" t="s">
        <v>1302</v>
      </c>
      <c r="B492" s="27" t="s">
        <v>1303</v>
      </c>
      <c r="C492" s="28" t="s">
        <v>178</v>
      </c>
      <c r="D492" s="29">
        <v>1043.0</v>
      </c>
      <c r="E492" s="28" t="s">
        <v>1304</v>
      </c>
      <c r="F492" s="7" t="str">
        <f>IFERROR(__xludf.DUMMYFUNCTION("GOOGLETRANSLATE(B492:B5064,""en"",""fr"")"),"corps")</f>
        <v>corps</v>
      </c>
    </row>
    <row r="493" ht="19.5" customHeight="1">
      <c r="A493" s="26" t="s">
        <v>1305</v>
      </c>
      <c r="B493" s="27" t="s">
        <v>1306</v>
      </c>
      <c r="C493" s="28" t="s">
        <v>178</v>
      </c>
      <c r="D493" s="29">
        <v>1040.0</v>
      </c>
      <c r="E493" s="28" t="s">
        <v>1307</v>
      </c>
      <c r="F493" s="7" t="str">
        <f>IFERROR(__xludf.DUMMYFUNCTION("GOOGLETRANSLATE(B493:B5064,""en"",""fr"")"),"Mme")</f>
        <v>Mme</v>
      </c>
    </row>
    <row r="494" ht="19.5" customHeight="1">
      <c r="A494" s="26" t="s">
        <v>1308</v>
      </c>
      <c r="B494" s="27" t="s">
        <v>1309</v>
      </c>
      <c r="C494" s="28" t="s">
        <v>178</v>
      </c>
      <c r="D494" s="29">
        <v>1040.0</v>
      </c>
      <c r="E494" s="28" t="s">
        <v>1309</v>
      </c>
      <c r="F494" s="7" t="str">
        <f>IFERROR(__xludf.DUMMYFUNCTION("GOOGLETRANSLATE(B494:B5064,""en"",""fr"")"),"pantalon")</f>
        <v>pantalon</v>
      </c>
    </row>
    <row r="495" ht="19.5" customHeight="1">
      <c r="A495" s="26" t="s">
        <v>1310</v>
      </c>
      <c r="B495" s="27" t="s">
        <v>1311</v>
      </c>
      <c r="C495" s="28" t="s">
        <v>178</v>
      </c>
      <c r="D495" s="29">
        <v>1039.0</v>
      </c>
      <c r="E495" s="28" t="s">
        <v>1312</v>
      </c>
      <c r="F495" s="7" t="str">
        <f>IFERROR(__xludf.DUMMYFUNCTION("GOOGLETRANSLATE(B495:B5064,""en"",""fr"")"),"chienne")</f>
        <v>chienne</v>
      </c>
    </row>
    <row r="496" ht="19.5" customHeight="1">
      <c r="A496" s="26" t="s">
        <v>1313</v>
      </c>
      <c r="B496" s="27" t="s">
        <v>1314</v>
      </c>
      <c r="C496" s="28" t="s">
        <v>32</v>
      </c>
      <c r="D496" s="29">
        <v>1039.0</v>
      </c>
      <c r="E496" s="28" t="s">
        <v>1315</v>
      </c>
      <c r="F496" s="7" t="str">
        <f>IFERROR(__xludf.DUMMYFUNCTION("GOOGLETRANSLATE(B496:B5064,""en"",""fr"")"),"promesse")</f>
        <v>promesse</v>
      </c>
    </row>
    <row r="497" ht="19.5" customHeight="1">
      <c r="A497" s="26" t="s">
        <v>1316</v>
      </c>
      <c r="B497" s="27" t="s">
        <v>1317</v>
      </c>
      <c r="C497" s="28" t="s">
        <v>134</v>
      </c>
      <c r="D497" s="29">
        <v>1037.0</v>
      </c>
      <c r="E497" s="28" t="s">
        <v>1318</v>
      </c>
      <c r="F497" s="7" t="str">
        <f>IFERROR(__xludf.DUMMYFUNCTION("GOOGLETRANSLATE(B497:B5064,""en"",""fr"")"),"content")</f>
        <v>content</v>
      </c>
    </row>
    <row r="498" ht="19.5" customHeight="1">
      <c r="A498" s="26" t="s">
        <v>1319</v>
      </c>
      <c r="B498" s="27" t="s">
        <v>1320</v>
      </c>
      <c r="C498" s="28" t="s">
        <v>32</v>
      </c>
      <c r="D498" s="29">
        <v>1036.0</v>
      </c>
      <c r="E498" s="28" t="s">
        <v>1321</v>
      </c>
      <c r="F498" s="7" t="str">
        <f>IFERROR(__xludf.DUMMYFUNCTION("GOOGLETRANSLATE(B498:B5064,""en"",""fr"")"),"baiser")</f>
        <v>baiser</v>
      </c>
    </row>
    <row r="499" ht="19.5" customHeight="1">
      <c r="A499" s="26" t="s">
        <v>1322</v>
      </c>
      <c r="B499" s="27" t="s">
        <v>1323</v>
      </c>
      <c r="C499" s="28" t="s">
        <v>36</v>
      </c>
      <c r="D499" s="29">
        <v>1023.0</v>
      </c>
      <c r="E499" s="28" t="s">
        <v>1323</v>
      </c>
      <c r="F499" s="7" t="str">
        <f>IFERROR(__xludf.DUMMYFUNCTION("GOOGLETRANSLATE(B499:B5064,""en"",""fr"")"),"soit")</f>
        <v>soit</v>
      </c>
    </row>
    <row r="500" ht="19.5" customHeight="1">
      <c r="A500" s="26" t="s">
        <v>1324</v>
      </c>
      <c r="B500" s="27" t="s">
        <v>1325</v>
      </c>
      <c r="C500" s="28" t="s">
        <v>32</v>
      </c>
      <c r="D500" s="29">
        <v>1021.0</v>
      </c>
      <c r="E500" s="28" t="s">
        <v>1326</v>
      </c>
      <c r="F500" s="7" t="str">
        <f>IFERROR(__xludf.DUMMYFUNCTION("GOOGLETRANSLATE(B500:B5064,""en"",""fr"")"),"feu")</f>
        <v>feu</v>
      </c>
    </row>
    <row r="501" ht="19.5" customHeight="1">
      <c r="A501" s="26" t="s">
        <v>1327</v>
      </c>
      <c r="B501" s="27" t="s">
        <v>1328</v>
      </c>
      <c r="C501" s="28" t="s">
        <v>32</v>
      </c>
      <c r="D501" s="29">
        <v>1021.0</v>
      </c>
      <c r="E501" s="28" t="s">
        <v>1329</v>
      </c>
      <c r="F501" s="7" t="str">
        <f>IFERROR(__xludf.DUMMYFUNCTION("GOOGLETRANSLATE(B501:B5064,""en"",""fr"")"),"grandir")</f>
        <v>grandir</v>
      </c>
    </row>
    <row r="502" ht="19.5" customHeight="1">
      <c r="A502" s="26" t="s">
        <v>1330</v>
      </c>
      <c r="B502" s="27" t="s">
        <v>1331</v>
      </c>
      <c r="C502" s="28" t="s">
        <v>32</v>
      </c>
      <c r="D502" s="29">
        <v>1019.0</v>
      </c>
      <c r="E502" s="28" t="s">
        <v>1332</v>
      </c>
      <c r="F502" s="7" t="str">
        <f>IFERROR(__xludf.DUMMYFUNCTION("GOOGLETRANSLATE(B502:B5064,""en"",""fr"")"),"construire")</f>
        <v>construire</v>
      </c>
    </row>
    <row r="503" ht="19.5" customHeight="1">
      <c r="A503" s="26" t="s">
        <v>1333</v>
      </c>
      <c r="B503" s="27" t="s">
        <v>1334</v>
      </c>
      <c r="C503" s="28" t="s">
        <v>178</v>
      </c>
      <c r="D503" s="29">
        <v>1010.0</v>
      </c>
      <c r="E503" s="28" t="s">
        <v>1335</v>
      </c>
      <c r="F503" s="7" t="str">
        <f>IFERROR(__xludf.DUMMYFUNCTION("GOOGLETRANSLATE(B503:B5064,""en"",""fr"")"),"tableau")</f>
        <v>tableau</v>
      </c>
    </row>
    <row r="504" ht="19.5" customHeight="1">
      <c r="A504" s="26" t="s">
        <v>1336</v>
      </c>
      <c r="B504" s="27" t="s">
        <v>1337</v>
      </c>
      <c r="C504" s="28" t="s">
        <v>178</v>
      </c>
      <c r="D504" s="29">
        <v>1006.0</v>
      </c>
      <c r="E504" s="28" t="s">
        <v>1338</v>
      </c>
      <c r="F504" s="7" t="str">
        <f>IFERROR(__xludf.DUMMYFUNCTION("GOOGLETRANSLATE(B504:B5064,""en"",""fr"")"),"billet")</f>
        <v>billet</v>
      </c>
    </row>
    <row r="505" ht="19.5" customHeight="1">
      <c r="A505" s="26" t="s">
        <v>1339</v>
      </c>
      <c r="B505" s="27" t="s">
        <v>1340</v>
      </c>
      <c r="C505" s="28" t="s">
        <v>32</v>
      </c>
      <c r="D505" s="29">
        <v>1005.0</v>
      </c>
      <c r="E505" s="28" t="s">
        <v>1341</v>
      </c>
      <c r="F505" s="7" t="str">
        <f>IFERROR(__xludf.DUMMYFUNCTION("GOOGLETRANSLATE(B505:B5064,""en"",""fr"")"),"matière")</f>
        <v>matière</v>
      </c>
    </row>
    <row r="506" ht="19.5" customHeight="1">
      <c r="A506" s="26" t="s">
        <v>1342</v>
      </c>
      <c r="B506" s="27" t="s">
        <v>1343</v>
      </c>
      <c r="C506" s="28" t="s">
        <v>32</v>
      </c>
      <c r="D506" s="29">
        <v>1002.0</v>
      </c>
      <c r="E506" s="28" t="s">
        <v>1344</v>
      </c>
      <c r="F506" s="7" t="str">
        <f>IFERROR(__xludf.DUMMYFUNCTION("GOOGLETRANSLATE(B506:B5064,""en"",""fr"")"),"enseigner")</f>
        <v>enseigner</v>
      </c>
    </row>
    <row r="507" ht="19.5" customHeight="1">
      <c r="A507" s="26" t="s">
        <v>1345</v>
      </c>
      <c r="B507" s="27" t="s">
        <v>1346</v>
      </c>
      <c r="C507" s="28" t="s">
        <v>178</v>
      </c>
      <c r="D507" s="29">
        <v>997.0</v>
      </c>
      <c r="E507" s="28" t="s">
        <v>1347</v>
      </c>
      <c r="F507" s="7" t="str">
        <f>IFERROR(__xludf.DUMMYFUNCTION("GOOGLETRANSLATE(B507:B5064,""en"",""fr"")"),"chat")</f>
        <v>chat</v>
      </c>
    </row>
    <row r="508" ht="19.5" customHeight="1">
      <c r="A508" s="26" t="s">
        <v>1348</v>
      </c>
      <c r="B508" s="27" t="s">
        <v>1349</v>
      </c>
      <c r="C508" s="28" t="s">
        <v>178</v>
      </c>
      <c r="D508" s="29">
        <v>997.0</v>
      </c>
      <c r="E508" s="28" t="s">
        <v>1350</v>
      </c>
      <c r="F508" s="7" t="str">
        <f>IFERROR(__xludf.DUMMYFUNCTION("GOOGLETRANSLATE(B508:B5064,""en"",""fr"")"),"sœur")</f>
        <v>sœur</v>
      </c>
    </row>
    <row r="509" ht="19.5" customHeight="1">
      <c r="A509" s="26" t="s">
        <v>1351</v>
      </c>
      <c r="B509" s="27" t="s">
        <v>1352</v>
      </c>
      <c r="C509" s="28" t="s">
        <v>178</v>
      </c>
      <c r="D509" s="29">
        <v>993.0</v>
      </c>
      <c r="E509" s="28" t="s">
        <v>1353</v>
      </c>
      <c r="F509" s="7" t="str">
        <f>IFERROR(__xludf.DUMMYFUNCTION("GOOGLETRANSLATE(B509:B5064,""en"",""fr"")"),"petite amie")</f>
        <v>petite amie</v>
      </c>
    </row>
    <row r="510" ht="19.5" customHeight="1">
      <c r="A510" s="26" t="s">
        <v>1354</v>
      </c>
      <c r="B510" s="27" t="s">
        <v>1355</v>
      </c>
      <c r="C510" s="28" t="s">
        <v>178</v>
      </c>
      <c r="D510" s="29">
        <v>991.0</v>
      </c>
      <c r="E510" s="28" t="s">
        <v>1356</v>
      </c>
      <c r="F510" s="7" t="str">
        <f>IFERROR(__xludf.DUMMYFUNCTION("GOOGLETRANSLATE(B510:B5064,""en"",""fr"")"),"chapeau")</f>
        <v>chapeau</v>
      </c>
    </row>
    <row r="511" ht="19.5" customHeight="1">
      <c r="A511" s="26" t="s">
        <v>1357</v>
      </c>
      <c r="B511" s="27" t="s">
        <v>1358</v>
      </c>
      <c r="C511" s="28" t="s">
        <v>32</v>
      </c>
      <c r="D511" s="29">
        <v>991.0</v>
      </c>
      <c r="E511" s="28" t="s">
        <v>1359</v>
      </c>
      <c r="F511" s="7" t="str">
        <f>IFERROR(__xludf.DUMMYFUNCTION("GOOGLETRANSLATE(B511:B5064,""en"",""fr"")"),"touche")</f>
        <v>touche</v>
      </c>
    </row>
    <row r="512" ht="19.5" customHeight="1">
      <c r="A512" s="26" t="s">
        <v>1360</v>
      </c>
      <c r="B512" s="27" t="s">
        <v>1361</v>
      </c>
      <c r="C512" s="28" t="s">
        <v>134</v>
      </c>
      <c r="D512" s="29">
        <v>990.0</v>
      </c>
      <c r="E512" s="28" t="s">
        <v>1361</v>
      </c>
      <c r="F512" s="7" t="str">
        <f>IFERROR(__xludf.DUMMYFUNCTION("GOOGLETRANSLATE(B512:B5064,""en"",""fr"")"),"terrible")</f>
        <v>terrible</v>
      </c>
    </row>
    <row r="513" ht="19.5" customHeight="1">
      <c r="A513" s="26" t="s">
        <v>1362</v>
      </c>
      <c r="B513" s="27" t="s">
        <v>1363</v>
      </c>
      <c r="C513" s="28" t="s">
        <v>178</v>
      </c>
      <c r="D513" s="29">
        <v>985.0</v>
      </c>
      <c r="E513" s="28" t="s">
        <v>1364</v>
      </c>
      <c r="F513" s="7" t="str">
        <f>IFERROR(__xludf.DUMMYFUNCTION("GOOGLETRANSLATE(B513:B5064,""en"",""fr"")"),"bière")</f>
        <v>bière</v>
      </c>
    </row>
    <row r="514" ht="19.5" customHeight="1">
      <c r="A514" s="26" t="s">
        <v>1365</v>
      </c>
      <c r="B514" s="27" t="s">
        <v>1366</v>
      </c>
      <c r="C514" s="28" t="s">
        <v>85</v>
      </c>
      <c r="D514" s="29">
        <v>984.0</v>
      </c>
      <c r="E514" s="28" t="s">
        <v>1366</v>
      </c>
      <c r="F514" s="7" t="str">
        <f>IFERROR(__xludf.DUMMYFUNCTION("GOOGLETRANSLATE(B514:B5064,""en"",""fr"")"),"condamner")</f>
        <v>condamner</v>
      </c>
    </row>
    <row r="515" ht="19.5" customHeight="1">
      <c r="A515" s="26" t="s">
        <v>1367</v>
      </c>
      <c r="B515" s="27" t="s">
        <v>1368</v>
      </c>
      <c r="C515" s="28" t="s">
        <v>85</v>
      </c>
      <c r="D515" s="29">
        <v>983.0</v>
      </c>
      <c r="E515" s="28" t="s">
        <v>1368</v>
      </c>
      <c r="F515" s="7" t="str">
        <f>IFERROR(__xludf.DUMMYFUNCTION("GOOGLETRANSLATE(B515:B5064,""en"",""fr"")"),"mm-hmm")</f>
        <v>mm-hmm</v>
      </c>
    </row>
    <row r="516" ht="19.5" customHeight="1">
      <c r="A516" s="26" t="s">
        <v>1369</v>
      </c>
      <c r="B516" s="27" t="s">
        <v>1370</v>
      </c>
      <c r="C516" s="28" t="s">
        <v>178</v>
      </c>
      <c r="D516" s="29">
        <v>979.0</v>
      </c>
      <c r="E516" s="28" t="s">
        <v>1371</v>
      </c>
      <c r="F516" s="7" t="str">
        <f>IFERROR(__xludf.DUMMYFUNCTION("GOOGLETRANSLATE(B516:B5064,""en"",""fr"")"),"club")</f>
        <v>club</v>
      </c>
    </row>
    <row r="517" ht="19.5" customHeight="1">
      <c r="A517" s="26" t="s">
        <v>1372</v>
      </c>
      <c r="B517" s="27" t="s">
        <v>1373</v>
      </c>
      <c r="C517" s="28" t="s">
        <v>32</v>
      </c>
      <c r="D517" s="29">
        <v>978.0</v>
      </c>
      <c r="E517" s="28" t="s">
        <v>1374</v>
      </c>
      <c r="F517" s="7" t="str">
        <f>IFERROR(__xludf.DUMMYFUNCTION("GOOGLETRANSLATE(B517:B5064,""en"",""fr"")"),"étonner")</f>
        <v>étonner</v>
      </c>
    </row>
    <row r="518" ht="19.5" customHeight="1">
      <c r="A518" s="26" t="s">
        <v>1375</v>
      </c>
      <c r="B518" s="27" t="s">
        <v>1376</v>
      </c>
      <c r="C518" s="28" t="s">
        <v>32</v>
      </c>
      <c r="D518" s="29">
        <v>978.0</v>
      </c>
      <c r="E518" s="28" t="s">
        <v>1377</v>
      </c>
      <c r="F518" s="7" t="str">
        <f>IFERROR(__xludf.DUMMYFUNCTION("GOOGLETRANSLATE(B518:B5064,""en"",""fr"")"),"odeur")</f>
        <v>odeur</v>
      </c>
    </row>
    <row r="519" ht="19.5" customHeight="1">
      <c r="A519" s="26" t="s">
        <v>1378</v>
      </c>
      <c r="B519" s="27" t="s">
        <v>1379</v>
      </c>
      <c r="C519" s="28" t="s">
        <v>178</v>
      </c>
      <c r="D519" s="29">
        <v>974.0</v>
      </c>
      <c r="E519" s="28" t="s">
        <v>1380</v>
      </c>
      <c r="F519" s="7" t="str">
        <f>IFERROR(__xludf.DUMMYFUNCTION("GOOGLETRANSLATE(B519:B5064,""en"",""fr"")"),"cadeau")</f>
        <v>cadeau</v>
      </c>
    </row>
    <row r="520" ht="19.5" customHeight="1">
      <c r="A520" s="26" t="s">
        <v>1381</v>
      </c>
      <c r="B520" s="27" t="s">
        <v>1382</v>
      </c>
      <c r="C520" s="28" t="s">
        <v>134</v>
      </c>
      <c r="D520" s="29">
        <v>974.0</v>
      </c>
      <c r="E520" s="28" t="s">
        <v>1382</v>
      </c>
      <c r="F520" s="7" t="str">
        <f>IFERROR(__xludf.DUMMYFUNCTION("GOOGLETRANSLATE(B520:B5064,""en"",""fr"")"),"sérieux")</f>
        <v>sérieux</v>
      </c>
    </row>
    <row r="521" ht="19.5" customHeight="1">
      <c r="A521" s="26" t="s">
        <v>1383</v>
      </c>
      <c r="B521" s="27" t="s">
        <v>1384</v>
      </c>
      <c r="C521" s="28" t="s">
        <v>32</v>
      </c>
      <c r="D521" s="29">
        <v>970.0</v>
      </c>
      <c r="E521" s="28" t="s">
        <v>1385</v>
      </c>
      <c r="F521" s="7" t="str">
        <f>IFERROR(__xludf.DUMMYFUNCTION("GOOGLETRANSLATE(B521:B5064,""en"",""fr"")"),"plan")</f>
        <v>plan</v>
      </c>
    </row>
    <row r="522" ht="19.5" customHeight="1">
      <c r="A522" s="26" t="s">
        <v>1386</v>
      </c>
      <c r="B522" s="27" t="s">
        <v>1387</v>
      </c>
      <c r="C522" s="28" t="s">
        <v>178</v>
      </c>
      <c r="D522" s="29">
        <v>970.0</v>
      </c>
      <c r="E522" s="28" t="s">
        <v>1388</v>
      </c>
      <c r="F522" s="7" t="str">
        <f>IFERROR(__xludf.DUMMYFUNCTION("GOOGLETRANSLATE(B522:B5064,""en"",""fr"")"),"rue")</f>
        <v>rue</v>
      </c>
    </row>
    <row r="523" ht="19.5" customHeight="1">
      <c r="A523" s="26" t="s">
        <v>1389</v>
      </c>
      <c r="B523" s="27" t="s">
        <v>1390</v>
      </c>
      <c r="C523" s="28" t="s">
        <v>178</v>
      </c>
      <c r="D523" s="29">
        <v>969.0</v>
      </c>
      <c r="E523" s="28" t="s">
        <v>1391</v>
      </c>
      <c r="F523" s="7" t="str">
        <f>IFERROR(__xludf.DUMMYFUNCTION("GOOGLETRANSLATE(B523:B5064,""en"",""fr"")"),"équipe")</f>
        <v>équipe</v>
      </c>
    </row>
    <row r="524" ht="19.5" customHeight="1">
      <c r="A524" s="26" t="s">
        <v>1392</v>
      </c>
      <c r="B524" s="27" t="s">
        <v>1393</v>
      </c>
      <c r="C524" s="28" t="s">
        <v>32</v>
      </c>
      <c r="D524" s="29">
        <v>966.0</v>
      </c>
      <c r="E524" s="28" t="s">
        <v>1394</v>
      </c>
      <c r="F524" s="7" t="str">
        <f>IFERROR(__xludf.DUMMYFUNCTION("GOOGLETRANSLATE(B524:B5064,""en"",""fr"")"),"commande")</f>
        <v>commande</v>
      </c>
    </row>
    <row r="525" ht="19.5" customHeight="1">
      <c r="A525" s="26" t="s">
        <v>1395</v>
      </c>
      <c r="B525" s="27" t="s">
        <v>1396</v>
      </c>
      <c r="C525" s="28" t="s">
        <v>32</v>
      </c>
      <c r="D525" s="29">
        <v>964.0</v>
      </c>
      <c r="E525" s="28" t="s">
        <v>1397</v>
      </c>
      <c r="F525" s="7" t="str">
        <f>IFERROR(__xludf.DUMMYFUNCTION("GOOGLETRANSLATE(B525:B5064,""en"",""fr"")"),"pleurer")</f>
        <v>pleurer</v>
      </c>
    </row>
    <row r="526" ht="19.5" customHeight="1">
      <c r="A526" s="26" t="s">
        <v>1398</v>
      </c>
      <c r="B526" s="27" t="s">
        <v>1399</v>
      </c>
      <c r="C526" s="28" t="s">
        <v>150</v>
      </c>
      <c r="D526" s="29">
        <v>960.0</v>
      </c>
      <c r="E526" s="28" t="s">
        <v>1399</v>
      </c>
      <c r="F526" s="7" t="str">
        <f>IFERROR(__xludf.DUMMYFUNCTION("GOOGLETRANSLATE(B526:B5064,""en"",""fr"")"),"zéro")</f>
        <v>zéro</v>
      </c>
    </row>
    <row r="527" ht="19.5" customHeight="1">
      <c r="A527" s="26" t="s">
        <v>1400</v>
      </c>
      <c r="B527" s="27" t="s">
        <v>1401</v>
      </c>
      <c r="C527" s="28" t="s">
        <v>32</v>
      </c>
      <c r="D527" s="29">
        <v>959.0</v>
      </c>
      <c r="E527" s="28" t="s">
        <v>1402</v>
      </c>
      <c r="F527" s="7" t="str">
        <f>IFERROR(__xludf.DUMMYFUNCTION("GOOGLETRANSLATE(B527:B5064,""en"",""fr"")"),"baisse")</f>
        <v>baisse</v>
      </c>
    </row>
    <row r="528" ht="19.5" customHeight="1">
      <c r="A528" s="26" t="s">
        <v>1403</v>
      </c>
      <c r="B528" s="27" t="s">
        <v>1404</v>
      </c>
      <c r="C528" s="28" t="s">
        <v>32</v>
      </c>
      <c r="D528" s="29">
        <v>958.0</v>
      </c>
      <c r="E528" s="28" t="s">
        <v>1405</v>
      </c>
      <c r="F528" s="7" t="str">
        <f>IFERROR(__xludf.DUMMYFUNCTION("GOOGLETRANSLATE(B528:B5064,""en"",""fr"")"),"acte")</f>
        <v>acte</v>
      </c>
    </row>
    <row r="529" ht="19.5" customHeight="1">
      <c r="A529" s="26" t="s">
        <v>1406</v>
      </c>
      <c r="B529" s="27" t="s">
        <v>1407</v>
      </c>
      <c r="C529" s="28" t="s">
        <v>134</v>
      </c>
      <c r="D529" s="29">
        <v>957.0</v>
      </c>
      <c r="E529" s="28" t="s">
        <v>1407</v>
      </c>
      <c r="F529" s="7" t="str">
        <f>IFERROR(__xludf.DUMMYFUNCTION("GOOGLETRANSLATE(B529:B5064,""en"",""fr"")"),"seul")</f>
        <v>seul</v>
      </c>
    </row>
    <row r="530" ht="19.5" customHeight="1">
      <c r="A530" s="26" t="s">
        <v>1408</v>
      </c>
      <c r="B530" s="27" t="s">
        <v>1409</v>
      </c>
      <c r="C530" s="28" t="s">
        <v>178</v>
      </c>
      <c r="D530" s="29">
        <v>951.0</v>
      </c>
      <c r="E530" s="28" t="s">
        <v>1410</v>
      </c>
      <c r="F530" s="7" t="str">
        <f>IFERROR(__xludf.DUMMYFUNCTION("GOOGLETRANSLATE(B530:B5064,""en"",""fr"")"),"siège")</f>
        <v>siège</v>
      </c>
    </row>
    <row r="531" ht="19.5" customHeight="1">
      <c r="A531" s="26" t="s">
        <v>1411</v>
      </c>
      <c r="B531" s="27" t="s">
        <v>1412</v>
      </c>
      <c r="C531" s="28" t="s">
        <v>85</v>
      </c>
      <c r="D531" s="29">
        <v>949.0</v>
      </c>
      <c r="E531" s="28" t="s">
        <v>1412</v>
      </c>
      <c r="F531" s="7" t="str">
        <f>IFERROR(__xludf.DUMMYFUNCTION("GOOGLETRANSLATE(B531:B5064,""en"",""fr"")"),"Eh")</f>
        <v>Eh</v>
      </c>
    </row>
    <row r="532" ht="19.5" customHeight="1">
      <c r="A532" s="26" t="s">
        <v>1413</v>
      </c>
      <c r="B532" s="27" t="s">
        <v>1414</v>
      </c>
      <c r="C532" s="28" t="s">
        <v>36</v>
      </c>
      <c r="D532" s="29">
        <v>947.0</v>
      </c>
      <c r="E532" s="28" t="s">
        <v>1414</v>
      </c>
      <c r="F532" s="7" t="str">
        <f>IFERROR(__xludf.DUMMYFUNCTION("GOOGLETRANSLATE(B532:B5064,""en"",""fr"")"),"entre")</f>
        <v>entre</v>
      </c>
    </row>
    <row r="533" ht="19.5" customHeight="1">
      <c r="A533" s="26" t="s">
        <v>1415</v>
      </c>
      <c r="B533" s="27" t="s">
        <v>1416</v>
      </c>
      <c r="C533" s="28" t="s">
        <v>150</v>
      </c>
      <c r="D533" s="29">
        <v>947.0</v>
      </c>
      <c r="E533" s="28" t="s">
        <v>1416</v>
      </c>
      <c r="F533" s="7" t="str">
        <f>IFERROR(__xludf.DUMMYFUNCTION("GOOGLETRANSLATE(B533:B5064,""en"",""fr"")"),"huit")</f>
        <v>huit</v>
      </c>
    </row>
    <row r="534" ht="19.5" customHeight="1">
      <c r="A534" s="26" t="s">
        <v>1417</v>
      </c>
      <c r="B534" s="27" t="s">
        <v>1418</v>
      </c>
      <c r="C534" s="28" t="s">
        <v>150</v>
      </c>
      <c r="D534" s="29">
        <v>942.0</v>
      </c>
      <c r="E534" s="28" t="s">
        <v>1418</v>
      </c>
      <c r="F534" s="7" t="str">
        <f>IFERROR(__xludf.DUMMYFUNCTION("GOOGLETRANSLATE(B534:B5064,""en"",""fr"")"),"vingt")</f>
        <v>vingt</v>
      </c>
    </row>
    <row r="535" ht="19.5" customHeight="1">
      <c r="A535" s="26" t="s">
        <v>1419</v>
      </c>
      <c r="B535" s="27" t="s">
        <v>1420</v>
      </c>
      <c r="C535" s="28" t="s">
        <v>178</v>
      </c>
      <c r="D535" s="29">
        <v>939.0</v>
      </c>
      <c r="E535" s="28" t="s">
        <v>1421</v>
      </c>
      <c r="F535" s="7" t="str">
        <f>IFERROR(__xludf.DUMMYFUNCTION("GOOGLETRANSLATE(B535:B5064,""en"",""fr"")"),"pied")</f>
        <v>pied</v>
      </c>
    </row>
    <row r="536" ht="19.5" customHeight="1">
      <c r="A536" s="26" t="s">
        <v>1422</v>
      </c>
      <c r="B536" s="27" t="s">
        <v>1423</v>
      </c>
      <c r="C536" s="28" t="s">
        <v>150</v>
      </c>
      <c r="D536" s="29">
        <v>939.0</v>
      </c>
      <c r="E536" s="28" t="s">
        <v>1423</v>
      </c>
      <c r="F536" s="7" t="str">
        <f>IFERROR(__xludf.DUMMYFUNCTION("GOOGLETRANSLATE(B536:B5064,""en"",""fr"")"),"Sept")</f>
        <v>Sept</v>
      </c>
    </row>
    <row r="537" ht="19.5" customHeight="1">
      <c r="A537" s="26" t="s">
        <v>1424</v>
      </c>
      <c r="B537" s="27" t="s">
        <v>1425</v>
      </c>
      <c r="C537" s="28" t="s">
        <v>32</v>
      </c>
      <c r="D537" s="29">
        <v>937.0</v>
      </c>
      <c r="E537" s="28" t="s">
        <v>1426</v>
      </c>
      <c r="F537" s="7" t="str">
        <f>IFERROR(__xludf.DUMMYFUNCTION("GOOGLETRANSLATE(B537:B5064,""en"",""fr"")"),"finition")</f>
        <v>finition</v>
      </c>
    </row>
    <row r="538" ht="19.5" customHeight="1">
      <c r="A538" s="26" t="s">
        <v>1427</v>
      </c>
      <c r="B538" s="27" t="s">
        <v>1428</v>
      </c>
      <c r="C538" s="28" t="s">
        <v>178</v>
      </c>
      <c r="D538" s="29">
        <v>936.0</v>
      </c>
      <c r="E538" s="28" t="s">
        <v>1429</v>
      </c>
      <c r="F538" s="7" t="str">
        <f>IFERROR(__xludf.DUMMYFUNCTION("GOOGLETRANSLATE(B538:B5064,""en"",""fr"")"),"gentilhomme")</f>
        <v>gentilhomme</v>
      </c>
    </row>
    <row r="539" ht="19.5" customHeight="1">
      <c r="A539" s="26" t="s">
        <v>1430</v>
      </c>
      <c r="B539" s="27" t="s">
        <v>901</v>
      </c>
      <c r="C539" s="28" t="s">
        <v>32</v>
      </c>
      <c r="D539" s="29">
        <v>935.0</v>
      </c>
      <c r="E539" s="28" t="s">
        <v>1431</v>
      </c>
      <c r="F539" s="7" t="str">
        <f>IFERROR(__xludf.DUMMYFUNCTION("GOOGLETRANSLATE(B539:B5064,""en"",""fr"")"),"main")</f>
        <v>main</v>
      </c>
    </row>
    <row r="540" ht="19.5" customHeight="1">
      <c r="A540" s="26" t="s">
        <v>1432</v>
      </c>
      <c r="B540" s="27" t="s">
        <v>1168</v>
      </c>
      <c r="C540" s="28" t="s">
        <v>32</v>
      </c>
      <c r="D540" s="29">
        <v>934.0</v>
      </c>
      <c r="E540" s="28" t="s">
        <v>1433</v>
      </c>
      <c r="F540" s="7" t="str">
        <f>IFERROR(__xludf.DUMMYFUNCTION("GOOGLETRANSLATE(B540:B5064,""en"",""fr"")"),"indiquer")</f>
        <v>indiquer</v>
      </c>
    </row>
    <row r="541" ht="19.5" customHeight="1">
      <c r="A541" s="26" t="s">
        <v>1434</v>
      </c>
      <c r="B541" s="27" t="s">
        <v>1435</v>
      </c>
      <c r="C541" s="28" t="s">
        <v>32</v>
      </c>
      <c r="D541" s="29">
        <v>933.0</v>
      </c>
      <c r="E541" s="28" t="s">
        <v>1436</v>
      </c>
      <c r="F541" s="7" t="str">
        <f>IFERROR(__xludf.DUMMYFUNCTION("GOOGLETRANSLATE(B541:B5064,""en"",""fr"")"),"souffler")</f>
        <v>souffler</v>
      </c>
    </row>
    <row r="542" ht="19.5" customHeight="1">
      <c r="A542" s="26" t="s">
        <v>1437</v>
      </c>
      <c r="B542" s="27" t="s">
        <v>1438</v>
      </c>
      <c r="C542" s="28" t="s">
        <v>134</v>
      </c>
      <c r="D542" s="29">
        <v>928.0</v>
      </c>
      <c r="E542" s="28" t="s">
        <v>1439</v>
      </c>
      <c r="F542" s="7" t="str">
        <f>IFERROR(__xludf.DUMMYFUNCTION("GOOGLETRANSLATE(B542:B5064,""en"",""fr"")"),"petit")</f>
        <v>petit</v>
      </c>
    </row>
    <row r="543" ht="19.5" customHeight="1">
      <c r="A543" s="26" t="s">
        <v>1440</v>
      </c>
      <c r="B543" s="27" t="s">
        <v>1441</v>
      </c>
      <c r="C543" s="28" t="s">
        <v>178</v>
      </c>
      <c r="D543" s="29">
        <v>928.0</v>
      </c>
      <c r="E543" s="28" t="s">
        <v>1442</v>
      </c>
      <c r="F543" s="7" t="str">
        <f>IFERROR(__xludf.DUMMYFUNCTION("GOOGLETRANSLATE(B543:B5064,""en"",""fr"")"),"inquiéter")</f>
        <v>inquiéter</v>
      </c>
    </row>
    <row r="544" ht="19.5" customHeight="1">
      <c r="A544" s="26" t="s">
        <v>1443</v>
      </c>
      <c r="B544" s="27" t="s">
        <v>1444</v>
      </c>
      <c r="C544" s="28" t="s">
        <v>178</v>
      </c>
      <c r="D544" s="29">
        <v>922.0</v>
      </c>
      <c r="E544" s="28" t="s">
        <v>1445</v>
      </c>
      <c r="F544" s="7" t="str">
        <f>IFERROR(__xludf.DUMMYFUNCTION("GOOGLETRANSLATE(B544:B5064,""en"",""fr"")"),"ma chérie")</f>
        <v>ma chérie</v>
      </c>
    </row>
    <row r="545" ht="19.5" customHeight="1">
      <c r="A545" s="26" t="s">
        <v>1446</v>
      </c>
      <c r="B545" s="27" t="s">
        <v>1447</v>
      </c>
      <c r="C545" s="28" t="s">
        <v>32</v>
      </c>
      <c r="D545" s="29">
        <v>917.0</v>
      </c>
      <c r="E545" s="28" t="s">
        <v>1448</v>
      </c>
      <c r="F545" s="7" t="str">
        <f>IFERROR(__xludf.DUMMYFUNCTION("GOOGLETRANSLATE(B545:B5064,""en"",""fr"")"),"chanter")</f>
        <v>chanter</v>
      </c>
    </row>
    <row r="546" ht="19.5" customHeight="1">
      <c r="A546" s="26" t="s">
        <v>1449</v>
      </c>
      <c r="B546" s="27" t="s">
        <v>1450</v>
      </c>
      <c r="C546" s="28" t="s">
        <v>32</v>
      </c>
      <c r="D546" s="29">
        <v>915.0</v>
      </c>
      <c r="E546" s="28" t="s">
        <v>1451</v>
      </c>
      <c r="F546" s="7" t="str">
        <f>IFERROR(__xludf.DUMMYFUNCTION("GOOGLETRANSLATE(B546:B5064,""en"",""fr"")"),"passer")</f>
        <v>passer</v>
      </c>
    </row>
    <row r="547" ht="19.5" customHeight="1">
      <c r="A547" s="26" t="s">
        <v>1452</v>
      </c>
      <c r="B547" s="27" t="s">
        <v>1453</v>
      </c>
      <c r="C547" s="28" t="s">
        <v>32</v>
      </c>
      <c r="D547" s="29">
        <v>914.0</v>
      </c>
      <c r="E547" s="28" t="s">
        <v>1454</v>
      </c>
      <c r="F547" s="7" t="str">
        <f>IFERROR(__xludf.DUMMYFUNCTION("GOOGLETRANSLATE(B547:B5064,""en"",""fr"")"),"battre")</f>
        <v>battre</v>
      </c>
    </row>
    <row r="548" ht="19.5" customHeight="1">
      <c r="A548" s="26" t="s">
        <v>1455</v>
      </c>
      <c r="B548" s="27" t="s">
        <v>1456</v>
      </c>
      <c r="C548" s="28" t="s">
        <v>178</v>
      </c>
      <c r="D548" s="29">
        <v>913.0</v>
      </c>
      <c r="E548" s="28" t="s">
        <v>1457</v>
      </c>
      <c r="F548" s="7" t="str">
        <f>IFERROR(__xludf.DUMMYFUNCTION("GOOGLETRANSLATE(B548:B5064,""en"",""fr"")"),"morceau")</f>
        <v>morceau</v>
      </c>
    </row>
    <row r="549" ht="19.5" customHeight="1">
      <c r="A549" s="26" t="s">
        <v>1458</v>
      </c>
      <c r="B549" s="27" t="s">
        <v>1459</v>
      </c>
      <c r="C549" s="28" t="s">
        <v>178</v>
      </c>
      <c r="D549" s="29">
        <v>913.0</v>
      </c>
      <c r="E549" s="28" t="s">
        <v>1460</v>
      </c>
      <c r="F549" s="7" t="str">
        <f>IFERROR(__xludf.DUMMYFUNCTION("GOOGLETRANSLATE(B549:B5064,""en"",""fr"")"),"chaussure")</f>
        <v>chaussure</v>
      </c>
    </row>
    <row r="550" ht="19.5" customHeight="1">
      <c r="A550" s="26" t="s">
        <v>1461</v>
      </c>
      <c r="B550" s="27" t="s">
        <v>1462</v>
      </c>
      <c r="C550" s="28" t="s">
        <v>134</v>
      </c>
      <c r="D550" s="29">
        <v>911.0</v>
      </c>
      <c r="E550" s="28" t="s">
        <v>1462</v>
      </c>
      <c r="F550" s="7" t="str">
        <f>IFERROR(__xludf.DUMMYFUNCTION("GOOGLETRANSLATE(B550:B5064,""en"",""fr"")"),"accueillir")</f>
        <v>accueillir</v>
      </c>
    </row>
    <row r="551" ht="19.5" customHeight="1">
      <c r="A551" s="26" t="s">
        <v>1463</v>
      </c>
      <c r="B551" s="27" t="s">
        <v>1464</v>
      </c>
      <c r="C551" s="28" t="s">
        <v>178</v>
      </c>
      <c r="D551" s="29">
        <v>908.0</v>
      </c>
      <c r="E551" s="28" t="s">
        <v>1465</v>
      </c>
      <c r="F551" s="7" t="str">
        <f>IFERROR(__xludf.DUMMYFUNCTION("GOOGLETRANSLATE(B551:B5064,""en"",""fr"")"),"Dieu")</f>
        <v>Dieu</v>
      </c>
    </row>
    <row r="552" ht="19.5" customHeight="1">
      <c r="A552" s="26" t="s">
        <v>1466</v>
      </c>
      <c r="B552" s="27" t="s">
        <v>1467</v>
      </c>
      <c r="C552" s="28" t="s">
        <v>134</v>
      </c>
      <c r="D552" s="29">
        <v>901.0</v>
      </c>
      <c r="E552" s="28" t="s">
        <v>1468</v>
      </c>
      <c r="F552" s="7" t="str">
        <f>IFERROR(__xludf.DUMMYFUNCTION("GOOGLETRANSLATE(B552:B5064,""en"",""fr"")"),"blanc")</f>
        <v>blanc</v>
      </c>
    </row>
    <row r="553" ht="19.5" customHeight="1">
      <c r="A553" s="26" t="s">
        <v>1469</v>
      </c>
      <c r="B553" s="27" t="s">
        <v>1470</v>
      </c>
      <c r="C553" s="28" t="s">
        <v>32</v>
      </c>
      <c r="D553" s="29">
        <v>900.0</v>
      </c>
      <c r="E553" s="28" t="s">
        <v>1471</v>
      </c>
      <c r="F553" s="7" t="str">
        <f>IFERROR(__xludf.DUMMYFUNCTION("GOOGLETRANSLATE(B553:B5064,""en"",""fr"")"),"coup")</f>
        <v>coup</v>
      </c>
    </row>
    <row r="554" ht="19.5" customHeight="1">
      <c r="A554" s="26" t="s">
        <v>1472</v>
      </c>
      <c r="B554" s="27" t="s">
        <v>1473</v>
      </c>
      <c r="C554" s="28" t="s">
        <v>178</v>
      </c>
      <c r="D554" s="29">
        <v>899.0</v>
      </c>
      <c r="E554" s="28" t="s">
        <v>1474</v>
      </c>
      <c r="F554" s="7" t="str">
        <f>IFERROR(__xludf.DUMMYFUNCTION("GOOGLETRANSLATE(B554:B5064,""en"",""fr"")"),"sac")</f>
        <v>sac</v>
      </c>
    </row>
    <row r="555" ht="19.5" customHeight="1">
      <c r="A555" s="26" t="s">
        <v>1475</v>
      </c>
      <c r="B555" s="27" t="s">
        <v>1325</v>
      </c>
      <c r="C555" s="28" t="s">
        <v>178</v>
      </c>
      <c r="D555" s="29">
        <v>895.0</v>
      </c>
      <c r="E555" s="28" t="s">
        <v>1476</v>
      </c>
      <c r="F555" s="7" t="str">
        <f>IFERROR(__xludf.DUMMYFUNCTION("GOOGLETRANSLATE(B555:B5064,""en"",""fr"")"),"feu")</f>
        <v>feu</v>
      </c>
    </row>
    <row r="556" ht="19.5" customHeight="1">
      <c r="A556" s="26" t="s">
        <v>1477</v>
      </c>
      <c r="B556" s="27" t="s">
        <v>1478</v>
      </c>
      <c r="C556" s="28" t="s">
        <v>134</v>
      </c>
      <c r="D556" s="29">
        <v>892.0</v>
      </c>
      <c r="E556" s="28" t="s">
        <v>1479</v>
      </c>
      <c r="F556" s="7" t="str">
        <f>IFERROR(__xludf.DUMMYFUNCTION("GOOGLETRANSLATE(B556:B5064,""en"",""fr"")"),"tôt")</f>
        <v>tôt</v>
      </c>
    </row>
    <row r="557" ht="19.5" customHeight="1">
      <c r="A557" s="26" t="s">
        <v>1480</v>
      </c>
      <c r="B557" s="27" t="s">
        <v>1481</v>
      </c>
      <c r="C557" s="28" t="s">
        <v>32</v>
      </c>
      <c r="D557" s="29">
        <v>892.0</v>
      </c>
      <c r="E557" s="28" t="s">
        <v>1482</v>
      </c>
      <c r="F557" s="7" t="str">
        <f>IFERROR(__xludf.DUMMYFUNCTION("GOOGLETRANSLATE(B557:B5064,""en"",""fr"")"),"exciter")</f>
        <v>exciter</v>
      </c>
    </row>
    <row r="558" ht="19.5" customHeight="1">
      <c r="A558" s="26" t="s">
        <v>1483</v>
      </c>
      <c r="B558" s="27" t="s">
        <v>1484</v>
      </c>
      <c r="C558" s="28" t="s">
        <v>134</v>
      </c>
      <c r="D558" s="29">
        <v>890.0</v>
      </c>
      <c r="E558" s="28" t="s">
        <v>1484</v>
      </c>
      <c r="F558" s="7" t="str">
        <f>IFERROR(__xludf.DUMMYFUNCTION("GOOGLETRANSLATE(B558:B5064,""en"",""fr"")"),"merveilleux")</f>
        <v>merveilleux</v>
      </c>
    </row>
    <row r="559" ht="19.5" customHeight="1">
      <c r="A559" s="26" t="s">
        <v>1485</v>
      </c>
      <c r="B559" s="27" t="s">
        <v>1486</v>
      </c>
      <c r="C559" s="28" t="s">
        <v>100</v>
      </c>
      <c r="D559" s="29">
        <v>885.0</v>
      </c>
      <c r="E559" s="28" t="s">
        <v>1486</v>
      </c>
      <c r="F559" s="7" t="str">
        <f>IFERROR(__xludf.DUMMYFUNCTION("GOOGLETRANSLATE(B559:B5064,""en"",""fr"")"),"sérieusement")</f>
        <v>sérieusement</v>
      </c>
    </row>
    <row r="560" ht="19.5" customHeight="1">
      <c r="A560" s="26" t="s">
        <v>1487</v>
      </c>
      <c r="B560" s="27" t="s">
        <v>1488</v>
      </c>
      <c r="C560" s="28" t="s">
        <v>178</v>
      </c>
      <c r="D560" s="29">
        <v>883.0</v>
      </c>
      <c r="E560" s="28" t="s">
        <v>1489</v>
      </c>
      <c r="F560" s="7" t="str">
        <f>IFERROR(__xludf.DUMMYFUNCTION("GOOGLETRANSLATE(B560:B5064,""en"",""fr"")"),"pays")</f>
        <v>pays</v>
      </c>
    </row>
    <row r="561" ht="19.5" customHeight="1">
      <c r="A561" s="26" t="s">
        <v>1490</v>
      </c>
      <c r="B561" s="27" t="s">
        <v>1491</v>
      </c>
      <c r="C561" s="28" t="s">
        <v>178</v>
      </c>
      <c r="D561" s="29">
        <v>883.0</v>
      </c>
      <c r="E561" s="28" t="s">
        <v>1492</v>
      </c>
      <c r="F561" s="7" t="str">
        <f>IFERROR(__xludf.DUMMYFUNCTION("GOOGLETRANSLATE(B561:B5064,""en"",""fr"")"),"bouche")</f>
        <v>bouche</v>
      </c>
    </row>
    <row r="562" ht="19.5" customHeight="1">
      <c r="A562" s="26" t="s">
        <v>1493</v>
      </c>
      <c r="B562" s="27" t="s">
        <v>1156</v>
      </c>
      <c r="C562" s="28" t="s">
        <v>32</v>
      </c>
      <c r="D562" s="29">
        <v>883.0</v>
      </c>
      <c r="E562" s="28" t="s">
        <v>1494</v>
      </c>
      <c r="F562" s="7" t="str">
        <f>IFERROR(__xludf.DUMMYFUNCTION("GOOGLETRANSLATE(B562:B5064,""en"",""fr"")"),"question")</f>
        <v>question</v>
      </c>
    </row>
    <row r="563" ht="19.5" customHeight="1">
      <c r="A563" s="26" t="s">
        <v>1495</v>
      </c>
      <c r="B563" s="27" t="s">
        <v>1496</v>
      </c>
      <c r="C563" s="28" t="s">
        <v>134</v>
      </c>
      <c r="D563" s="29">
        <v>879.0</v>
      </c>
      <c r="E563" s="28" t="s">
        <v>1497</v>
      </c>
      <c r="F563" s="7" t="str">
        <f>IFERROR(__xludf.DUMMYFUNCTION("GOOGLETRANSLATE(B563:B5064,""en"",""fr"")"),"cher")</f>
        <v>cher</v>
      </c>
    </row>
    <row r="564" ht="19.5" customHeight="1">
      <c r="A564" s="26" t="s">
        <v>1498</v>
      </c>
      <c r="B564" s="27" t="s">
        <v>1499</v>
      </c>
      <c r="C564" s="28" t="s">
        <v>100</v>
      </c>
      <c r="D564" s="29">
        <v>879.0</v>
      </c>
      <c r="E564" s="28" t="s">
        <v>1499</v>
      </c>
      <c r="F564" s="7" t="str">
        <f>IFERROR(__xludf.DUMMYFUNCTION("GOOGLETRANSLATE(B564:B5064,""en"",""fr"")"),"assez")</f>
        <v>assez</v>
      </c>
    </row>
    <row r="565" ht="19.5" customHeight="1">
      <c r="A565" s="26" t="s">
        <v>1500</v>
      </c>
      <c r="B565" s="27" t="s">
        <v>1501</v>
      </c>
      <c r="C565" s="28" t="s">
        <v>134</v>
      </c>
      <c r="D565" s="29">
        <v>876.0</v>
      </c>
      <c r="E565" s="28" t="s">
        <v>1502</v>
      </c>
      <c r="F565" s="7" t="str">
        <f>IFERROR(__xludf.DUMMYFUNCTION("GOOGLETRANSLATE(B565:B5064,""en"",""fr"")"),"intelligent")</f>
        <v>intelligent</v>
      </c>
    </row>
    <row r="566" ht="19.5" customHeight="1">
      <c r="A566" s="26" t="s">
        <v>1503</v>
      </c>
      <c r="B566" s="27" t="s">
        <v>1504</v>
      </c>
      <c r="C566" s="28" t="s">
        <v>178</v>
      </c>
      <c r="D566" s="29">
        <v>875.0</v>
      </c>
      <c r="E566" s="28" t="s">
        <v>1505</v>
      </c>
      <c r="F566" s="7" t="str">
        <f>IFERROR(__xludf.DUMMYFUNCTION("GOOGLETRANSLATE(B566:B5064,""en"",""fr"")"),"mari")</f>
        <v>mari</v>
      </c>
    </row>
    <row r="567" ht="19.5" customHeight="1">
      <c r="A567" s="26" t="s">
        <v>1506</v>
      </c>
      <c r="B567" s="27" t="s">
        <v>1507</v>
      </c>
      <c r="C567" s="28" t="s">
        <v>85</v>
      </c>
      <c r="D567" s="29">
        <v>874.0</v>
      </c>
      <c r="E567" s="28" t="s">
        <v>1508</v>
      </c>
      <c r="F567" s="7" t="str">
        <f>IFERROR(__xludf.DUMMYFUNCTION("GOOGLETRANSLATE(B567:B5064,""en"",""fr"")"),"shh")</f>
        <v>shh</v>
      </c>
    </row>
    <row r="568" ht="19.5" customHeight="1">
      <c r="A568" s="26" t="s">
        <v>1509</v>
      </c>
      <c r="B568" s="27" t="s">
        <v>1510</v>
      </c>
      <c r="C568" s="28" t="s">
        <v>32</v>
      </c>
      <c r="D568" s="29">
        <v>873.0</v>
      </c>
      <c r="E568" s="28" t="s">
        <v>1511</v>
      </c>
      <c r="F568" s="7" t="str">
        <f>IFERROR(__xludf.DUMMYFUNCTION("GOOGLETRANSLATE(B568:B5064,""en"",""fr"")"),"inviter")</f>
        <v>inviter</v>
      </c>
    </row>
    <row r="569" ht="19.5" customHeight="1">
      <c r="A569" s="26" t="s">
        <v>1512</v>
      </c>
      <c r="B569" s="27" t="s">
        <v>1513</v>
      </c>
      <c r="C569" s="28" t="s">
        <v>178</v>
      </c>
      <c r="D569" s="29">
        <v>871.0</v>
      </c>
      <c r="E569" s="28" t="s">
        <v>1514</v>
      </c>
      <c r="F569" s="7" t="str">
        <f>IFERROR(__xludf.DUMMYFUNCTION("GOOGLETRANSLATE(B569:B5064,""en"",""fr"")"),"repos")</f>
        <v>repos</v>
      </c>
    </row>
    <row r="570" ht="19.5" customHeight="1">
      <c r="A570" s="26" t="s">
        <v>1515</v>
      </c>
      <c r="B570" s="27" t="s">
        <v>1516</v>
      </c>
      <c r="C570" s="28" t="s">
        <v>36</v>
      </c>
      <c r="D570" s="29">
        <v>871.0</v>
      </c>
      <c r="E570" s="28" t="s">
        <v>1516</v>
      </c>
      <c r="F570" s="7" t="str">
        <f>IFERROR(__xludf.DUMMYFUNCTION("GOOGLETRANSLATE(B570:B5064,""en"",""fr"")"),"le vôtre")</f>
        <v>le vôtre</v>
      </c>
    </row>
    <row r="571" ht="19.5" customHeight="1">
      <c r="A571" s="26" t="s">
        <v>1517</v>
      </c>
      <c r="B571" s="27" t="s">
        <v>1518</v>
      </c>
      <c r="C571" s="28" t="s">
        <v>36</v>
      </c>
      <c r="D571" s="29">
        <v>866.0</v>
      </c>
      <c r="E571" s="28" t="s">
        <v>1518</v>
      </c>
      <c r="F571" s="7" t="str">
        <f>IFERROR(__xludf.DUMMYFUNCTION("GOOGLETRANSLATE(B571:B5064,""en"",""fr"")"),"derrière")</f>
        <v>derrière</v>
      </c>
    </row>
    <row r="572" ht="19.5" customHeight="1">
      <c r="A572" s="26" t="s">
        <v>1519</v>
      </c>
      <c r="B572" s="27" t="s">
        <v>1520</v>
      </c>
      <c r="C572" s="28" t="s">
        <v>178</v>
      </c>
      <c r="D572" s="29">
        <v>865.0</v>
      </c>
      <c r="E572" s="28" t="s">
        <v>1521</v>
      </c>
      <c r="F572" s="7" t="str">
        <f>IFERROR(__xludf.DUMMYFUNCTION("GOOGLETRANSLATE(B572:B5064,""en"",""fr"")"),"clé")</f>
        <v>clé</v>
      </c>
    </row>
    <row r="573" ht="19.5" customHeight="1">
      <c r="A573" s="26" t="s">
        <v>1522</v>
      </c>
      <c r="B573" s="27" t="s">
        <v>1040</v>
      </c>
      <c r="C573" s="28" t="s">
        <v>178</v>
      </c>
      <c r="D573" s="29">
        <v>864.0</v>
      </c>
      <c r="E573" s="28" t="s">
        <v>1523</v>
      </c>
      <c r="F573" s="7" t="str">
        <f>IFERROR(__xludf.DUMMYFUNCTION("GOOGLETRANSLATE(B573:B5064,""en"",""fr"")"),"fin")</f>
        <v>fin</v>
      </c>
    </row>
    <row r="574" ht="19.5" customHeight="1">
      <c r="A574" s="26" t="s">
        <v>1524</v>
      </c>
      <c r="B574" s="27" t="s">
        <v>1525</v>
      </c>
      <c r="C574" s="28" t="s">
        <v>32</v>
      </c>
      <c r="D574" s="29">
        <v>860.0</v>
      </c>
      <c r="E574" s="28" t="s">
        <v>1526</v>
      </c>
      <c r="F574" s="7" t="str">
        <f>IFERROR(__xludf.DUMMYFUNCTION("GOOGLETRANSLATE(B574:B5064,""en"",""fr"")"),"robe")</f>
        <v>robe</v>
      </c>
    </row>
    <row r="575" ht="19.5" customHeight="1">
      <c r="A575" s="26" t="s">
        <v>1527</v>
      </c>
      <c r="B575" s="27" t="s">
        <v>1528</v>
      </c>
      <c r="C575" s="28" t="s">
        <v>134</v>
      </c>
      <c r="D575" s="29">
        <v>859.0</v>
      </c>
      <c r="E575" s="28" t="s">
        <v>1529</v>
      </c>
      <c r="F575" s="7" t="str">
        <f>IFERROR(__xludf.DUMMYFUNCTION("GOOGLETRANSLATE(B575:B5064,""en"",""fr"")"),"rouge")</f>
        <v>rouge</v>
      </c>
    </row>
    <row r="576" ht="19.5" customHeight="1">
      <c r="A576" s="26" t="s">
        <v>1530</v>
      </c>
      <c r="B576" s="27" t="s">
        <v>1531</v>
      </c>
      <c r="C576" s="28" t="s">
        <v>32</v>
      </c>
      <c r="D576" s="29">
        <v>858.0</v>
      </c>
      <c r="E576" s="28" t="s">
        <v>1532</v>
      </c>
      <c r="F576" s="7" t="str">
        <f>IFERROR(__xludf.DUMMYFUNCTION("GOOGLETRANSLATE(B576:B5064,""en"",""fr"")"),"rire")</f>
        <v>rire</v>
      </c>
    </row>
    <row r="577" ht="19.5" customHeight="1">
      <c r="A577" s="26" t="s">
        <v>1533</v>
      </c>
      <c r="B577" s="27" t="s">
        <v>442</v>
      </c>
      <c r="C577" s="28" t="s">
        <v>178</v>
      </c>
      <c r="D577" s="29">
        <v>854.0</v>
      </c>
      <c r="E577" s="28" t="s">
        <v>442</v>
      </c>
      <c r="F577" s="7" t="str">
        <f>IFERROR(__xludf.DUMMYFUNCTION("GOOGLETRANSLATE(B577:B5064,""en"",""fr"")"),"aide")</f>
        <v>aide</v>
      </c>
    </row>
    <row r="578" ht="19.5" customHeight="1">
      <c r="A578" s="26" t="s">
        <v>1534</v>
      </c>
      <c r="B578" s="27" t="s">
        <v>1535</v>
      </c>
      <c r="C578" s="28" t="s">
        <v>32</v>
      </c>
      <c r="D578" s="29">
        <v>853.0</v>
      </c>
      <c r="E578" s="28" t="s">
        <v>1536</v>
      </c>
      <c r="F578" s="7" t="str">
        <f>IFERROR(__xludf.DUMMYFUNCTION("GOOGLETRANSLATE(B578:B5064,""en"",""fr"")"),"accepter")</f>
        <v>accepter</v>
      </c>
    </row>
    <row r="579" ht="19.5" customHeight="1">
      <c r="A579" s="26" t="s">
        <v>1537</v>
      </c>
      <c r="B579" s="27" t="s">
        <v>1538</v>
      </c>
      <c r="C579" s="28" t="s">
        <v>178</v>
      </c>
      <c r="D579" s="29">
        <v>853.0</v>
      </c>
      <c r="E579" s="28" t="s">
        <v>1539</v>
      </c>
      <c r="F579" s="7" t="str">
        <f>IFERROR(__xludf.DUMMYFUNCTION("GOOGLETRANSLATE(B579:B5064,""en"",""fr"")"),"machine")</f>
        <v>machine</v>
      </c>
    </row>
    <row r="580" ht="19.5" customHeight="1">
      <c r="A580" s="26" t="s">
        <v>1540</v>
      </c>
      <c r="B580" s="27" t="s">
        <v>1541</v>
      </c>
      <c r="C580" s="28" t="s">
        <v>100</v>
      </c>
      <c r="D580" s="29">
        <v>850.0</v>
      </c>
      <c r="E580" s="28" t="s">
        <v>1541</v>
      </c>
      <c r="F580" s="7" t="str">
        <f>IFERROR(__xludf.DUMMYFUNCTION("GOOGLETRANSLATE(B580:B5064,""en"",""fr"")"),"ouais")</f>
        <v>ouais</v>
      </c>
    </row>
    <row r="581" ht="19.5" customHeight="1">
      <c r="A581" s="26" t="s">
        <v>1542</v>
      </c>
      <c r="B581" s="27" t="s">
        <v>1543</v>
      </c>
      <c r="C581" s="28" t="s">
        <v>32</v>
      </c>
      <c r="D581" s="29">
        <v>847.0</v>
      </c>
      <c r="E581" s="28" t="s">
        <v>1544</v>
      </c>
      <c r="F581" s="7" t="str">
        <f>IFERROR(__xludf.DUMMYFUNCTION("GOOGLETRANSLATE(B581:B5064,""en"",""fr"")"),"retour")</f>
        <v>retour</v>
      </c>
    </row>
    <row r="582" ht="19.5" customHeight="1">
      <c r="A582" s="26" t="s">
        <v>1545</v>
      </c>
      <c r="B582" s="27" t="s">
        <v>1546</v>
      </c>
      <c r="C582" s="28" t="s">
        <v>178</v>
      </c>
      <c r="D582" s="29">
        <v>844.0</v>
      </c>
      <c r="E582" s="28" t="s">
        <v>1547</v>
      </c>
      <c r="F582" s="7" t="str">
        <f>IFERROR(__xludf.DUMMYFUNCTION("GOOGLETRANSLATE(B582:B5064,""en"",""fr"")"),"espace")</f>
        <v>espace</v>
      </c>
    </row>
    <row r="583" ht="19.5" customHeight="1">
      <c r="A583" s="26" t="s">
        <v>1548</v>
      </c>
      <c r="B583" s="27" t="s">
        <v>1549</v>
      </c>
      <c r="C583" s="28" t="s">
        <v>134</v>
      </c>
      <c r="D583" s="29">
        <v>841.0</v>
      </c>
      <c r="E583" s="28" t="s">
        <v>1550</v>
      </c>
      <c r="F583" s="7" t="str">
        <f>IFERROR(__xludf.DUMMYFUNCTION("GOOGLETRANSLATE(B583:B5064,""en"",""fr"")"),"fou")</f>
        <v>fou</v>
      </c>
    </row>
    <row r="584" ht="19.5" customHeight="1">
      <c r="A584" s="26" t="s">
        <v>1551</v>
      </c>
      <c r="B584" s="27" t="s">
        <v>1552</v>
      </c>
      <c r="C584" s="28" t="s">
        <v>178</v>
      </c>
      <c r="D584" s="29">
        <v>837.0</v>
      </c>
      <c r="E584" s="28" t="s">
        <v>1553</v>
      </c>
      <c r="F584" s="7" t="str">
        <f>IFERROR(__xludf.DUMMYFUNCTION("GOOGLETRANSLATE(B584:B5064,""en"",""fr"")"),"vérité")</f>
        <v>vérité</v>
      </c>
    </row>
    <row r="585" ht="19.5" customHeight="1">
      <c r="A585" s="26" t="s">
        <v>1554</v>
      </c>
      <c r="B585" s="27" t="s">
        <v>1555</v>
      </c>
      <c r="C585" s="28" t="s">
        <v>178</v>
      </c>
      <c r="D585" s="29">
        <v>834.0</v>
      </c>
      <c r="E585" s="28" t="s">
        <v>1556</v>
      </c>
      <c r="F585" s="7" t="str">
        <f>IFERROR(__xludf.DUMMYFUNCTION("GOOGLETRANSLATE(B585:B5064,""en"",""fr"")"),"glace")</f>
        <v>glace</v>
      </c>
    </row>
    <row r="586" ht="19.5" customHeight="1">
      <c r="A586" s="26" t="s">
        <v>1557</v>
      </c>
      <c r="B586" s="27" t="s">
        <v>1558</v>
      </c>
      <c r="C586" s="28" t="s">
        <v>32</v>
      </c>
      <c r="D586" s="29">
        <v>833.0</v>
      </c>
      <c r="E586" s="28" t="s">
        <v>1559</v>
      </c>
      <c r="F586" s="7" t="str">
        <f>IFERROR(__xludf.DUMMYFUNCTION("GOOGLETRANSLATE(B586:B5064,""en"",""fr"")"),"suivre")</f>
        <v>suivre</v>
      </c>
    </row>
    <row r="587" ht="19.5" customHeight="1">
      <c r="A587" s="26" t="s">
        <v>1560</v>
      </c>
      <c r="B587" s="27" t="s">
        <v>1561</v>
      </c>
      <c r="C587" s="28" t="s">
        <v>36</v>
      </c>
      <c r="D587" s="29">
        <v>828.0</v>
      </c>
      <c r="E587" s="28" t="s">
        <v>1561</v>
      </c>
      <c r="F587" s="7" t="str">
        <f>IFERROR(__xludf.DUMMYFUNCTION("GOOGLETRANSLATE(B587:B5064,""en"",""fr"")"),"dehors")</f>
        <v>dehors</v>
      </c>
    </row>
    <row r="588" ht="19.5" customHeight="1">
      <c r="A588" s="26" t="s">
        <v>1562</v>
      </c>
      <c r="B588" s="27" t="s">
        <v>1563</v>
      </c>
      <c r="C588" s="28" t="s">
        <v>178</v>
      </c>
      <c r="D588" s="29">
        <v>827.0</v>
      </c>
      <c r="E588" s="28" t="s">
        <v>1564</v>
      </c>
      <c r="F588" s="7" t="str">
        <f>IFERROR(__xludf.DUMMYFUNCTION("GOOGLETRANSLATE(B588:B5064,""en"",""fr"")"),"idiot")</f>
        <v>idiot</v>
      </c>
    </row>
    <row r="589" ht="19.5" customHeight="1">
      <c r="A589" s="26" t="s">
        <v>1565</v>
      </c>
      <c r="B589" s="27" t="s">
        <v>1566</v>
      </c>
      <c r="C589" s="28" t="s">
        <v>178</v>
      </c>
      <c r="D589" s="29">
        <v>826.0</v>
      </c>
      <c r="E589" s="28" t="s">
        <v>1567</v>
      </c>
      <c r="F589" s="7" t="str">
        <f>IFERROR(__xludf.DUMMYFUNCTION("GOOGLETRANSLATE(B589:B5064,""en"",""fr"")"),"règle")</f>
        <v>règle</v>
      </c>
    </row>
    <row r="590" ht="19.5" customHeight="1">
      <c r="A590" s="26" t="s">
        <v>1568</v>
      </c>
      <c r="B590" s="27" t="s">
        <v>1569</v>
      </c>
      <c r="C590" s="28" t="s">
        <v>100</v>
      </c>
      <c r="D590" s="29">
        <v>825.0</v>
      </c>
      <c r="E590" s="28" t="s">
        <v>1569</v>
      </c>
      <c r="F590" s="7" t="str">
        <f>IFERROR(__xludf.DUMMYFUNCTION("GOOGLETRANSLATE(B590:B5064,""en"",""fr"")"),"absolument")</f>
        <v>absolument</v>
      </c>
    </row>
    <row r="591" ht="19.5" customHeight="1">
      <c r="A591" s="26" t="s">
        <v>1570</v>
      </c>
      <c r="B591" s="27" t="s">
        <v>844</v>
      </c>
      <c r="C591" s="28" t="s">
        <v>100</v>
      </c>
      <c r="D591" s="29">
        <v>824.0</v>
      </c>
      <c r="E591" s="28" t="s">
        <v>844</v>
      </c>
      <c r="F591" s="7" t="str">
        <f>IFERROR(__xludf.DUMMYFUNCTION("GOOGLETRANSLATE(B591:B5064,""en"",""fr"")"),"suivant")</f>
        <v>suivant</v>
      </c>
    </row>
    <row r="592" ht="19.5" customHeight="1">
      <c r="A592" s="26" t="s">
        <v>1571</v>
      </c>
      <c r="B592" s="27" t="s">
        <v>1572</v>
      </c>
      <c r="C592" s="28" t="s">
        <v>36</v>
      </c>
      <c r="D592" s="29">
        <v>821.0</v>
      </c>
      <c r="E592" s="28" t="s">
        <v>1572</v>
      </c>
      <c r="F592" s="7" t="str">
        <f>IFERROR(__xludf.DUMMYFUNCTION("GOOGLETRANSLATE(B592:B5064,""en"",""fr"")"),"contre")</f>
        <v>contre</v>
      </c>
    </row>
    <row r="593" ht="19.5" customHeight="1">
      <c r="A593" s="26" t="s">
        <v>1573</v>
      </c>
      <c r="B593" s="27" t="s">
        <v>1574</v>
      </c>
      <c r="C593" s="28" t="s">
        <v>728</v>
      </c>
      <c r="D593" s="29">
        <v>821.0</v>
      </c>
      <c r="E593" s="28" t="s">
        <v>1575</v>
      </c>
      <c r="F593" s="7" t="str">
        <f>IFERROR(__xludf.DUMMYFUNCTION("GOOGLETRANSLATE(B593:B5064,""en"",""fr"")"),"Américain")</f>
        <v>Américain</v>
      </c>
    </row>
    <row r="594" ht="19.5" customHeight="1">
      <c r="A594" s="26" t="s">
        <v>1576</v>
      </c>
      <c r="B594" s="27" t="s">
        <v>251</v>
      </c>
      <c r="C594" s="28" t="s">
        <v>178</v>
      </c>
      <c r="D594" s="29">
        <v>820.0</v>
      </c>
      <c r="E594" s="28" t="s">
        <v>1577</v>
      </c>
      <c r="F594" s="7" t="str">
        <f>IFERROR(__xludf.DUMMYFUNCTION("GOOGLETRANSLATE(B594:B5064,""en"",""fr"")"),"besoin")</f>
        <v>besoin</v>
      </c>
    </row>
    <row r="595" ht="19.5" customHeight="1">
      <c r="A595" s="26" t="s">
        <v>1578</v>
      </c>
      <c r="B595" s="27" t="s">
        <v>1579</v>
      </c>
      <c r="C595" s="28" t="s">
        <v>32</v>
      </c>
      <c r="D595" s="29">
        <v>819.0</v>
      </c>
      <c r="E595" s="28" t="s">
        <v>1580</v>
      </c>
      <c r="F595" s="7" t="str">
        <f>IFERROR(__xludf.DUMMYFUNCTION("GOOGLETRANSLATE(B595:B5064,""en"",""fr"")"),"effrayer")</f>
        <v>effrayer</v>
      </c>
    </row>
    <row r="596" ht="19.5" customHeight="1">
      <c r="A596" s="26" t="s">
        <v>1581</v>
      </c>
      <c r="B596" s="27" t="s">
        <v>1582</v>
      </c>
      <c r="C596" s="28" t="s">
        <v>32</v>
      </c>
      <c r="D596" s="29">
        <v>812.0</v>
      </c>
      <c r="E596" s="28" t="s">
        <v>1583</v>
      </c>
      <c r="F596" s="7" t="str">
        <f>IFERROR(__xludf.DUMMYFUNCTION("GOOGLETRANSLATE(B596:B5064,""en"",""fr"")"),"avis")</f>
        <v>avis</v>
      </c>
    </row>
    <row r="597" ht="19.5" customHeight="1">
      <c r="A597" s="26" t="s">
        <v>1584</v>
      </c>
      <c r="B597" s="27" t="s">
        <v>1585</v>
      </c>
      <c r="C597" s="28" t="s">
        <v>178</v>
      </c>
      <c r="D597" s="29">
        <v>811.0</v>
      </c>
      <c r="E597" s="28" t="s">
        <v>1586</v>
      </c>
      <c r="F597" s="7" t="str">
        <f>IFERROR(__xludf.DUMMYFUNCTION("GOOGLETRANSLATE(B597:B5064,""en"",""fr"")"),"poulet")</f>
        <v>poulet</v>
      </c>
    </row>
    <row r="598" ht="19.5" customHeight="1">
      <c r="A598" s="26" t="s">
        <v>1587</v>
      </c>
      <c r="B598" s="27" t="s">
        <v>1588</v>
      </c>
      <c r="C598" s="28" t="s">
        <v>32</v>
      </c>
      <c r="D598" s="29">
        <v>811.0</v>
      </c>
      <c r="E598" s="28" t="s">
        <v>1589</v>
      </c>
      <c r="F598" s="7" t="str">
        <f>IFERROR(__xludf.DUMMYFUNCTION("GOOGLETRANSLATE(B598:B5064,""en"",""fr"")"),"monter")</f>
        <v>monter</v>
      </c>
    </row>
    <row r="599" ht="19.5" customHeight="1">
      <c r="A599" s="26" t="s">
        <v>1590</v>
      </c>
      <c r="B599" s="27" t="s">
        <v>1591</v>
      </c>
      <c r="C599" s="28" t="s">
        <v>178</v>
      </c>
      <c r="D599" s="29">
        <v>809.0</v>
      </c>
      <c r="E599" s="28" t="s">
        <v>1591</v>
      </c>
      <c r="F599" s="7" t="str">
        <f>IFERROR(__xludf.DUMMYFUNCTION("GOOGLETRANSLATE(B599:B5064,""en"",""fr"")"),"musique")</f>
        <v>musique</v>
      </c>
    </row>
    <row r="600" ht="19.5" customHeight="1">
      <c r="A600" s="26" t="s">
        <v>1592</v>
      </c>
      <c r="B600" s="27" t="s">
        <v>1593</v>
      </c>
      <c r="C600" s="28" t="s">
        <v>32</v>
      </c>
      <c r="D600" s="29">
        <v>808.0</v>
      </c>
      <c r="E600" s="28" t="s">
        <v>1594</v>
      </c>
      <c r="F600" s="7" t="str">
        <f>IFERROR(__xludf.DUMMYFUNCTION("GOOGLETRANSLATE(B600:B5064,""en"",""fr"")"),"rejoindre")</f>
        <v>rejoindre</v>
      </c>
    </row>
    <row r="601" ht="19.5" customHeight="1">
      <c r="A601" s="26" t="s">
        <v>1595</v>
      </c>
      <c r="B601" s="27" t="s">
        <v>844</v>
      </c>
      <c r="C601" s="28" t="s">
        <v>36</v>
      </c>
      <c r="D601" s="29">
        <v>808.0</v>
      </c>
      <c r="E601" s="28" t="s">
        <v>844</v>
      </c>
      <c r="F601" s="7" t="str">
        <f>IFERROR(__xludf.DUMMYFUNCTION("GOOGLETRANSLATE(B601:B5064,""en"",""fr"")"),"suivant")</f>
        <v>suivant</v>
      </c>
    </row>
    <row r="602" ht="19.5" customHeight="1">
      <c r="A602" s="26" t="s">
        <v>1596</v>
      </c>
      <c r="B602" s="27" t="s">
        <v>1597</v>
      </c>
      <c r="C602" s="28" t="s">
        <v>85</v>
      </c>
      <c r="D602" s="29">
        <v>806.0</v>
      </c>
      <c r="E602" s="28" t="s">
        <v>1598</v>
      </c>
      <c r="F602" s="7" t="str">
        <f>IFERROR(__xludf.DUMMYFUNCTION("GOOGLETRANSLATE(B602:B5064,""en"",""fr"")"),"au revoir")</f>
        <v>au revoir</v>
      </c>
    </row>
    <row r="603" ht="19.5" customHeight="1">
      <c r="A603" s="26" t="s">
        <v>1599</v>
      </c>
      <c r="B603" s="27" t="s">
        <v>1600</v>
      </c>
      <c r="C603" s="28" t="s">
        <v>32</v>
      </c>
      <c r="D603" s="29">
        <v>806.0</v>
      </c>
      <c r="E603" s="28" t="s">
        <v>1601</v>
      </c>
      <c r="F603" s="7" t="str">
        <f>IFERROR(__xludf.DUMMYFUNCTION("GOOGLETRANSLATE(B603:B5064,""en"",""fr"")"),"ruine")</f>
        <v>ruine</v>
      </c>
    </row>
    <row r="604" ht="19.5" customHeight="1">
      <c r="A604" s="26" t="s">
        <v>1602</v>
      </c>
      <c r="B604" s="27" t="s">
        <v>1603</v>
      </c>
      <c r="C604" s="28" t="s">
        <v>178</v>
      </c>
      <c r="D604" s="29">
        <v>801.0</v>
      </c>
      <c r="E604" s="28" t="s">
        <v>1604</v>
      </c>
      <c r="F604" s="7" t="str">
        <f>IFERROR(__xludf.DUMMYFUNCTION("GOOGLETRANSLATE(B604:B5064,""en"",""fr"")"),"guerre")</f>
        <v>guerre</v>
      </c>
    </row>
    <row r="605" ht="19.5" customHeight="1">
      <c r="A605" s="26" t="s">
        <v>1605</v>
      </c>
      <c r="B605" s="27" t="s">
        <v>1606</v>
      </c>
      <c r="C605" s="28" t="s">
        <v>32</v>
      </c>
      <c r="D605" s="29">
        <v>800.0</v>
      </c>
      <c r="E605" s="28" t="s">
        <v>1607</v>
      </c>
      <c r="F605" s="7" t="str">
        <f>IFERROR(__xludf.DUMMYFUNCTION("GOOGLETRANSLATE(B605:B5064,""en"",""fr"")"),"vis")</f>
        <v>vis</v>
      </c>
    </row>
    <row r="606" ht="19.5" customHeight="1">
      <c r="A606" s="26" t="s">
        <v>1608</v>
      </c>
      <c r="B606" s="27" t="s">
        <v>1609</v>
      </c>
      <c r="C606" s="28" t="s">
        <v>178</v>
      </c>
      <c r="D606" s="29">
        <v>797.0</v>
      </c>
      <c r="E606" s="28" t="s">
        <v>1610</v>
      </c>
      <c r="F606" s="7" t="str">
        <f>IFERROR(__xludf.DUMMYFUNCTION("GOOGLETRANSLATE(B606:B5064,""en"",""fr"")"),"lumière")</f>
        <v>lumière</v>
      </c>
    </row>
    <row r="607" ht="19.5" customHeight="1">
      <c r="A607" s="26" t="s">
        <v>1611</v>
      </c>
      <c r="B607" s="27" t="s">
        <v>1612</v>
      </c>
      <c r="C607" s="28" t="s">
        <v>36</v>
      </c>
      <c r="D607" s="29">
        <v>790.0</v>
      </c>
      <c r="E607" s="28" t="s">
        <v>1612</v>
      </c>
      <c r="F607" s="7" t="str">
        <f>IFERROR(__xludf.DUMMYFUNCTION("GOOGLETRANSLATE(B607:B5064,""en"",""fr"")"),"le long de")</f>
        <v>le long de</v>
      </c>
    </row>
    <row r="608" ht="19.5" customHeight="1">
      <c r="A608" s="26" t="s">
        <v>1613</v>
      </c>
      <c r="B608" s="27" t="s">
        <v>1614</v>
      </c>
      <c r="C608" s="28" t="s">
        <v>134</v>
      </c>
      <c r="D608" s="29">
        <v>790.0</v>
      </c>
      <c r="E608" s="28" t="s">
        <v>1615</v>
      </c>
      <c r="F608" s="7" t="str">
        <f>IFERROR(__xludf.DUMMYFUNCTION("GOOGLETRANSLATE(B608:B5064,""en"",""fr"")"),"pauvre")</f>
        <v>pauvre</v>
      </c>
    </row>
    <row r="609" ht="19.5" customHeight="1">
      <c r="A609" s="26" t="s">
        <v>1616</v>
      </c>
      <c r="B609" s="27" t="s">
        <v>1617</v>
      </c>
      <c r="C609" s="28" t="s">
        <v>178</v>
      </c>
      <c r="D609" s="29">
        <v>789.0</v>
      </c>
      <c r="E609" s="28" t="s">
        <v>1618</v>
      </c>
      <c r="F609" s="7" t="str">
        <f>IFERROR(__xludf.DUMMYFUNCTION("GOOGLETRANSLATE(B609:B5064,""en"",""fr"")"),"sens")</f>
        <v>sens</v>
      </c>
    </row>
    <row r="610" ht="19.5" customHeight="1">
      <c r="A610" s="26" t="s">
        <v>1619</v>
      </c>
      <c r="B610" s="27" t="s">
        <v>1620</v>
      </c>
      <c r="C610" s="28" t="s">
        <v>134</v>
      </c>
      <c r="D610" s="29">
        <v>788.0</v>
      </c>
      <c r="E610" s="28" t="s">
        <v>1621</v>
      </c>
      <c r="F610" s="7" t="str">
        <f>IFERROR(__xludf.DUMMYFUNCTION("GOOGLETRANSLATE(B610:B5064,""en"",""fr"")"),"capable")</f>
        <v>capable</v>
      </c>
    </row>
    <row r="611" ht="19.5" customHeight="1">
      <c r="A611" s="26" t="s">
        <v>1622</v>
      </c>
      <c r="B611" s="27" t="s">
        <v>1340</v>
      </c>
      <c r="C611" s="28" t="s">
        <v>178</v>
      </c>
      <c r="D611" s="29">
        <v>783.0</v>
      </c>
      <c r="E611" s="28" t="s">
        <v>1623</v>
      </c>
      <c r="F611" s="7" t="str">
        <f>IFERROR(__xludf.DUMMYFUNCTION("GOOGLETRANSLATE(B611:B5064,""en"",""fr"")"),"matière")</f>
        <v>matière</v>
      </c>
    </row>
    <row r="612" ht="19.5" customHeight="1">
      <c r="A612" s="26" t="s">
        <v>1624</v>
      </c>
      <c r="B612" s="27" t="s">
        <v>1625</v>
      </c>
      <c r="C612" s="28" t="s">
        <v>178</v>
      </c>
      <c r="D612" s="29">
        <v>783.0</v>
      </c>
      <c r="E612" s="28" t="s">
        <v>1626</v>
      </c>
      <c r="F612" s="7" t="str">
        <f>IFERROR(__xludf.DUMMYFUNCTION("GOOGLETRANSLATE(B612:B5064,""en"",""fr"")"),"secrète")</f>
        <v>secrète</v>
      </c>
    </row>
    <row r="613" ht="19.5" customHeight="1">
      <c r="A613" s="26" t="s">
        <v>1627</v>
      </c>
      <c r="B613" s="27" t="s">
        <v>1628</v>
      </c>
      <c r="C613" s="28" t="s">
        <v>32</v>
      </c>
      <c r="D613" s="29">
        <v>780.0</v>
      </c>
      <c r="E613" s="28" t="s">
        <v>1629</v>
      </c>
      <c r="F613" s="7" t="str">
        <f>IFERROR(__xludf.DUMMYFUNCTION("GOOGLETRANSLATE(B613:B5064,""en"",""fr"")"),"voler")</f>
        <v>voler</v>
      </c>
    </row>
    <row r="614" ht="19.5" customHeight="1">
      <c r="A614" s="26" t="s">
        <v>1630</v>
      </c>
      <c r="B614" s="27" t="s">
        <v>1631</v>
      </c>
      <c r="C614" s="28" t="s">
        <v>178</v>
      </c>
      <c r="D614" s="29">
        <v>780.0</v>
      </c>
      <c r="E614" s="28" t="s">
        <v>1632</v>
      </c>
      <c r="F614" s="7" t="str">
        <f>IFERROR(__xludf.DUMMYFUNCTION("GOOGLETRANSLATE(B614:B5064,""en"",""fr"")"),"haut")</f>
        <v>haut</v>
      </c>
    </row>
    <row r="615" ht="19.5" customHeight="1">
      <c r="A615" s="26" t="s">
        <v>1633</v>
      </c>
      <c r="B615" s="27" t="s">
        <v>338</v>
      </c>
      <c r="C615" s="28" t="s">
        <v>100</v>
      </c>
      <c r="D615" s="29">
        <v>779.0</v>
      </c>
      <c r="E615" s="28" t="s">
        <v>338</v>
      </c>
      <c r="F615" s="7" t="str">
        <f>IFERROR(__xludf.DUMMYFUNCTION("GOOGLETRANSLATE(B615:B5064,""en"",""fr"")"),"bien sûr")</f>
        <v>bien sûr</v>
      </c>
    </row>
    <row r="616" ht="19.5" customHeight="1">
      <c r="A616" s="26" t="s">
        <v>1634</v>
      </c>
      <c r="B616" s="27" t="s">
        <v>1635</v>
      </c>
      <c r="C616" s="28" t="s">
        <v>134</v>
      </c>
      <c r="D616" s="29">
        <v>777.0</v>
      </c>
      <c r="E616" s="28" t="s">
        <v>1636</v>
      </c>
      <c r="F616" s="7" t="str">
        <f>IFERROR(__xludf.DUMMYFUNCTION("GOOGLETRANSLATE(B616:B5064,""en"",""fr"")"),"équitable")</f>
        <v>équitable</v>
      </c>
    </row>
    <row r="617" ht="19.5" customHeight="1">
      <c r="A617" s="26" t="s">
        <v>1637</v>
      </c>
      <c r="B617" s="27" t="s">
        <v>1638</v>
      </c>
      <c r="C617" s="28" t="s">
        <v>32</v>
      </c>
      <c r="D617" s="29">
        <v>776.0</v>
      </c>
      <c r="E617" s="28" t="s">
        <v>1639</v>
      </c>
      <c r="F617" s="7" t="str">
        <f>IFERROR(__xludf.DUMMYFUNCTION("GOOGLETRANSLATE(B617:B5064,""en"",""fr"")"),"se détendre")</f>
        <v>se détendre</v>
      </c>
    </row>
    <row r="618" ht="19.5" customHeight="1">
      <c r="A618" s="26" t="s">
        <v>1640</v>
      </c>
      <c r="B618" s="27" t="s">
        <v>1641</v>
      </c>
      <c r="C618" s="28" t="s">
        <v>178</v>
      </c>
      <c r="D618" s="29">
        <v>774.0</v>
      </c>
      <c r="E618" s="28" t="s">
        <v>1642</v>
      </c>
      <c r="F618" s="7" t="str">
        <f>IFERROR(__xludf.DUMMYFUNCTION("GOOGLETRANSLATE(B618:B5064,""en"",""fr"")"),"petit ami")</f>
        <v>petit ami</v>
      </c>
    </row>
    <row r="619" ht="19.5" customHeight="1">
      <c r="A619" s="26" t="s">
        <v>1643</v>
      </c>
      <c r="B619" s="27" t="s">
        <v>1384</v>
      </c>
      <c r="C619" s="28" t="s">
        <v>178</v>
      </c>
      <c r="D619" s="29">
        <v>773.0</v>
      </c>
      <c r="E619" s="28" t="s">
        <v>1644</v>
      </c>
      <c r="F619" s="7" t="str">
        <f>IFERROR(__xludf.DUMMYFUNCTION("GOOGLETRANSLATE(B619:B5064,""en"",""fr"")"),"plan")</f>
        <v>plan</v>
      </c>
    </row>
    <row r="620" ht="19.5" customHeight="1">
      <c r="A620" s="26" t="s">
        <v>1645</v>
      </c>
      <c r="B620" s="27" t="s">
        <v>1646</v>
      </c>
      <c r="C620" s="28" t="s">
        <v>178</v>
      </c>
      <c r="D620" s="29">
        <v>771.0</v>
      </c>
      <c r="E620" s="28" t="s">
        <v>1647</v>
      </c>
      <c r="F620" s="7" t="str">
        <f>IFERROR(__xludf.DUMMYFUNCTION("GOOGLETRANSLATE(B620:B5064,""en"",""fr"")"),"erreur")</f>
        <v>erreur</v>
      </c>
    </row>
    <row r="621" ht="19.5" customHeight="1">
      <c r="A621" s="26" t="s">
        <v>1648</v>
      </c>
      <c r="B621" s="27" t="s">
        <v>1649</v>
      </c>
      <c r="C621" s="28" t="s">
        <v>178</v>
      </c>
      <c r="D621" s="29">
        <v>769.0</v>
      </c>
      <c r="E621" s="28" t="s">
        <v>1649</v>
      </c>
      <c r="F621" s="7" t="str">
        <f>IFERROR(__xludf.DUMMYFUNCTION("GOOGLETRANSLATE(B621:B5064,""en"",""fr"")"),"chance")</f>
        <v>chance</v>
      </c>
    </row>
    <row r="622" ht="19.5" customHeight="1">
      <c r="A622" s="26" t="s">
        <v>1650</v>
      </c>
      <c r="B622" s="27" t="s">
        <v>1651</v>
      </c>
      <c r="C622" s="28" t="s">
        <v>178</v>
      </c>
      <c r="D622" s="29">
        <v>766.0</v>
      </c>
      <c r="E622" s="28" t="s">
        <v>1652</v>
      </c>
      <c r="F622" s="7" t="str">
        <f>IFERROR(__xludf.DUMMYFUNCTION("GOOGLETRANSLATE(B622:B5064,""en"",""fr"")"),"groupe")</f>
        <v>groupe</v>
      </c>
    </row>
    <row r="623" ht="19.5" customHeight="1">
      <c r="A623" s="26" t="s">
        <v>1653</v>
      </c>
      <c r="B623" s="27" t="s">
        <v>1654</v>
      </c>
      <c r="C623" s="28" t="s">
        <v>178</v>
      </c>
      <c r="D623" s="29">
        <v>759.0</v>
      </c>
      <c r="E623" s="28" t="s">
        <v>1655</v>
      </c>
      <c r="F623" s="7" t="str">
        <f>IFERROR(__xludf.DUMMYFUNCTION("GOOGLETRANSLATE(B623:B5064,""en"",""fr"")"),"fille")</f>
        <v>fille</v>
      </c>
    </row>
    <row r="624" ht="19.5" customHeight="1">
      <c r="A624" s="26" t="s">
        <v>1656</v>
      </c>
      <c r="B624" s="27" t="s">
        <v>1657</v>
      </c>
      <c r="C624" s="28" t="s">
        <v>178</v>
      </c>
      <c r="D624" s="29">
        <v>757.0</v>
      </c>
      <c r="E624" s="28" t="s">
        <v>1658</v>
      </c>
      <c r="F624" s="7" t="str">
        <f>IFERROR(__xludf.DUMMYFUNCTION("GOOGLETRANSLATE(B624:B5064,""en"",""fr"")"),"collège")</f>
        <v>collège</v>
      </c>
    </row>
    <row r="625" ht="19.5" customHeight="1">
      <c r="A625" s="26" t="s">
        <v>1659</v>
      </c>
      <c r="B625" s="27" t="s">
        <v>1660</v>
      </c>
      <c r="C625" s="28" t="s">
        <v>178</v>
      </c>
      <c r="D625" s="29">
        <v>757.0</v>
      </c>
      <c r="E625" s="28" t="s">
        <v>1661</v>
      </c>
      <c r="F625" s="7" t="str">
        <f>IFERROR(__xludf.DUMMYFUNCTION("GOOGLETRANSLATE(B625:B5064,""en"",""fr"")"),"président")</f>
        <v>président</v>
      </c>
    </row>
    <row r="626" ht="19.5" customHeight="1">
      <c r="A626" s="26" t="s">
        <v>1662</v>
      </c>
      <c r="B626" s="27" t="s">
        <v>1663</v>
      </c>
      <c r="C626" s="28" t="s">
        <v>100</v>
      </c>
      <c r="D626" s="29">
        <v>754.0</v>
      </c>
      <c r="E626" s="28" t="s">
        <v>1664</v>
      </c>
      <c r="F626" s="7" t="str">
        <f>IFERROR(__xludf.DUMMYFUNCTION("GOOGLETRANSLATE(B626:B5064,""en"",""fr"")"),"loin")</f>
        <v>loin</v>
      </c>
    </row>
    <row r="627" ht="19.5" customHeight="1">
      <c r="A627" s="26" t="s">
        <v>1665</v>
      </c>
      <c r="B627" s="27" t="s">
        <v>1666</v>
      </c>
      <c r="C627" s="28" t="s">
        <v>32</v>
      </c>
      <c r="D627" s="29">
        <v>754.0</v>
      </c>
      <c r="E627" s="28" t="s">
        <v>1667</v>
      </c>
      <c r="F627" s="7" t="str">
        <f>IFERROR(__xludf.DUMMYFUNCTION("GOOGLETRANSLATE(B627:B5064,""en"",""fr"")"),"signe")</f>
        <v>signe</v>
      </c>
    </row>
    <row r="628" ht="19.5" customHeight="1">
      <c r="A628" s="26" t="s">
        <v>1668</v>
      </c>
      <c r="B628" s="27" t="s">
        <v>1268</v>
      </c>
      <c r="C628" s="28" t="s">
        <v>32</v>
      </c>
      <c r="D628" s="29">
        <v>753.0</v>
      </c>
      <c r="E628" s="28" t="s">
        <v>1669</v>
      </c>
      <c r="F628" s="7" t="str">
        <f>IFERROR(__xludf.DUMMYFUNCTION("GOOGLETRANSLATE(B628:B5064,""en"",""fr"")"),"fermer")</f>
        <v>fermer</v>
      </c>
    </row>
    <row r="629" ht="19.5" customHeight="1">
      <c r="A629" s="26" t="s">
        <v>1670</v>
      </c>
      <c r="B629" s="27" t="s">
        <v>1671</v>
      </c>
      <c r="C629" s="28" t="s">
        <v>178</v>
      </c>
      <c r="D629" s="29">
        <v>748.0</v>
      </c>
      <c r="E629" s="28" t="s">
        <v>1672</v>
      </c>
      <c r="F629" s="7" t="str">
        <f>IFERROR(__xludf.DUMMYFUNCTION("GOOGLETRANSLATE(B629:B5064,""en"",""fr"")"),"message")</f>
        <v>message</v>
      </c>
    </row>
    <row r="630" ht="19.5" customHeight="1">
      <c r="A630" s="26" t="s">
        <v>1673</v>
      </c>
      <c r="B630" s="27" t="s">
        <v>1674</v>
      </c>
      <c r="C630" s="28" t="s">
        <v>32</v>
      </c>
      <c r="D630" s="29">
        <v>747.0</v>
      </c>
      <c r="E630" s="28" t="s">
        <v>1675</v>
      </c>
      <c r="F630" s="7" t="str">
        <f>IFERROR(__xludf.DUMMYFUNCTION("GOOGLETRANSLATE(B630:B5064,""en"",""fr"")"),"monstre")</f>
        <v>monstre</v>
      </c>
    </row>
    <row r="631" ht="19.5" customHeight="1">
      <c r="A631" s="26" t="s">
        <v>1676</v>
      </c>
      <c r="B631" s="27" t="s">
        <v>1677</v>
      </c>
      <c r="C631" s="28" t="s">
        <v>178</v>
      </c>
      <c r="D631" s="29">
        <v>745.0</v>
      </c>
      <c r="E631" s="28" t="s">
        <v>1678</v>
      </c>
      <c r="F631" s="7" t="str">
        <f>IFERROR(__xludf.DUMMYFUNCTION("GOOGLETRANSLATE(B631:B5064,""en"",""fr"")"),"faute")</f>
        <v>faute</v>
      </c>
    </row>
    <row r="632" ht="19.5" customHeight="1">
      <c r="A632" s="26" t="s">
        <v>1679</v>
      </c>
      <c r="B632" s="27" t="s">
        <v>1680</v>
      </c>
      <c r="C632" s="28" t="s">
        <v>134</v>
      </c>
      <c r="D632" s="29">
        <v>744.0</v>
      </c>
      <c r="E632" s="28" t="s">
        <v>1681</v>
      </c>
      <c r="F632" s="7" t="str">
        <f>IFERROR(__xludf.DUMMYFUNCTION("GOOGLETRANSLATE(B632:B5064,""en"",""fr"")"),"rapide")</f>
        <v>rapide</v>
      </c>
    </row>
    <row r="633" ht="19.5" customHeight="1">
      <c r="A633" s="26" t="s">
        <v>1682</v>
      </c>
      <c r="B633" s="27" t="s">
        <v>1683</v>
      </c>
      <c r="C633" s="28" t="s">
        <v>36</v>
      </c>
      <c r="D633" s="29">
        <v>742.0</v>
      </c>
      <c r="E633" s="28" t="s">
        <v>1683</v>
      </c>
      <c r="F633" s="7" t="str">
        <f>IFERROR(__xludf.DUMMYFUNCTION("GOOGLETRANSLATE(B633:B5064,""en"",""fr"")"),"jusqu'à")</f>
        <v>jusqu'à</v>
      </c>
    </row>
    <row r="634" ht="19.5" customHeight="1">
      <c r="A634" s="26" t="s">
        <v>1684</v>
      </c>
      <c r="B634" s="27" t="s">
        <v>1685</v>
      </c>
      <c r="C634" s="28" t="s">
        <v>36</v>
      </c>
      <c r="D634" s="29">
        <v>738.0</v>
      </c>
      <c r="E634" s="28" t="s">
        <v>1685</v>
      </c>
      <c r="F634" s="7" t="str">
        <f>IFERROR(__xludf.DUMMYFUNCTION("GOOGLETRANSLATE(B634:B5064,""en"",""fr"")"),"sauf")</f>
        <v>sauf</v>
      </c>
    </row>
    <row r="635" ht="19.5" customHeight="1">
      <c r="A635" s="26" t="s">
        <v>1686</v>
      </c>
      <c r="B635" s="27" t="s">
        <v>1687</v>
      </c>
      <c r="C635" s="28" t="s">
        <v>134</v>
      </c>
      <c r="D635" s="29">
        <v>734.0</v>
      </c>
      <c r="E635" s="28" t="s">
        <v>1687</v>
      </c>
      <c r="F635" s="7" t="str">
        <f>IFERROR(__xludf.DUMMYFUNCTION("GOOGLETRANSLATE(B635:B5064,""en"",""fr"")"),"célibataire")</f>
        <v>célibataire</v>
      </c>
    </row>
    <row r="636" ht="19.5" customHeight="1">
      <c r="A636" s="26" t="s">
        <v>1688</v>
      </c>
      <c r="B636" s="27" t="s">
        <v>1689</v>
      </c>
      <c r="C636" s="28" t="s">
        <v>178</v>
      </c>
      <c r="D636" s="29">
        <v>733.0</v>
      </c>
      <c r="E636" s="28" t="s">
        <v>1690</v>
      </c>
      <c r="F636" s="7" t="str">
        <f>IFERROR(__xludf.DUMMYFUNCTION("GOOGLETRANSLATE(B636:B5064,""en"",""fr"")"),"chemise")</f>
        <v>chemise</v>
      </c>
    </row>
    <row r="637" ht="19.5" customHeight="1">
      <c r="A637" s="26" t="s">
        <v>1691</v>
      </c>
      <c r="B637" s="27" t="s">
        <v>1692</v>
      </c>
      <c r="C637" s="28" t="s">
        <v>178</v>
      </c>
      <c r="D637" s="29">
        <v>732.0</v>
      </c>
      <c r="E637" s="28" t="s">
        <v>1693</v>
      </c>
      <c r="F637" s="7" t="str">
        <f>IFERROR(__xludf.DUMMYFUNCTION("GOOGLETRANSLATE(B637:B5064,""en"",""fr"")"),"choix")</f>
        <v>choix</v>
      </c>
    </row>
    <row r="638" ht="19.5" customHeight="1">
      <c r="A638" s="26" t="s">
        <v>1694</v>
      </c>
      <c r="B638" s="27" t="s">
        <v>1695</v>
      </c>
      <c r="C638" s="28" t="s">
        <v>178</v>
      </c>
      <c r="D638" s="29">
        <v>730.0</v>
      </c>
      <c r="E638" s="28" t="s">
        <v>1695</v>
      </c>
      <c r="F638" s="7" t="str">
        <f>IFERROR(__xludf.DUMMYFUNCTION("GOOGLETRANSLATE(B638:B5064,""en"",""fr"")"),"attention")</f>
        <v>attention</v>
      </c>
    </row>
    <row r="639" ht="19.5" customHeight="1">
      <c r="A639" s="26" t="s">
        <v>1696</v>
      </c>
      <c r="B639" s="27" t="s">
        <v>1697</v>
      </c>
      <c r="C639" s="28" t="s">
        <v>178</v>
      </c>
      <c r="D639" s="29">
        <v>730.0</v>
      </c>
      <c r="E639" s="28" t="s">
        <v>1698</v>
      </c>
      <c r="F639" s="7" t="str">
        <f>IFERROR(__xludf.DUMMYFUNCTION("GOOGLETRANSLATE(B639:B5064,""en"",""fr"")"),"pouvoir")</f>
        <v>pouvoir</v>
      </c>
    </row>
    <row r="640" ht="19.5" customHeight="1">
      <c r="A640" s="26" t="s">
        <v>1699</v>
      </c>
      <c r="B640" s="27" t="s">
        <v>1700</v>
      </c>
      <c r="C640" s="28" t="s">
        <v>32</v>
      </c>
      <c r="D640" s="29">
        <v>729.0</v>
      </c>
      <c r="E640" s="28" t="s">
        <v>1701</v>
      </c>
      <c r="F640" s="7" t="str">
        <f>IFERROR(__xludf.DUMMYFUNCTION("GOOGLETRANSLATE(B640:B5064,""en"",""fr"")"),"quitter")</f>
        <v>quitter</v>
      </c>
    </row>
    <row r="641" ht="19.5" customHeight="1">
      <c r="A641" s="26" t="s">
        <v>1702</v>
      </c>
      <c r="B641" s="27" t="s">
        <v>1703</v>
      </c>
      <c r="C641" s="28" t="s">
        <v>178</v>
      </c>
      <c r="D641" s="29">
        <v>727.0</v>
      </c>
      <c r="E641" s="28" t="s">
        <v>1704</v>
      </c>
      <c r="F641" s="7" t="str">
        <f>IFERROR(__xludf.DUMMYFUNCTION("GOOGLETRANSLATE(B641:B5064,""en"",""fr"")"),"répondre")</f>
        <v>répondre</v>
      </c>
    </row>
    <row r="642" ht="19.5" customHeight="1">
      <c r="A642" s="26" t="s">
        <v>1705</v>
      </c>
      <c r="B642" s="27" t="s">
        <v>1706</v>
      </c>
      <c r="C642" s="28" t="s">
        <v>32</v>
      </c>
      <c r="D642" s="29">
        <v>727.0</v>
      </c>
      <c r="E642" s="28" t="s">
        <v>1707</v>
      </c>
      <c r="F642" s="7" t="str">
        <f>IFERROR(__xludf.DUMMYFUNCTION("GOOGLETRANSLATE(B642:B5064,""en"",""fr"")"),"confiance")</f>
        <v>confiance</v>
      </c>
    </row>
    <row r="643" ht="19.5" customHeight="1">
      <c r="A643" s="26" t="s">
        <v>1708</v>
      </c>
      <c r="B643" s="27" t="s">
        <v>1709</v>
      </c>
      <c r="C643" s="28" t="s">
        <v>150</v>
      </c>
      <c r="D643" s="29">
        <v>725.0</v>
      </c>
      <c r="E643" s="28" t="s">
        <v>1710</v>
      </c>
      <c r="F643" s="7" t="str">
        <f>IFERROR(__xludf.DUMMYFUNCTION("GOOGLETRANSLATE(B643:B5064,""en"",""fr"")"),"cinquante")</f>
        <v>cinquante</v>
      </c>
    </row>
    <row r="644" ht="19.5" customHeight="1">
      <c r="A644" s="26" t="s">
        <v>1711</v>
      </c>
      <c r="B644" s="27" t="s">
        <v>1712</v>
      </c>
      <c r="C644" s="28" t="s">
        <v>178</v>
      </c>
      <c r="D644" s="29">
        <v>725.0</v>
      </c>
      <c r="E644" s="28" t="s">
        <v>1713</v>
      </c>
      <c r="F644" s="7" t="str">
        <f>IFERROR(__xludf.DUMMYFUNCTION("GOOGLETRANSLATE(B644:B5064,""en"",""fr"")"),"jambe")</f>
        <v>jambe</v>
      </c>
    </row>
    <row r="645" ht="19.5" customHeight="1">
      <c r="A645" s="26" t="s">
        <v>1714</v>
      </c>
      <c r="B645" s="27" t="s">
        <v>1715</v>
      </c>
      <c r="C645" s="28" t="s">
        <v>32</v>
      </c>
      <c r="D645" s="29">
        <v>723.0</v>
      </c>
      <c r="E645" s="28" t="s">
        <v>1716</v>
      </c>
      <c r="F645" s="7" t="str">
        <f>IFERROR(__xludf.DUMMYFUNCTION("GOOGLETRANSLATE(B645:B5064,""en"",""fr"")"),"se réveiller")</f>
        <v>se réveiller</v>
      </c>
    </row>
    <row r="646" ht="19.5" customHeight="1">
      <c r="A646" s="26" t="s">
        <v>1717</v>
      </c>
      <c r="B646" s="27" t="s">
        <v>1718</v>
      </c>
      <c r="C646" s="28" t="s">
        <v>134</v>
      </c>
      <c r="D646" s="29">
        <v>717.0</v>
      </c>
      <c r="E646" s="28" t="s">
        <v>1718</v>
      </c>
      <c r="F646" s="7" t="str">
        <f>IFERROR(__xludf.DUMMYFUNCTION("GOOGLETRANSLATE(B646:B5064,""en"",""fr"")"),"humain")</f>
        <v>humain</v>
      </c>
    </row>
    <row r="647" ht="19.5" customHeight="1">
      <c r="A647" s="26" t="s">
        <v>1719</v>
      </c>
      <c r="B647" s="27" t="s">
        <v>1720</v>
      </c>
      <c r="C647" s="28" t="s">
        <v>178</v>
      </c>
      <c r="D647" s="29">
        <v>715.0</v>
      </c>
      <c r="E647" s="28" t="s">
        <v>1721</v>
      </c>
      <c r="F647" s="7" t="str">
        <f>IFERROR(__xludf.DUMMYFUNCTION("GOOGLETRANSLATE(B647:B5064,""en"",""fr"")"),"étoile")</f>
        <v>étoile</v>
      </c>
    </row>
    <row r="648" ht="19.5" customHeight="1">
      <c r="A648" s="26" t="s">
        <v>1722</v>
      </c>
      <c r="B648" s="27" t="s">
        <v>1723</v>
      </c>
      <c r="C648" s="28" t="s">
        <v>178</v>
      </c>
      <c r="D648" s="29">
        <v>713.0</v>
      </c>
      <c r="E648" s="28" t="s">
        <v>1724</v>
      </c>
      <c r="F648" s="7" t="str">
        <f>IFERROR(__xludf.DUMMYFUNCTION("GOOGLETRANSLATE(B648:B5064,""en"",""fr"")"),"étudiant")</f>
        <v>étudiant</v>
      </c>
    </row>
    <row r="649" ht="19.5" customHeight="1">
      <c r="A649" s="26" t="s">
        <v>1725</v>
      </c>
      <c r="B649" s="27" t="s">
        <v>1726</v>
      </c>
      <c r="C649" s="28" t="s">
        <v>178</v>
      </c>
      <c r="D649" s="29">
        <v>703.0</v>
      </c>
      <c r="E649" s="28" t="s">
        <v>1727</v>
      </c>
      <c r="F649" s="7" t="str">
        <f>IFERROR(__xludf.DUMMYFUNCTION("GOOGLETRANSLATE(B649:B5064,""en"",""fr"")"),"air")</f>
        <v>air</v>
      </c>
    </row>
    <row r="650" ht="19.5" customHeight="1">
      <c r="A650" s="26" t="s">
        <v>1728</v>
      </c>
      <c r="B650" s="27" t="s">
        <v>1729</v>
      </c>
      <c r="C650" s="28" t="s">
        <v>178</v>
      </c>
      <c r="D650" s="29">
        <v>700.0</v>
      </c>
      <c r="E650" s="28" t="s">
        <v>1730</v>
      </c>
      <c r="F650" s="7" t="str">
        <f>IFERROR(__xludf.DUMMYFUNCTION("GOOGLETRANSLATE(B650:B5064,""en"",""fr"")"),"chaise")</f>
        <v>chaise</v>
      </c>
    </row>
    <row r="651" ht="19.5" customHeight="1">
      <c r="A651" s="26" t="s">
        <v>1731</v>
      </c>
      <c r="B651" s="27" t="s">
        <v>1732</v>
      </c>
      <c r="C651" s="28" t="s">
        <v>178</v>
      </c>
      <c r="D651" s="29">
        <v>699.0</v>
      </c>
      <c r="E651" s="28" t="s">
        <v>1733</v>
      </c>
      <c r="F651" s="7" t="str">
        <f>IFERROR(__xludf.DUMMYFUNCTION("GOOGLETRANSLATE(B651:B5064,""en"",""fr"")"),"pistolet")</f>
        <v>pistolet</v>
      </c>
    </row>
    <row r="652" ht="19.5" customHeight="1">
      <c r="A652" s="26" t="s">
        <v>1734</v>
      </c>
      <c r="B652" s="27" t="s">
        <v>1735</v>
      </c>
      <c r="C652" s="28" t="s">
        <v>32</v>
      </c>
      <c r="D652" s="29">
        <v>692.0</v>
      </c>
      <c r="E652" s="28" t="s">
        <v>1736</v>
      </c>
      <c r="F652" s="7" t="str">
        <f>IFERROR(__xludf.DUMMYFUNCTION("GOOGLETRANSLATE(B652:B5064,""en"",""fr"")"),"commencer")</f>
        <v>commencer</v>
      </c>
    </row>
    <row r="653" ht="19.5" customHeight="1">
      <c r="A653" s="26" t="s">
        <v>1737</v>
      </c>
      <c r="B653" s="27" t="s">
        <v>1738</v>
      </c>
      <c r="C653" s="28" t="s">
        <v>178</v>
      </c>
      <c r="D653" s="29">
        <v>692.0</v>
      </c>
      <c r="E653" s="28" t="s">
        <v>1739</v>
      </c>
      <c r="F653" s="7" t="str">
        <f>IFERROR(__xludf.DUMMYFUNCTION("GOOGLETRANSLATE(B653:B5064,""en"",""fr"")"),"la mort")</f>
        <v>la mort</v>
      </c>
    </row>
    <row r="654" ht="19.5" customHeight="1">
      <c r="A654" s="26" t="s">
        <v>1740</v>
      </c>
      <c r="B654" s="27" t="s">
        <v>1741</v>
      </c>
      <c r="C654" s="28" t="s">
        <v>178</v>
      </c>
      <c r="D654" s="29">
        <v>692.0</v>
      </c>
      <c r="E654" s="28" t="s">
        <v>1742</v>
      </c>
      <c r="F654" s="7" t="str">
        <f>IFERROR(__xludf.DUMMYFUNCTION("GOOGLETRANSLATE(B654:B5064,""en"",""fr"")"),"arbre")</f>
        <v>arbre</v>
      </c>
    </row>
    <row r="655" ht="19.5" customHeight="1">
      <c r="A655" s="26" t="s">
        <v>1743</v>
      </c>
      <c r="B655" s="27" t="s">
        <v>1744</v>
      </c>
      <c r="C655" s="28" t="s">
        <v>178</v>
      </c>
      <c r="D655" s="29">
        <v>689.0</v>
      </c>
      <c r="E655" s="28" t="s">
        <v>1745</v>
      </c>
      <c r="F655" s="7" t="str">
        <f>IFERROR(__xludf.DUMMYFUNCTION("GOOGLETRANSLATE(B655:B5064,""en"",""fr"")"),"chef")</f>
        <v>chef</v>
      </c>
    </row>
    <row r="656" ht="19.5" customHeight="1">
      <c r="A656" s="26" t="s">
        <v>1746</v>
      </c>
      <c r="B656" s="27" t="s">
        <v>952</v>
      </c>
      <c r="C656" s="28" t="s">
        <v>178</v>
      </c>
      <c r="D656" s="29">
        <v>688.0</v>
      </c>
      <c r="E656" s="28" t="s">
        <v>1747</v>
      </c>
      <c r="F656" s="7" t="str">
        <f>IFERROR(__xludf.DUMMYFUNCTION("GOOGLETRANSLATE(B656:B5064,""en"",""fr"")"),"alors que")</f>
        <v>alors que</v>
      </c>
    </row>
    <row r="657" ht="19.5" customHeight="1">
      <c r="A657" s="26" t="s">
        <v>1748</v>
      </c>
      <c r="B657" s="27" t="s">
        <v>1749</v>
      </c>
      <c r="C657" s="28" t="s">
        <v>178</v>
      </c>
      <c r="D657" s="29">
        <v>687.0</v>
      </c>
      <c r="E657" s="28" t="s">
        <v>1750</v>
      </c>
      <c r="F657" s="7" t="str">
        <f>IFERROR(__xludf.DUMMYFUNCTION("GOOGLETRANSLATE(B657:B5064,""en"",""fr"")"),"présent")</f>
        <v>présent</v>
      </c>
    </row>
    <row r="658" ht="19.5" customHeight="1">
      <c r="A658" s="26" t="s">
        <v>1751</v>
      </c>
      <c r="B658" s="27" t="s">
        <v>1752</v>
      </c>
      <c r="C658" s="28" t="s">
        <v>100</v>
      </c>
      <c r="D658" s="29">
        <v>686.0</v>
      </c>
      <c r="E658" s="28" t="s">
        <v>1752</v>
      </c>
      <c r="F658" s="7" t="str">
        <f>IFERROR(__xludf.DUMMYFUNCTION("GOOGLETRANSLATE(B658:B5064,""en"",""fr"")"),"plutôt")</f>
        <v>plutôt</v>
      </c>
    </row>
    <row r="659" ht="19.5" customHeight="1">
      <c r="A659" s="26" t="s">
        <v>1753</v>
      </c>
      <c r="B659" s="27" t="s">
        <v>1754</v>
      </c>
      <c r="C659" s="28" t="s">
        <v>134</v>
      </c>
      <c r="D659" s="29">
        <v>682.0</v>
      </c>
      <c r="E659" s="28" t="s">
        <v>1755</v>
      </c>
      <c r="F659" s="7" t="str">
        <f>IFERROR(__xludf.DUMMYFUNCTION("GOOGLETRANSLATE(B659:B5064,""en"",""fr"")"),"chanceux")</f>
        <v>chanceux</v>
      </c>
    </row>
    <row r="660" ht="19.5" customHeight="1">
      <c r="A660" s="26" t="s">
        <v>1756</v>
      </c>
      <c r="B660" s="27" t="s">
        <v>1757</v>
      </c>
      <c r="C660" s="28" t="s">
        <v>134</v>
      </c>
      <c r="D660" s="29">
        <v>681.0</v>
      </c>
      <c r="E660" s="28" t="s">
        <v>1758</v>
      </c>
      <c r="F660" s="7" t="str">
        <f>IFERROR(__xludf.DUMMYFUNCTION("GOOGLETRANSLATE(B660:B5064,""en"",""fr"")"),"sûr")</f>
        <v>sûr</v>
      </c>
    </row>
    <row r="661" ht="19.5" customHeight="1">
      <c r="A661" s="26" t="s">
        <v>1759</v>
      </c>
      <c r="B661" s="27" t="s">
        <v>1760</v>
      </c>
      <c r="C661" s="28" t="s">
        <v>134</v>
      </c>
      <c r="D661" s="29">
        <v>678.0</v>
      </c>
      <c r="E661" s="28" t="s">
        <v>1761</v>
      </c>
      <c r="F661" s="7" t="str">
        <f>IFERROR(__xludf.DUMMYFUNCTION("GOOGLETRANSLATE(B661:B5064,""en"",""fr"")"),"froid")</f>
        <v>froid</v>
      </c>
    </row>
    <row r="662" ht="19.5" customHeight="1">
      <c r="A662" s="26" t="s">
        <v>1762</v>
      </c>
      <c r="B662" s="27" t="s">
        <v>1763</v>
      </c>
      <c r="C662" s="28" t="s">
        <v>85</v>
      </c>
      <c r="D662" s="29">
        <v>677.0</v>
      </c>
      <c r="E662" s="28" t="s">
        <v>1763</v>
      </c>
      <c r="F662" s="7" t="str">
        <f>IFERROR(__xludf.DUMMYFUNCTION("GOOGLETRANSLATE(B662:B5064,""en"",""fr"")"),"ahh")</f>
        <v>ahh</v>
      </c>
    </row>
    <row r="663" ht="19.5" customHeight="1">
      <c r="A663" s="26" t="s">
        <v>1764</v>
      </c>
      <c r="B663" s="27" t="s">
        <v>1765</v>
      </c>
      <c r="C663" s="28" t="s">
        <v>32</v>
      </c>
      <c r="D663" s="29">
        <v>676.0</v>
      </c>
      <c r="E663" s="28" t="s">
        <v>1766</v>
      </c>
      <c r="F663" s="7" t="str">
        <f>IFERROR(__xludf.DUMMYFUNCTION("GOOGLETRANSLATE(B663:B5064,""en"",""fr"")"),"expliquer")</f>
        <v>expliquer</v>
      </c>
    </row>
    <row r="664" ht="19.5" customHeight="1">
      <c r="A664" s="26" t="s">
        <v>1767</v>
      </c>
      <c r="B664" s="27" t="s">
        <v>1768</v>
      </c>
      <c r="C664" s="28" t="s">
        <v>178</v>
      </c>
      <c r="D664" s="29">
        <v>676.0</v>
      </c>
      <c r="E664" s="28" t="s">
        <v>1769</v>
      </c>
      <c r="F664" s="7" t="str">
        <f>IFERROR(__xludf.DUMMYFUNCTION("GOOGLETRANSLATE(B664:B5064,""en"",""fr"")"),"vidéo")</f>
        <v>vidéo</v>
      </c>
    </row>
    <row r="665" ht="19.5" customHeight="1">
      <c r="A665" s="26" t="s">
        <v>1770</v>
      </c>
      <c r="B665" s="27" t="s">
        <v>1771</v>
      </c>
      <c r="C665" s="28" t="s">
        <v>178</v>
      </c>
      <c r="D665" s="29">
        <v>675.0</v>
      </c>
      <c r="E665" s="28" t="s">
        <v>1772</v>
      </c>
      <c r="F665" s="7" t="str">
        <f>IFERROR(__xludf.DUMMYFUNCTION("GOOGLETRANSLATE(B665:B5064,""en"",""fr"")"),"cerveau")</f>
        <v>cerveau</v>
      </c>
    </row>
    <row r="666" ht="19.5" customHeight="1">
      <c r="A666" s="26" t="s">
        <v>1773</v>
      </c>
      <c r="B666" s="27" t="s">
        <v>1774</v>
      </c>
      <c r="C666" s="28" t="s">
        <v>100</v>
      </c>
      <c r="D666" s="29">
        <v>673.0</v>
      </c>
      <c r="E666" s="28" t="s">
        <v>1774</v>
      </c>
      <c r="F666" s="7" t="str">
        <f>IFERROR(__xludf.DUMMYFUNCTION("GOOGLETRANSLATE(B666:B5064,""en"",""fr"")"),"complètement")</f>
        <v>complètement</v>
      </c>
    </row>
    <row r="667" ht="19.5" customHeight="1">
      <c r="A667" s="26" t="s">
        <v>1775</v>
      </c>
      <c r="B667" s="27" t="s">
        <v>1776</v>
      </c>
      <c r="C667" s="28" t="s">
        <v>178</v>
      </c>
      <c r="D667" s="29">
        <v>673.0</v>
      </c>
      <c r="E667" s="28" t="s">
        <v>1777</v>
      </c>
      <c r="F667" s="7" t="str">
        <f>IFERROR(__xludf.DUMMYFUNCTION("GOOGLETRANSLATE(B667:B5064,""en"",""fr"")"),"voix")</f>
        <v>voix</v>
      </c>
    </row>
    <row r="668" ht="19.5" customHeight="1">
      <c r="A668" s="26" t="s">
        <v>1778</v>
      </c>
      <c r="B668" s="27" t="s">
        <v>1779</v>
      </c>
      <c r="C668" s="28" t="s">
        <v>178</v>
      </c>
      <c r="D668" s="29">
        <v>672.0</v>
      </c>
      <c r="E668" s="28" t="s">
        <v>1780</v>
      </c>
      <c r="F668" s="7" t="str">
        <f>IFERROR(__xludf.DUMMYFUNCTION("GOOGLETRANSLATE(B668:B5064,""en"",""fr"")"),"gâteau")</f>
        <v>gâteau</v>
      </c>
    </row>
    <row r="669" ht="19.5" customHeight="1">
      <c r="A669" s="26" t="s">
        <v>1781</v>
      </c>
      <c r="B669" s="27" t="s">
        <v>826</v>
      </c>
      <c r="C669" s="28" t="s">
        <v>178</v>
      </c>
      <c r="D669" s="29">
        <v>672.0</v>
      </c>
      <c r="E669" s="28" t="s">
        <v>1782</v>
      </c>
      <c r="F669" s="7" t="str">
        <f>IFERROR(__xludf.DUMMYFUNCTION("GOOGLETRANSLATE(B669:B5064,""en"",""fr"")"),"boire")</f>
        <v>boire</v>
      </c>
    </row>
    <row r="670" ht="19.5" customHeight="1">
      <c r="A670" s="26" t="s">
        <v>1783</v>
      </c>
      <c r="B670" s="27" t="s">
        <v>1784</v>
      </c>
      <c r="C670" s="28" t="s">
        <v>178</v>
      </c>
      <c r="D670" s="29">
        <v>671.0</v>
      </c>
      <c r="E670" s="28" t="s">
        <v>1785</v>
      </c>
      <c r="F670" s="7" t="str">
        <f>IFERROR(__xludf.DUMMYFUNCTION("GOOGLETRANSLATE(B670:B5064,""en"",""fr"")"),"voyage")</f>
        <v>voyage</v>
      </c>
    </row>
    <row r="671" ht="19.5" customHeight="1">
      <c r="A671" s="26" t="s">
        <v>1786</v>
      </c>
      <c r="B671" s="27" t="s">
        <v>1787</v>
      </c>
      <c r="C671" s="28" t="s">
        <v>178</v>
      </c>
      <c r="D671" s="29">
        <v>670.0</v>
      </c>
      <c r="E671" s="28" t="s">
        <v>1788</v>
      </c>
      <c r="F671" s="7" t="str">
        <f>IFERROR(__xludf.DUMMYFUNCTION("GOOGLETRANSLATE(B671:B5064,""en"",""fr"")"),"singe")</f>
        <v>singe</v>
      </c>
    </row>
    <row r="672" ht="19.5" customHeight="1">
      <c r="A672" s="26" t="s">
        <v>1789</v>
      </c>
      <c r="B672" s="27" t="s">
        <v>1790</v>
      </c>
      <c r="C672" s="28" t="s">
        <v>150</v>
      </c>
      <c r="D672" s="29">
        <v>669.0</v>
      </c>
      <c r="E672" s="28" t="s">
        <v>1791</v>
      </c>
      <c r="F672" s="7" t="str">
        <f>IFERROR(__xludf.DUMMYFUNCTION("GOOGLETRANSLATE(B672:B5064,""en"",""fr"")"),"cent")</f>
        <v>cent</v>
      </c>
    </row>
    <row r="673" ht="19.5" customHeight="1">
      <c r="A673" s="26" t="s">
        <v>1792</v>
      </c>
      <c r="B673" s="27" t="s">
        <v>1793</v>
      </c>
      <c r="C673" s="28" t="s">
        <v>32</v>
      </c>
      <c r="D673" s="29">
        <v>668.0</v>
      </c>
      <c r="E673" s="28" t="s">
        <v>1794</v>
      </c>
      <c r="F673" s="7" t="str">
        <f>IFERROR(__xludf.DUMMYFUNCTION("GOOGLETRANSLATE(B673:B5064,""en"",""fr"")"),"réparer")</f>
        <v>réparer</v>
      </c>
    </row>
    <row r="674" ht="19.5" customHeight="1">
      <c r="A674" s="26" t="s">
        <v>1795</v>
      </c>
      <c r="B674" s="27" t="s">
        <v>1796</v>
      </c>
      <c r="C674" s="28" t="s">
        <v>134</v>
      </c>
      <c r="D674" s="29">
        <v>667.0</v>
      </c>
      <c r="E674" s="28" t="s">
        <v>1796</v>
      </c>
      <c r="F674" s="7" t="str">
        <f>IFERROR(__xludf.DUMMYFUNCTION("GOOGLETRANSLATE(B674:B5064,""en"",""fr"")"),"entier")</f>
        <v>entier</v>
      </c>
    </row>
    <row r="675" ht="19.5" customHeight="1">
      <c r="A675" s="26" t="s">
        <v>1797</v>
      </c>
      <c r="B675" s="27" t="s">
        <v>1798</v>
      </c>
      <c r="C675" s="28" t="s">
        <v>32</v>
      </c>
      <c r="D675" s="29">
        <v>667.0</v>
      </c>
      <c r="E675" s="28" t="s">
        <v>1799</v>
      </c>
      <c r="F675" s="7" t="str">
        <f>IFERROR(__xludf.DUMMYFUNCTION("GOOGLETRANSLATE(B675:B5064,""en"",""fr"")"),"attendre")</f>
        <v>attendre</v>
      </c>
    </row>
    <row r="676" ht="19.5" customHeight="1">
      <c r="A676" s="26" t="s">
        <v>1800</v>
      </c>
      <c r="B676" s="27" t="s">
        <v>1801</v>
      </c>
      <c r="C676" s="28" t="s">
        <v>150</v>
      </c>
      <c r="D676" s="29">
        <v>667.0</v>
      </c>
      <c r="E676" s="28" t="s">
        <v>1802</v>
      </c>
      <c r="F676" s="7" t="str">
        <f>IFERROR(__xludf.DUMMYFUNCTION("GOOGLETRANSLATE(B676:B5064,""en"",""fr"")"),"million")</f>
        <v>million</v>
      </c>
    </row>
    <row r="677" ht="19.5" customHeight="1">
      <c r="A677" s="26" t="s">
        <v>1803</v>
      </c>
      <c r="B677" s="27" t="s">
        <v>1804</v>
      </c>
      <c r="C677" s="28" t="s">
        <v>32</v>
      </c>
      <c r="D677" s="29">
        <v>666.0</v>
      </c>
      <c r="E677" s="28" t="s">
        <v>1805</v>
      </c>
      <c r="F677" s="7" t="str">
        <f>IFERROR(__xludf.DUMMYFUNCTION("GOOGLETRANSLATE(B677:B5064,""en"",""fr"")"),"permettre")</f>
        <v>permettre</v>
      </c>
    </row>
    <row r="678" ht="19.5" customHeight="1">
      <c r="A678" s="26" t="s">
        <v>1806</v>
      </c>
      <c r="B678" s="27" t="s">
        <v>1807</v>
      </c>
      <c r="C678" s="28" t="s">
        <v>100</v>
      </c>
      <c r="D678" s="29">
        <v>666.0</v>
      </c>
      <c r="E678" s="28" t="s">
        <v>1807</v>
      </c>
      <c r="F678" s="7" t="str">
        <f>IFERROR(__xludf.DUMMYFUNCTION("GOOGLETRANSLATE(B678:B5064,""en"",""fr"")"),"pour toujours")</f>
        <v>pour toujours</v>
      </c>
    </row>
    <row r="679" ht="19.5" customHeight="1">
      <c r="A679" s="26" t="s">
        <v>1808</v>
      </c>
      <c r="B679" s="27" t="s">
        <v>1809</v>
      </c>
      <c r="C679" s="28" t="s">
        <v>85</v>
      </c>
      <c r="D679" s="29">
        <v>664.0</v>
      </c>
      <c r="E679" s="28" t="s">
        <v>1809</v>
      </c>
      <c r="F679" s="7" t="str">
        <f>IFERROR(__xludf.DUMMYFUNCTION("GOOGLETRANSLATE(B679:B5064,""en"",""fr"")"),"Pouah")</f>
        <v>Pouah</v>
      </c>
    </row>
    <row r="680" ht="19.5" customHeight="1">
      <c r="A680" s="26" t="s">
        <v>1810</v>
      </c>
      <c r="B680" s="27" t="s">
        <v>1811</v>
      </c>
      <c r="C680" s="28" t="s">
        <v>32</v>
      </c>
      <c r="D680" s="29">
        <v>662.0</v>
      </c>
      <c r="E680" s="28" t="s">
        <v>1812</v>
      </c>
      <c r="F680" s="7" t="str">
        <f>IFERROR(__xludf.DUMMYFUNCTION("GOOGLETRANSLATE(B680:B5064,""en"",""fr"")"),"cacher")</f>
        <v>cacher</v>
      </c>
    </row>
    <row r="681" ht="19.5" customHeight="1">
      <c r="A681" s="26" t="s">
        <v>1813</v>
      </c>
      <c r="B681" s="27" t="s">
        <v>1814</v>
      </c>
      <c r="C681" s="28" t="s">
        <v>134</v>
      </c>
      <c r="D681" s="29">
        <v>662.0</v>
      </c>
      <c r="E681" s="28" t="s">
        <v>1815</v>
      </c>
      <c r="F681" s="7" t="str">
        <f>IFERROR(__xludf.DUMMYFUNCTION("GOOGLETRANSLATE(B681:B5064,""en"",""fr"")"),"énorme")</f>
        <v>énorme</v>
      </c>
    </row>
    <row r="682" ht="19.5" customHeight="1">
      <c r="A682" s="26" t="s">
        <v>1816</v>
      </c>
      <c r="B682" s="27" t="s">
        <v>1817</v>
      </c>
      <c r="C682" s="28" t="s">
        <v>134</v>
      </c>
      <c r="D682" s="29">
        <v>662.0</v>
      </c>
      <c r="E682" s="28" t="s">
        <v>1817</v>
      </c>
      <c r="F682" s="7" t="str">
        <f>IFERROR(__xludf.DUMMYFUNCTION("GOOGLETRANSLATE(B682:B5064,""en"",""fr"")"),"intéressant")</f>
        <v>intéressant</v>
      </c>
    </row>
    <row r="683" ht="19.5" customHeight="1">
      <c r="A683" s="26" t="s">
        <v>1818</v>
      </c>
      <c r="B683" s="27" t="s">
        <v>1202</v>
      </c>
      <c r="C683" s="28" t="s">
        <v>178</v>
      </c>
      <c r="D683" s="29">
        <v>661.0</v>
      </c>
      <c r="E683" s="28" t="s">
        <v>1819</v>
      </c>
      <c r="F683" s="7" t="str">
        <f>IFERROR(__xludf.DUMMYFUNCTION("GOOGLETRANSLATE(B683:B5064,""en"",""fr"")"),"lutte")</f>
        <v>lutte</v>
      </c>
    </row>
    <row r="684" ht="19.5" customHeight="1">
      <c r="A684" s="26" t="s">
        <v>1820</v>
      </c>
      <c r="B684" s="27" t="s">
        <v>1821</v>
      </c>
      <c r="C684" s="28" t="s">
        <v>32</v>
      </c>
      <c r="D684" s="29">
        <v>661.0</v>
      </c>
      <c r="E684" s="28" t="s">
        <v>1822</v>
      </c>
      <c r="F684" s="7" t="str">
        <f>IFERROR(__xludf.DUMMYFUNCTION("GOOGLETRANSLATE(B684:B5064,""en"",""fr"")"),"rouler")</f>
        <v>rouler</v>
      </c>
    </row>
    <row r="685" ht="19.5" customHeight="1">
      <c r="A685" s="26" t="s">
        <v>1823</v>
      </c>
      <c r="B685" s="27" t="s">
        <v>1824</v>
      </c>
      <c r="C685" s="28" t="s">
        <v>178</v>
      </c>
      <c r="D685" s="29">
        <v>658.0</v>
      </c>
      <c r="E685" s="28" t="s">
        <v>1824</v>
      </c>
      <c r="F685" s="7" t="str">
        <f>IFERROR(__xludf.DUMMYFUNCTION("GOOGLETRANSLATE(B685:B5064,""en"",""fr"")"),"vêtements")</f>
        <v>vêtements</v>
      </c>
    </row>
    <row r="686" ht="19.5" customHeight="1">
      <c r="A686" s="26" t="s">
        <v>1825</v>
      </c>
      <c r="B686" s="27" t="s">
        <v>1826</v>
      </c>
      <c r="C686" s="28" t="s">
        <v>100</v>
      </c>
      <c r="D686" s="29">
        <v>657.0</v>
      </c>
      <c r="E686" s="28" t="s">
        <v>1827</v>
      </c>
      <c r="F686" s="7" t="str">
        <f>IFERROR(__xludf.DUMMYFUNCTION("GOOGLETRANSLATE(B686:B5064,""en"",""fr"")"),"rapide")</f>
        <v>rapide</v>
      </c>
    </row>
    <row r="687" ht="19.5" customHeight="1">
      <c r="A687" s="26" t="s">
        <v>1828</v>
      </c>
      <c r="B687" s="27" t="s">
        <v>1829</v>
      </c>
      <c r="C687" s="28" t="s">
        <v>32</v>
      </c>
      <c r="D687" s="29">
        <v>657.0</v>
      </c>
      <c r="E687" s="28" t="s">
        <v>1830</v>
      </c>
      <c r="F687" s="7" t="str">
        <f>IFERROR(__xludf.DUMMYFUNCTION("GOOGLETRANSLATE(B687:B5064,""en"",""fr"")"),"saisir")</f>
        <v>saisir</v>
      </c>
    </row>
    <row r="688" ht="19.5" customHeight="1">
      <c r="A688" s="26" t="s">
        <v>1831</v>
      </c>
      <c r="B688" s="27" t="s">
        <v>1832</v>
      </c>
      <c r="C688" s="28" t="s">
        <v>178</v>
      </c>
      <c r="D688" s="29">
        <v>657.0</v>
      </c>
      <c r="E688" s="28" t="s">
        <v>1833</v>
      </c>
      <c r="F688" s="7" t="str">
        <f>IFERROR(__xludf.DUMMYFUNCTION("GOOGLETRANSLATE(B688:B5064,""en"",""fr"")"),"professeur")</f>
        <v>professeur</v>
      </c>
    </row>
    <row r="689" ht="19.5" customHeight="1">
      <c r="A689" s="26" t="s">
        <v>1834</v>
      </c>
      <c r="B689" s="27" t="s">
        <v>1835</v>
      </c>
      <c r="C689" s="28" t="s">
        <v>178</v>
      </c>
      <c r="D689" s="29">
        <v>656.0</v>
      </c>
      <c r="E689" s="28" t="s">
        <v>1836</v>
      </c>
      <c r="F689" s="7" t="str">
        <f>IFERROR(__xludf.DUMMYFUNCTION("GOOGLETRANSLATE(B689:B5064,""en"",""fr"")"),"merde")</f>
        <v>merde</v>
      </c>
    </row>
    <row r="690" ht="19.5" customHeight="1">
      <c r="A690" s="26" t="s">
        <v>1837</v>
      </c>
      <c r="B690" s="27" t="s">
        <v>1838</v>
      </c>
      <c r="C690" s="28" t="s">
        <v>178</v>
      </c>
      <c r="D690" s="29">
        <v>655.0</v>
      </c>
      <c r="E690" s="28" t="s">
        <v>1839</v>
      </c>
      <c r="F690" s="7" t="str">
        <f>IFERROR(__xludf.DUMMYFUNCTION("GOOGLETRANSLATE(B690:B5064,""en"",""fr"")"),"animal")</f>
        <v>animal</v>
      </c>
    </row>
    <row r="691" ht="19.5" customHeight="1">
      <c r="A691" s="26" t="s">
        <v>1840</v>
      </c>
      <c r="B691" s="27" t="s">
        <v>1841</v>
      </c>
      <c r="C691" s="28" t="s">
        <v>32</v>
      </c>
      <c r="D691" s="29">
        <v>654.0</v>
      </c>
      <c r="E691" s="28" t="s">
        <v>1842</v>
      </c>
      <c r="F691" s="7" t="str">
        <f>IFERROR(__xludf.DUMMYFUNCTION("GOOGLETRANSLATE(B691:B5064,""en"",""fr"")"),"brûler")</f>
        <v>brûler</v>
      </c>
    </row>
    <row r="692" ht="19.5" customHeight="1">
      <c r="A692" s="26" t="s">
        <v>1843</v>
      </c>
      <c r="B692" s="27" t="s">
        <v>1844</v>
      </c>
      <c r="C692" s="28" t="s">
        <v>134</v>
      </c>
      <c r="D692" s="29">
        <v>654.0</v>
      </c>
      <c r="E692" s="28" t="s">
        <v>1845</v>
      </c>
      <c r="F692" s="7" t="str">
        <f>IFERROR(__xludf.DUMMYFUNCTION("GOOGLETRANSLATE(B692:B5064,""en"",""fr"")"),"difficile")</f>
        <v>difficile</v>
      </c>
    </row>
    <row r="693" ht="19.5" customHeight="1">
      <c r="A693" s="26" t="s">
        <v>1846</v>
      </c>
      <c r="B693" s="27" t="s">
        <v>1847</v>
      </c>
      <c r="C693" s="28" t="s">
        <v>178</v>
      </c>
      <c r="D693" s="29">
        <v>652.0</v>
      </c>
      <c r="E693" s="28" t="s">
        <v>1848</v>
      </c>
      <c r="F693" s="7" t="str">
        <f>IFERROR(__xludf.DUMMYFUNCTION("GOOGLETRANSLATE(B693:B5064,""en"",""fr"")"),"restaurant")</f>
        <v>restaurant</v>
      </c>
    </row>
    <row r="694" ht="19.5" customHeight="1">
      <c r="A694" s="26" t="s">
        <v>1849</v>
      </c>
      <c r="B694" s="27" t="s">
        <v>1850</v>
      </c>
      <c r="C694" s="28" t="s">
        <v>178</v>
      </c>
      <c r="D694" s="29">
        <v>652.0</v>
      </c>
      <c r="E694" s="28" t="s">
        <v>1851</v>
      </c>
      <c r="F694" s="7" t="str">
        <f>IFERROR(__xludf.DUMMYFUNCTION("GOOGLETRANSLATE(B694:B5064,""en"",""fr"")"),"trier")</f>
        <v>trier</v>
      </c>
    </row>
    <row r="695" ht="19.5" customHeight="1">
      <c r="A695" s="26" t="s">
        <v>1852</v>
      </c>
      <c r="B695" s="27" t="s">
        <v>1853</v>
      </c>
      <c r="C695" s="28" t="s">
        <v>178</v>
      </c>
      <c r="D695" s="29">
        <v>651.0</v>
      </c>
      <c r="E695" s="28" t="s">
        <v>1854</v>
      </c>
      <c r="F695" s="7" t="str">
        <f>IFERROR(__xludf.DUMMYFUNCTION("GOOGLETRANSLATE(B695:B5064,""en"",""fr"")"),"dent")</f>
        <v>dent</v>
      </c>
    </row>
    <row r="696" ht="19.5" customHeight="1">
      <c r="A696" s="26" t="s">
        <v>1855</v>
      </c>
      <c r="B696" s="27" t="s">
        <v>1856</v>
      </c>
      <c r="C696" s="28" t="s">
        <v>178</v>
      </c>
      <c r="D696" s="29">
        <v>649.0</v>
      </c>
      <c r="E696" s="28" t="s">
        <v>1857</v>
      </c>
      <c r="F696" s="7" t="str">
        <f>IFERROR(__xludf.DUMMYFUNCTION("GOOGLETRANSLATE(B696:B5064,""en"",""fr"")"),"mariage")</f>
        <v>mariage</v>
      </c>
    </row>
    <row r="697" ht="19.5" customHeight="1">
      <c r="A697" s="26" t="s">
        <v>1858</v>
      </c>
      <c r="B697" s="27" t="s">
        <v>1859</v>
      </c>
      <c r="C697" s="28" t="s">
        <v>134</v>
      </c>
      <c r="D697" s="29">
        <v>649.0</v>
      </c>
      <c r="E697" s="28" t="s">
        <v>1860</v>
      </c>
      <c r="F697" s="7" t="str">
        <f>IFERROR(__xludf.DUMMYFUNCTION("GOOGLETRANSLATE(B697:B5064,""en"",""fr"")"),"fier")</f>
        <v>fier</v>
      </c>
    </row>
    <row r="698" ht="19.5" customHeight="1">
      <c r="A698" s="26" t="s">
        <v>1861</v>
      </c>
      <c r="B698" s="27" t="s">
        <v>1862</v>
      </c>
      <c r="C698" s="28" t="s">
        <v>178</v>
      </c>
      <c r="D698" s="29">
        <v>647.0</v>
      </c>
      <c r="E698" s="28" t="s">
        <v>1863</v>
      </c>
      <c r="F698" s="7" t="str">
        <f>IFERROR(__xludf.DUMMYFUNCTION("GOOGLETRANSLATE(B698:B5064,""en"",""fr"")"),"oncle")</f>
        <v>oncle</v>
      </c>
    </row>
    <row r="699" ht="19.5" customHeight="1">
      <c r="A699" s="26" t="s">
        <v>1864</v>
      </c>
      <c r="B699" s="27" t="s">
        <v>1865</v>
      </c>
      <c r="C699" s="28" t="s">
        <v>32</v>
      </c>
      <c r="D699" s="29">
        <v>646.0</v>
      </c>
      <c r="E699" s="28" t="s">
        <v>1866</v>
      </c>
      <c r="F699" s="7" t="str">
        <f>IFERROR(__xludf.DUMMYFUNCTION("GOOGLETRANSLATE(B699:B5064,""en"",""fr"")"),"pousser")</f>
        <v>pousser</v>
      </c>
    </row>
    <row r="700" ht="19.5" customHeight="1">
      <c r="A700" s="26" t="s">
        <v>1867</v>
      </c>
      <c r="B700" s="27" t="s">
        <v>1868</v>
      </c>
      <c r="C700" s="28" t="s">
        <v>178</v>
      </c>
      <c r="D700" s="29">
        <v>643.0</v>
      </c>
      <c r="E700" s="28" t="s">
        <v>1869</v>
      </c>
      <c r="F700" s="7" t="str">
        <f>IFERROR(__xludf.DUMMYFUNCTION("GOOGLETRANSLATE(B700:B5064,""en"",""fr"")"),"bout")</f>
        <v>bout</v>
      </c>
    </row>
    <row r="701" ht="19.5" customHeight="1">
      <c r="A701" s="26" t="s">
        <v>1870</v>
      </c>
      <c r="B701" s="27" t="s">
        <v>1871</v>
      </c>
      <c r="C701" s="28" t="s">
        <v>32</v>
      </c>
      <c r="D701" s="29">
        <v>643.0</v>
      </c>
      <c r="E701" s="28" t="s">
        <v>1872</v>
      </c>
      <c r="F701" s="7" t="str">
        <f>IFERROR(__xludf.DUMMYFUNCTION("GOOGLETRANSLATE(B701:B5064,""en"",""fr"")"),"offre")</f>
        <v>offre</v>
      </c>
    </row>
    <row r="702" ht="19.5" customHeight="1">
      <c r="A702" s="26" t="s">
        <v>1873</v>
      </c>
      <c r="B702" s="27" t="s">
        <v>1874</v>
      </c>
      <c r="C702" s="28" t="s">
        <v>178</v>
      </c>
      <c r="D702" s="29">
        <v>640.0</v>
      </c>
      <c r="E702" s="28" t="s">
        <v>1875</v>
      </c>
      <c r="F702" s="7" t="str">
        <f>IFERROR(__xludf.DUMMYFUNCTION("GOOGLETRANSLATE(B702:B5064,""en"",""fr"")"),"seigneur")</f>
        <v>seigneur</v>
      </c>
    </row>
    <row r="703" ht="19.5" customHeight="1">
      <c r="A703" s="26" t="s">
        <v>1876</v>
      </c>
      <c r="B703" s="27" t="s">
        <v>1877</v>
      </c>
      <c r="C703" s="28" t="s">
        <v>36</v>
      </c>
      <c r="D703" s="29">
        <v>639.0</v>
      </c>
      <c r="E703" s="28" t="s">
        <v>1877</v>
      </c>
      <c r="F703" s="7" t="str">
        <f>IFERROR(__xludf.DUMMYFUNCTION("GOOGLETRANSLATE(B703:B5064,""en"",""fr"")"),"sauf si")</f>
        <v>sauf si</v>
      </c>
    </row>
    <row r="704" ht="19.5" customHeight="1">
      <c r="A704" s="26" t="s">
        <v>1878</v>
      </c>
      <c r="B704" s="27" t="s">
        <v>1879</v>
      </c>
      <c r="C704" s="28" t="s">
        <v>178</v>
      </c>
      <c r="D704" s="29">
        <v>638.0</v>
      </c>
      <c r="E704" s="28" t="s">
        <v>1880</v>
      </c>
      <c r="F704" s="7" t="str">
        <f>IFERROR(__xludf.DUMMYFUNCTION("GOOGLETRANSLATE(B704:B5064,""en"",""fr"")"),"sentiment")</f>
        <v>sentiment</v>
      </c>
    </row>
    <row r="705" ht="19.5" customHeight="1">
      <c r="A705" s="26" t="s">
        <v>1881</v>
      </c>
      <c r="B705" s="27" t="s">
        <v>1882</v>
      </c>
      <c r="C705" s="28" t="s">
        <v>178</v>
      </c>
      <c r="D705" s="29">
        <v>636.0</v>
      </c>
      <c r="E705" s="28" t="s">
        <v>1883</v>
      </c>
      <c r="F705" s="7" t="str">
        <f>IFERROR(__xludf.DUMMYFUNCTION("GOOGLETRANSLATE(B705:B5064,""en"",""fr"")"),"costume")</f>
        <v>costume</v>
      </c>
    </row>
    <row r="706" ht="19.5" customHeight="1">
      <c r="A706" s="26" t="s">
        <v>1884</v>
      </c>
      <c r="B706" s="27" t="s">
        <v>1885</v>
      </c>
      <c r="C706" s="28" t="s">
        <v>85</v>
      </c>
      <c r="D706" s="29">
        <v>635.0</v>
      </c>
      <c r="E706" s="28" t="s">
        <v>1885</v>
      </c>
      <c r="F706" s="7" t="str">
        <f>IFERROR(__xludf.DUMMYFUNCTION("GOOGLETRANSLATE(B706:B5064,""en"",""fr"")"),"Uh-huh")</f>
        <v>Uh-huh</v>
      </c>
    </row>
    <row r="707" ht="19.5" customHeight="1">
      <c r="A707" s="26" t="s">
        <v>1886</v>
      </c>
      <c r="B707" s="27" t="s">
        <v>1887</v>
      </c>
      <c r="C707" s="28" t="s">
        <v>178</v>
      </c>
      <c r="D707" s="29">
        <v>634.0</v>
      </c>
      <c r="E707" s="28" t="s">
        <v>1888</v>
      </c>
      <c r="F707" s="7" t="str">
        <f>IFERROR(__xludf.DUMMYFUNCTION("GOOGLETRANSLATE(B707:B5064,""en"",""fr"")"),"sol")</f>
        <v>sol</v>
      </c>
    </row>
    <row r="708" ht="19.5" customHeight="1">
      <c r="A708" s="26" t="s">
        <v>1889</v>
      </c>
      <c r="B708" s="27" t="s">
        <v>1890</v>
      </c>
      <c r="C708" s="28" t="s">
        <v>178</v>
      </c>
      <c r="D708" s="29">
        <v>629.0</v>
      </c>
      <c r="E708" s="28" t="s">
        <v>1891</v>
      </c>
      <c r="F708" s="7" t="str">
        <f>IFERROR(__xludf.DUMMYFUNCTION("GOOGLETRANSLATE(B708:B5064,""en"",""fr"")"),"crème")</f>
        <v>crème</v>
      </c>
    </row>
    <row r="709" ht="19.5" customHeight="1">
      <c r="A709" s="26" t="s">
        <v>1892</v>
      </c>
      <c r="B709" s="27" t="s">
        <v>1893</v>
      </c>
      <c r="C709" s="28" t="s">
        <v>134</v>
      </c>
      <c r="D709" s="29">
        <v>629.0</v>
      </c>
      <c r="E709" s="28" t="s">
        <v>1893</v>
      </c>
      <c r="F709" s="7" t="str">
        <f>IFERROR(__xludf.DUMMYFUNCTION("GOOGLETRANSLATE(B709:B5064,""en"",""fr"")"),"préféré")</f>
        <v>préféré</v>
      </c>
    </row>
    <row r="710" ht="19.5" customHeight="1">
      <c r="A710" s="26" t="s">
        <v>1894</v>
      </c>
      <c r="B710" s="27" t="s">
        <v>1895</v>
      </c>
      <c r="C710" s="28" t="s">
        <v>134</v>
      </c>
      <c r="D710" s="29">
        <v>628.0</v>
      </c>
      <c r="E710" s="28" t="s">
        <v>1895</v>
      </c>
      <c r="F710" s="7" t="str">
        <f>IFERROR(__xludf.DUMMYFUNCTION("GOOGLETRANSLATE(B710:B5064,""en"",""fr"")"),"nu")</f>
        <v>nu</v>
      </c>
    </row>
    <row r="711" ht="19.5" customHeight="1">
      <c r="A711" s="26" t="s">
        <v>1896</v>
      </c>
      <c r="B711" s="27" t="s">
        <v>1897</v>
      </c>
      <c r="C711" s="28" t="s">
        <v>178</v>
      </c>
      <c r="D711" s="29">
        <v>627.0</v>
      </c>
      <c r="E711" s="28" t="s">
        <v>1898</v>
      </c>
      <c r="F711" s="7" t="str">
        <f>IFERROR(__xludf.DUMMYFUNCTION("GOOGLETRANSLATE(B711:B5064,""en"",""fr"")"),"liste")</f>
        <v>liste</v>
      </c>
    </row>
    <row r="712" ht="19.5" customHeight="1">
      <c r="A712" s="26" t="s">
        <v>1899</v>
      </c>
      <c r="B712" s="27" t="s">
        <v>1900</v>
      </c>
      <c r="C712" s="28" t="s">
        <v>178</v>
      </c>
      <c r="D712" s="29">
        <v>625.0</v>
      </c>
      <c r="E712" s="28" t="s">
        <v>1901</v>
      </c>
      <c r="F712" s="7" t="str">
        <f>IFERROR(__xludf.DUMMYFUNCTION("GOOGLETRANSLATE(B712:B5064,""en"",""fr"")"),"anneau")</f>
        <v>anneau</v>
      </c>
    </row>
    <row r="713" ht="19.5" customHeight="1">
      <c r="A713" s="26" t="s">
        <v>1902</v>
      </c>
      <c r="B713" s="27" t="s">
        <v>1903</v>
      </c>
      <c r="C713" s="28" t="s">
        <v>32</v>
      </c>
      <c r="D713" s="29">
        <v>621.0</v>
      </c>
      <c r="E713" s="28" t="s">
        <v>1904</v>
      </c>
      <c r="F713" s="7" t="str">
        <f>IFERROR(__xludf.DUMMYFUNCTION("GOOGLETRANSLATE(B713:B5064,""en"",""fr"")"),"faire le ménage")</f>
        <v>faire le ménage</v>
      </c>
    </row>
    <row r="714" ht="19.5" customHeight="1">
      <c r="A714" s="26" t="s">
        <v>1905</v>
      </c>
      <c r="B714" s="27" t="s">
        <v>1906</v>
      </c>
      <c r="C714" s="28" t="s">
        <v>32</v>
      </c>
      <c r="D714" s="29">
        <v>620.0</v>
      </c>
      <c r="E714" s="28" t="s">
        <v>1907</v>
      </c>
      <c r="F714" s="7" t="str">
        <f>IFERROR(__xludf.DUMMYFUNCTION("GOOGLETRANSLATE(B714:B5064,""en"",""fr"")"),"s'excuser")</f>
        <v>s'excuser</v>
      </c>
    </row>
    <row r="715" ht="19.5" customHeight="1">
      <c r="A715" s="26" t="s">
        <v>1908</v>
      </c>
      <c r="B715" s="27" t="s">
        <v>1909</v>
      </c>
      <c r="C715" s="28" t="s">
        <v>134</v>
      </c>
      <c r="D715" s="29">
        <v>620.0</v>
      </c>
      <c r="E715" s="28" t="s">
        <v>1910</v>
      </c>
      <c r="F715" s="7" t="str">
        <f>IFERROR(__xludf.DUMMYFUNCTION("GOOGLETRANSLATE(B715:B5064,""en"",""fr"")"),"clair")</f>
        <v>clair</v>
      </c>
    </row>
    <row r="716" ht="19.5" customHeight="1">
      <c r="A716" s="26" t="s">
        <v>1911</v>
      </c>
      <c r="B716" s="27" t="s">
        <v>1912</v>
      </c>
      <c r="C716" s="28" t="s">
        <v>728</v>
      </c>
      <c r="D716" s="29">
        <v>620.0</v>
      </c>
      <c r="E716" s="28" t="s">
        <v>1913</v>
      </c>
      <c r="F716" s="7" t="str">
        <f>IFERROR(__xludf.DUMMYFUNCTION("GOOGLETRANSLATE(B716:B5064,""en"",""fr"")"),"Terre")</f>
        <v>Terre</v>
      </c>
    </row>
    <row r="717" ht="19.5" customHeight="1">
      <c r="A717" s="26" t="s">
        <v>1914</v>
      </c>
      <c r="B717" s="27" t="s">
        <v>1915</v>
      </c>
      <c r="C717" s="28" t="s">
        <v>32</v>
      </c>
      <c r="D717" s="29">
        <v>620.0</v>
      </c>
      <c r="E717" s="28" t="s">
        <v>1916</v>
      </c>
      <c r="F717" s="7" t="str">
        <f>IFERROR(__xludf.DUMMYFUNCTION("GOOGLETRANSLATE(B717:B5064,""en"",""fr"")"),"partager")</f>
        <v>partager</v>
      </c>
    </row>
    <row r="718" ht="19.5" customHeight="1">
      <c r="A718" s="26" t="s">
        <v>1917</v>
      </c>
      <c r="B718" s="27" t="s">
        <v>1918</v>
      </c>
      <c r="C718" s="28" t="s">
        <v>32</v>
      </c>
      <c r="D718" s="29">
        <v>619.0</v>
      </c>
      <c r="E718" s="28" t="s">
        <v>1919</v>
      </c>
      <c r="F718" s="7" t="str">
        <f>IFERROR(__xludf.DUMMYFUNCTION("GOOGLETRANSLATE(B718:B5064,""en"",""fr"")"),"remplir")</f>
        <v>remplir</v>
      </c>
    </row>
    <row r="719" ht="19.5" customHeight="1">
      <c r="A719" s="26" t="s">
        <v>1920</v>
      </c>
      <c r="B719" s="27" t="s">
        <v>744</v>
      </c>
      <c r="C719" s="28" t="s">
        <v>85</v>
      </c>
      <c r="D719" s="29">
        <v>617.0</v>
      </c>
      <c r="E719" s="28" t="s">
        <v>744</v>
      </c>
      <c r="F719" s="7" t="str">
        <f>IFERROR(__xludf.DUMMYFUNCTION("GOOGLETRANSLATE(B719:B5064,""en"",""fr"")"),"cool")</f>
        <v>cool</v>
      </c>
    </row>
    <row r="720" ht="19.5" customHeight="1">
      <c r="A720" s="26" t="s">
        <v>1921</v>
      </c>
      <c r="B720" s="27" t="s">
        <v>1922</v>
      </c>
      <c r="C720" s="28" t="s">
        <v>178</v>
      </c>
      <c r="D720" s="29">
        <v>612.0</v>
      </c>
      <c r="E720" s="28" t="s">
        <v>1923</v>
      </c>
      <c r="F720" s="7" t="str">
        <f>IFERROR(__xludf.DUMMYFUNCTION("GOOGLETRANSLATE(B720:B5064,""en"",""fr"")"),"pizza")</f>
        <v>pizza</v>
      </c>
    </row>
    <row r="721" ht="19.5" customHeight="1">
      <c r="A721" s="26" t="s">
        <v>1924</v>
      </c>
      <c r="B721" s="27" t="s">
        <v>1925</v>
      </c>
      <c r="C721" s="28" t="s">
        <v>134</v>
      </c>
      <c r="D721" s="29">
        <v>612.0</v>
      </c>
      <c r="E721" s="28" t="s">
        <v>1925</v>
      </c>
      <c r="F721" s="7" t="str">
        <f>IFERROR(__xludf.DUMMYFUNCTION("GOOGLETRANSLATE(B721:B5064,""en"",""fr"")"),"ridicule")</f>
        <v>ridicule</v>
      </c>
    </row>
    <row r="722" ht="19.5" customHeight="1">
      <c r="A722" s="26" t="s">
        <v>1926</v>
      </c>
      <c r="B722" s="27" t="s">
        <v>1927</v>
      </c>
      <c r="C722" s="28" t="s">
        <v>134</v>
      </c>
      <c r="D722" s="29">
        <v>609.0</v>
      </c>
      <c r="E722" s="28" t="s">
        <v>1927</v>
      </c>
      <c r="F722" s="7" t="str">
        <f>IFERROR(__xludf.DUMMYFUNCTION("GOOGLETRANSLATE(B722:B5064,""en"",""fr"")"),"vivant")</f>
        <v>vivant</v>
      </c>
    </row>
    <row r="723" ht="19.5" customHeight="1">
      <c r="A723" s="26" t="s">
        <v>1928</v>
      </c>
      <c r="B723" s="27" t="s">
        <v>1929</v>
      </c>
      <c r="C723" s="28" t="s">
        <v>32</v>
      </c>
      <c r="D723" s="29">
        <v>608.0</v>
      </c>
      <c r="E723" s="28" t="s">
        <v>1930</v>
      </c>
      <c r="F723" s="7" t="str">
        <f>IFERROR(__xludf.DUMMYFUNCTION("GOOGLETRANSLATE(B723:B5064,""en"",""fr"")"),"prétendre")</f>
        <v>prétendre</v>
      </c>
    </row>
    <row r="724" ht="19.5" customHeight="1">
      <c r="A724" s="26" t="s">
        <v>1931</v>
      </c>
      <c r="B724" s="27" t="s">
        <v>1932</v>
      </c>
      <c r="C724" s="28" t="s">
        <v>178</v>
      </c>
      <c r="D724" s="29">
        <v>604.0</v>
      </c>
      <c r="E724" s="28" t="s">
        <v>1933</v>
      </c>
      <c r="F724" s="7" t="str">
        <f>IFERROR(__xludf.DUMMYFUNCTION("GOOGLETRANSLATE(B724:B5064,""en"",""fr"")"),"hôpital")</f>
        <v>hôpital</v>
      </c>
    </row>
    <row r="725" ht="19.5" customHeight="1">
      <c r="A725" s="26" t="s">
        <v>1934</v>
      </c>
      <c r="B725" s="27" t="s">
        <v>1935</v>
      </c>
      <c r="C725" s="28" t="s">
        <v>134</v>
      </c>
      <c r="D725" s="29">
        <v>603.0</v>
      </c>
      <c r="E725" s="28" t="s">
        <v>1936</v>
      </c>
      <c r="F725" s="7" t="str">
        <f>IFERROR(__xludf.DUMMYFUNCTION("GOOGLETRANSLATE(B725:B5064,""en"",""fr"")"),"triste")</f>
        <v>triste</v>
      </c>
    </row>
    <row r="726" ht="19.5" customHeight="1">
      <c r="A726" s="26" t="s">
        <v>1937</v>
      </c>
      <c r="B726" s="27" t="s">
        <v>1938</v>
      </c>
      <c r="C726" s="28" t="s">
        <v>178</v>
      </c>
      <c r="D726" s="29">
        <v>602.0</v>
      </c>
      <c r="E726" s="28" t="s">
        <v>1939</v>
      </c>
      <c r="F726" s="7" t="str">
        <f>IFERROR(__xludf.DUMMYFUNCTION("GOOGLETRANSLATE(B726:B5064,""en"",""fr"")"),"bouquet")</f>
        <v>bouquet</v>
      </c>
    </row>
    <row r="727" ht="19.5" customHeight="1">
      <c r="A727" s="26" t="s">
        <v>1940</v>
      </c>
      <c r="B727" s="27" t="s">
        <v>1941</v>
      </c>
      <c r="C727" s="28" t="s">
        <v>36</v>
      </c>
      <c r="D727" s="29">
        <v>602.0</v>
      </c>
      <c r="E727" s="28" t="s">
        <v>1941</v>
      </c>
      <c r="F727" s="7" t="str">
        <f>IFERROR(__xludf.DUMMYFUNCTION("GOOGLETRANSLATE(B727:B5064,""en"",""fr"")"),"moitié")</f>
        <v>moitié</v>
      </c>
    </row>
    <row r="728" ht="19.5" customHeight="1">
      <c r="A728" s="26" t="s">
        <v>1942</v>
      </c>
      <c r="B728" s="27" t="s">
        <v>1943</v>
      </c>
      <c r="C728" s="28" t="s">
        <v>178</v>
      </c>
      <c r="D728" s="29">
        <v>602.0</v>
      </c>
      <c r="E728" s="28" t="s">
        <v>1943</v>
      </c>
      <c r="F728" s="7" t="str">
        <f>IFERROR(__xludf.DUMMYFUNCTION("GOOGLETRANSLATE(B728:B5064,""en"",""fr"")"),"police")</f>
        <v>police</v>
      </c>
    </row>
    <row r="729" ht="19.5" customHeight="1">
      <c r="A729" s="26" t="s">
        <v>1944</v>
      </c>
      <c r="B729" s="27" t="s">
        <v>1945</v>
      </c>
      <c r="C729" s="28" t="s">
        <v>178</v>
      </c>
      <c r="D729" s="29">
        <v>600.0</v>
      </c>
      <c r="E729" s="28" t="s">
        <v>1946</v>
      </c>
      <c r="F729" s="7" t="str">
        <f>IFERROR(__xludf.DUMMYFUNCTION("GOOGLETRANSLATE(B729:B5064,""en"",""fr"")"),"poisson")</f>
        <v>poisson</v>
      </c>
    </row>
    <row r="730" ht="19.5" customHeight="1">
      <c r="A730" s="26" t="s">
        <v>1947</v>
      </c>
      <c r="B730" s="27" t="s">
        <v>1948</v>
      </c>
      <c r="C730" s="28" t="s">
        <v>178</v>
      </c>
      <c r="D730" s="29">
        <v>599.0</v>
      </c>
      <c r="E730" s="28" t="s">
        <v>1949</v>
      </c>
      <c r="F730" s="7" t="str">
        <f>IFERROR(__xludf.DUMMYFUNCTION("GOOGLETRANSLATE(B730:B5064,""en"",""fr"")"),"fenêtre")</f>
        <v>fenêtre</v>
      </c>
    </row>
    <row r="731" ht="19.5" customHeight="1">
      <c r="A731" s="26" t="s">
        <v>1950</v>
      </c>
      <c r="B731" s="27" t="s">
        <v>1951</v>
      </c>
      <c r="C731" s="28" t="s">
        <v>134</v>
      </c>
      <c r="D731" s="29">
        <v>597.0</v>
      </c>
      <c r="E731" s="28" t="s">
        <v>1952</v>
      </c>
      <c r="F731" s="7" t="str">
        <f>IFERROR(__xludf.DUMMYFUNCTION("GOOGLETRANSLATE(B731:B5064,""en"",""fr"")"),"occupé")</f>
        <v>occupé</v>
      </c>
    </row>
    <row r="732" ht="19.5" customHeight="1">
      <c r="A732" s="26" t="s">
        <v>1953</v>
      </c>
      <c r="B732" s="27" t="s">
        <v>1666</v>
      </c>
      <c r="C732" s="28" t="s">
        <v>178</v>
      </c>
      <c r="D732" s="29">
        <v>597.0</v>
      </c>
      <c r="E732" s="28" t="s">
        <v>1954</v>
      </c>
      <c r="F732" s="7" t="str">
        <f>IFERROR(__xludf.DUMMYFUNCTION("GOOGLETRANSLATE(B732:B5064,""en"",""fr"")"),"signe")</f>
        <v>signe</v>
      </c>
    </row>
    <row r="733" ht="19.5" customHeight="1">
      <c r="A733" s="26" t="s">
        <v>1955</v>
      </c>
      <c r="B733" s="27" t="s">
        <v>278</v>
      </c>
      <c r="C733" s="28" t="s">
        <v>178</v>
      </c>
      <c r="D733" s="29">
        <v>595.0</v>
      </c>
      <c r="E733" s="28" t="s">
        <v>1956</v>
      </c>
      <c r="F733" s="7" t="str">
        <f>IFERROR(__xludf.DUMMYFUNCTION("GOOGLETRANSLATE(B733:B5064,""en"",""fr"")"),"appel")</f>
        <v>appel</v>
      </c>
    </row>
    <row r="734" ht="19.5" customHeight="1">
      <c r="A734" s="26" t="s">
        <v>1957</v>
      </c>
      <c r="B734" s="27" t="s">
        <v>1958</v>
      </c>
      <c r="C734" s="28" t="s">
        <v>178</v>
      </c>
      <c r="D734" s="29">
        <v>594.0</v>
      </c>
      <c r="E734" s="28" t="s">
        <v>1959</v>
      </c>
      <c r="F734" s="7" t="str">
        <f>IFERROR(__xludf.DUMMYFUNCTION("GOOGLETRANSLATE(B734:B5064,""en"",""fr"")"),"tarte")</f>
        <v>tarte</v>
      </c>
    </row>
    <row r="735" ht="19.5" customHeight="1">
      <c r="A735" s="26" t="s">
        <v>1960</v>
      </c>
      <c r="B735" s="27" t="s">
        <v>1703</v>
      </c>
      <c r="C735" s="28" t="s">
        <v>32</v>
      </c>
      <c r="D735" s="29">
        <v>592.0</v>
      </c>
      <c r="E735" s="28" t="s">
        <v>1961</v>
      </c>
      <c r="F735" s="7" t="str">
        <f>IFERROR(__xludf.DUMMYFUNCTION("GOOGLETRANSLATE(B735:B5064,""en"",""fr"")"),"répondre")</f>
        <v>répondre</v>
      </c>
    </row>
    <row r="736" ht="19.5" customHeight="1">
      <c r="A736" s="26" t="s">
        <v>1962</v>
      </c>
      <c r="B736" s="27" t="s">
        <v>1963</v>
      </c>
      <c r="C736" s="28" t="s">
        <v>32</v>
      </c>
      <c r="D736" s="29">
        <v>592.0</v>
      </c>
      <c r="E736" s="28" t="s">
        <v>1964</v>
      </c>
      <c r="F736" s="7" t="str">
        <f>IFERROR(__xludf.DUMMYFUNCTION("GOOGLETRANSLATE(B736:B5064,""en"",""fr"")"),"augmenter")</f>
        <v>augmenter</v>
      </c>
    </row>
    <row r="737" ht="19.5" customHeight="1">
      <c r="A737" s="26" t="s">
        <v>1965</v>
      </c>
      <c r="B737" s="27" t="s">
        <v>1966</v>
      </c>
      <c r="C737" s="28" t="s">
        <v>100</v>
      </c>
      <c r="D737" s="29">
        <v>592.0</v>
      </c>
      <c r="E737" s="28" t="s">
        <v>1966</v>
      </c>
      <c r="F737" s="7" t="str">
        <f>IFERROR(__xludf.DUMMYFUNCTION("GOOGLETRANSLATE(B737:B5064,""en"",""fr"")"),"quelque part")</f>
        <v>quelque part</v>
      </c>
    </row>
    <row r="738" ht="19.5" customHeight="1">
      <c r="A738" s="26" t="s">
        <v>1967</v>
      </c>
      <c r="B738" s="27" t="s">
        <v>1968</v>
      </c>
      <c r="C738" s="28" t="s">
        <v>178</v>
      </c>
      <c r="D738" s="29">
        <v>590.0</v>
      </c>
      <c r="E738" s="28" t="s">
        <v>1969</v>
      </c>
      <c r="F738" s="7" t="str">
        <f>IFERROR(__xludf.DUMMYFUNCTION("GOOGLETRANSLATE(B738:B5064,""en"",""fr"")"),"sandwich")</f>
        <v>sandwich</v>
      </c>
    </row>
    <row r="739" ht="19.5" customHeight="1">
      <c r="A739" s="26" t="s">
        <v>1970</v>
      </c>
      <c r="B739" s="27" t="s">
        <v>1971</v>
      </c>
      <c r="C739" s="28" t="s">
        <v>150</v>
      </c>
      <c r="D739" s="29">
        <v>590.0</v>
      </c>
      <c r="E739" s="28" t="s">
        <v>1972</v>
      </c>
      <c r="F739" s="7" t="str">
        <f>IFERROR(__xludf.DUMMYFUNCTION("GOOGLETRANSLATE(B739:B5064,""en"",""fr"")"),"trente")</f>
        <v>trente</v>
      </c>
    </row>
    <row r="740" ht="19.5" customHeight="1">
      <c r="A740" s="26" t="s">
        <v>1973</v>
      </c>
      <c r="B740" s="27" t="s">
        <v>1974</v>
      </c>
      <c r="C740" s="28" t="s">
        <v>178</v>
      </c>
      <c r="D740" s="29">
        <v>589.0</v>
      </c>
      <c r="E740" s="28" t="s">
        <v>1975</v>
      </c>
      <c r="F740" s="7" t="str">
        <f>IFERROR(__xludf.DUMMYFUNCTION("GOOGLETRANSLATE(B740:B5064,""en"",""fr"")"),"vente")</f>
        <v>vente</v>
      </c>
    </row>
    <row r="741" ht="19.5" customHeight="1">
      <c r="A741" s="26" t="s">
        <v>1976</v>
      </c>
      <c r="B741" s="27" t="s">
        <v>1977</v>
      </c>
      <c r="C741" s="28" t="s">
        <v>32</v>
      </c>
      <c r="D741" s="29">
        <v>588.0</v>
      </c>
      <c r="E741" s="28" t="s">
        <v>1978</v>
      </c>
      <c r="F741" s="7" t="str">
        <f>IFERROR(__xludf.DUMMYFUNCTION("GOOGLETRANSLATE(B741:B5064,""en"",""fr"")"),"choisir")</f>
        <v>choisir</v>
      </c>
    </row>
    <row r="742" ht="19.5" customHeight="1">
      <c r="A742" s="26" t="s">
        <v>1979</v>
      </c>
      <c r="B742" s="27" t="s">
        <v>1980</v>
      </c>
      <c r="C742" s="28" t="s">
        <v>100</v>
      </c>
      <c r="D742" s="29">
        <v>588.0</v>
      </c>
      <c r="E742" s="28" t="s">
        <v>1980</v>
      </c>
      <c r="F742" s="7" t="str">
        <f>IFERROR(__xludf.DUMMYFUNCTION("GOOGLETRANSLATE(B742:B5064,""en"",""fr"")"),"certainement")</f>
        <v>certainement</v>
      </c>
    </row>
    <row r="743" ht="19.5" customHeight="1">
      <c r="A743" s="26" t="s">
        <v>1981</v>
      </c>
      <c r="B743" s="27" t="s">
        <v>1982</v>
      </c>
      <c r="C743" s="28" t="s">
        <v>32</v>
      </c>
      <c r="D743" s="29">
        <v>588.0</v>
      </c>
      <c r="E743" s="28" t="s">
        <v>1983</v>
      </c>
      <c r="F743" s="7" t="str">
        <f>IFERROR(__xludf.DUMMYFUNCTION("GOOGLETRANSLATE(B743:B5064,""en"",""fr"")"),"jurer")</f>
        <v>jurer</v>
      </c>
    </row>
    <row r="744" ht="19.5" customHeight="1">
      <c r="A744" s="26" t="s">
        <v>1984</v>
      </c>
      <c r="B744" s="27" t="s">
        <v>667</v>
      </c>
      <c r="C744" s="28" t="s">
        <v>100</v>
      </c>
      <c r="D744" s="29">
        <v>585.0</v>
      </c>
      <c r="E744" s="28" t="s">
        <v>667</v>
      </c>
      <c r="F744" s="7" t="str">
        <f>IFERROR(__xludf.DUMMYFUNCTION("GOOGLETRANSLATE(B744:B5064,""en"",""fr"")"),"joli")</f>
        <v>joli</v>
      </c>
    </row>
    <row r="745" ht="19.5" customHeight="1">
      <c r="A745" s="26" t="s">
        <v>1985</v>
      </c>
      <c r="B745" s="27" t="s">
        <v>1986</v>
      </c>
      <c r="C745" s="28" t="s">
        <v>178</v>
      </c>
      <c r="D745" s="29">
        <v>583.0</v>
      </c>
      <c r="E745" s="28" t="s">
        <v>1987</v>
      </c>
      <c r="F745" s="7" t="str">
        <f>IFERROR(__xludf.DUMMYFUNCTION("GOOGLETRANSLATE(B745:B5064,""en"",""fr"")"),"bateau")</f>
        <v>bateau</v>
      </c>
    </row>
    <row r="746" ht="19.5" customHeight="1">
      <c r="A746" s="26" t="s">
        <v>1988</v>
      </c>
      <c r="B746" s="27" t="s">
        <v>1989</v>
      </c>
      <c r="C746" s="28" t="s">
        <v>134</v>
      </c>
      <c r="D746" s="29">
        <v>582.0</v>
      </c>
      <c r="E746" s="28" t="s">
        <v>1989</v>
      </c>
      <c r="F746" s="7" t="str">
        <f>IFERROR(__xludf.DUMMYFUNCTION("GOOGLETRANSLATE(B746:B5064,""en"",""fr"")"),"fatigué")</f>
        <v>fatigué</v>
      </c>
    </row>
    <row r="747" ht="19.5" customHeight="1">
      <c r="A747" s="26" t="s">
        <v>1990</v>
      </c>
      <c r="B747" s="27" t="s">
        <v>1991</v>
      </c>
      <c r="C747" s="28" t="s">
        <v>85</v>
      </c>
      <c r="D747" s="29">
        <v>581.0</v>
      </c>
      <c r="E747" s="28" t="s">
        <v>1991</v>
      </c>
      <c r="F747" s="7" t="str">
        <f>IFERROR(__xludf.DUMMYFUNCTION("GOOGLETRANSLATE(B747:B5064,""en"",""fr"")"),"ho")</f>
        <v>ho</v>
      </c>
    </row>
    <row r="748" ht="19.5" customHeight="1">
      <c r="A748" s="26" t="s">
        <v>1992</v>
      </c>
      <c r="B748" s="27" t="s">
        <v>1993</v>
      </c>
      <c r="C748" s="28" t="s">
        <v>134</v>
      </c>
      <c r="D748" s="29">
        <v>578.0</v>
      </c>
      <c r="E748" s="28" t="s">
        <v>1993</v>
      </c>
      <c r="F748" s="7" t="str">
        <f>IFERROR(__xludf.DUMMYFUNCTION("GOOGLETRANSLATE(B748:B5064,""en"",""fr"")"),"bouleversé")</f>
        <v>bouleversé</v>
      </c>
    </row>
    <row r="749" ht="19.5" customHeight="1">
      <c r="A749" s="26" t="s">
        <v>1994</v>
      </c>
      <c r="B749" s="27" t="s">
        <v>1995</v>
      </c>
      <c r="C749" s="28" t="s">
        <v>36</v>
      </c>
      <c r="D749" s="29">
        <v>577.0</v>
      </c>
      <c r="E749" s="28" t="s">
        <v>1995</v>
      </c>
      <c r="F749" s="7" t="str">
        <f>IFERROR(__xludf.DUMMYFUNCTION("GOOGLETRANSLATE(B749:B5064,""en"",""fr"")"),"moins")</f>
        <v>moins</v>
      </c>
    </row>
    <row r="750" ht="19.5" customHeight="1">
      <c r="A750" s="26" t="s">
        <v>1996</v>
      </c>
      <c r="B750" s="27" t="s">
        <v>1997</v>
      </c>
      <c r="C750" s="28" t="s">
        <v>150</v>
      </c>
      <c r="D750" s="29">
        <v>576.0</v>
      </c>
      <c r="E750" s="28" t="s">
        <v>1998</v>
      </c>
      <c r="F750" s="7" t="str">
        <f>IFERROR(__xludf.DUMMYFUNCTION("GOOGLETRANSLATE(B750:B5064,""en"",""fr"")"),"neuf")</f>
        <v>neuf</v>
      </c>
    </row>
    <row r="751" ht="19.5" customHeight="1">
      <c r="A751" s="26" t="s">
        <v>1999</v>
      </c>
      <c r="B751" s="27" t="s">
        <v>2000</v>
      </c>
      <c r="C751" s="28" t="s">
        <v>150</v>
      </c>
      <c r="D751" s="29">
        <v>576.0</v>
      </c>
      <c r="E751" s="28" t="s">
        <v>2001</v>
      </c>
      <c r="F751" s="7" t="str">
        <f>IFERROR(__xludf.DUMMYFUNCTION("GOOGLETRANSLATE(B751:B5064,""en"",""fr"")"),"mille")</f>
        <v>mille</v>
      </c>
    </row>
    <row r="752" ht="19.5" customHeight="1">
      <c r="A752" s="26" t="s">
        <v>2002</v>
      </c>
      <c r="B752" s="27" t="s">
        <v>2003</v>
      </c>
      <c r="C752" s="28" t="s">
        <v>32</v>
      </c>
      <c r="D752" s="29">
        <v>574.0</v>
      </c>
      <c r="E752" s="28" t="s">
        <v>2004</v>
      </c>
      <c r="F752" s="7" t="str">
        <f>IFERROR(__xludf.DUMMYFUNCTION("GOOGLETRANSLATE(B752:B5064,""en"",""fr"")"),"fumée")</f>
        <v>fumée</v>
      </c>
    </row>
    <row r="753" ht="19.5" customHeight="1">
      <c r="A753" s="26" t="s">
        <v>2005</v>
      </c>
      <c r="B753" s="27" t="s">
        <v>2006</v>
      </c>
      <c r="C753" s="28" t="s">
        <v>32</v>
      </c>
      <c r="D753" s="29">
        <v>573.0</v>
      </c>
      <c r="E753" s="28" t="s">
        <v>2007</v>
      </c>
      <c r="F753" s="7" t="str">
        <f>IFERROR(__xludf.DUMMYFUNCTION("GOOGLETRANSLATE(B753:B5064,""en"",""fr"")"),"embarrasser")</f>
        <v>embarrasser</v>
      </c>
    </row>
    <row r="754" ht="19.5" customHeight="1">
      <c r="A754" s="26" t="s">
        <v>2008</v>
      </c>
      <c r="B754" s="27" t="s">
        <v>2009</v>
      </c>
      <c r="C754" s="28" t="s">
        <v>178</v>
      </c>
      <c r="D754" s="29">
        <v>572.0</v>
      </c>
      <c r="E754" s="28" t="s">
        <v>2010</v>
      </c>
      <c r="F754" s="7" t="str">
        <f>IFERROR(__xludf.DUMMYFUNCTION("GOOGLETRANSLATE(B754:B5064,""en"",""fr"")"),"groupe")</f>
        <v>groupe</v>
      </c>
    </row>
    <row r="755" ht="19.5" customHeight="1">
      <c r="A755" s="26" t="s">
        <v>2011</v>
      </c>
      <c r="B755" s="27" t="s">
        <v>2012</v>
      </c>
      <c r="C755" s="28" t="s">
        <v>32</v>
      </c>
      <c r="D755" s="29">
        <v>572.0</v>
      </c>
      <c r="E755" s="28" t="s">
        <v>2013</v>
      </c>
      <c r="F755" s="7" t="str">
        <f>IFERROR(__xludf.DUMMYFUNCTION("GOOGLETRANSLATE(B755:B5064,""en"",""fr"")"),"ours")</f>
        <v>ours</v>
      </c>
    </row>
    <row r="756" ht="19.5" customHeight="1">
      <c r="A756" s="26" t="s">
        <v>2014</v>
      </c>
      <c r="B756" s="27" t="s">
        <v>2015</v>
      </c>
      <c r="C756" s="28" t="s">
        <v>36</v>
      </c>
      <c r="D756" s="29">
        <v>571.0</v>
      </c>
      <c r="E756" s="28" t="s">
        <v>2015</v>
      </c>
      <c r="F756" s="7" t="str">
        <f>IFERROR(__xludf.DUMMYFUNCTION("GOOGLETRANSLATE(B756:B5064,""en"",""fr"")"),"aucun")</f>
        <v>aucun</v>
      </c>
    </row>
    <row r="757" ht="19.5" customHeight="1">
      <c r="A757" s="26" t="s">
        <v>2016</v>
      </c>
      <c r="B757" s="27" t="s">
        <v>2017</v>
      </c>
      <c r="C757" s="28" t="s">
        <v>728</v>
      </c>
      <c r="D757" s="29">
        <v>571.0</v>
      </c>
      <c r="E757" s="28" t="s">
        <v>2017</v>
      </c>
      <c r="F757" s="7" t="str">
        <f>IFERROR(__xludf.DUMMYFUNCTION("GOOGLETRANSLATE(B757:B5064,""en"",""fr"")"),"Père Noël")</f>
        <v>Père Noël</v>
      </c>
    </row>
    <row r="758" ht="19.5" customHeight="1">
      <c r="A758" s="26" t="s">
        <v>2018</v>
      </c>
      <c r="B758" s="27" t="s">
        <v>2019</v>
      </c>
      <c r="C758" s="28" t="s">
        <v>134</v>
      </c>
      <c r="D758" s="29">
        <v>571.0</v>
      </c>
      <c r="E758" s="28" t="s">
        <v>2020</v>
      </c>
      <c r="F758" s="7" t="str">
        <f>IFERROR(__xludf.DUMMYFUNCTION("GOOGLETRANSLATE(B758:B5064,""en"",""fr"")"),"fort")</f>
        <v>fort</v>
      </c>
    </row>
    <row r="759" ht="19.5" customHeight="1">
      <c r="A759" s="26" t="s">
        <v>2021</v>
      </c>
      <c r="B759" s="27" t="s">
        <v>2022</v>
      </c>
      <c r="C759" s="28" t="s">
        <v>178</v>
      </c>
      <c r="D759" s="29">
        <v>570.0</v>
      </c>
      <c r="E759" s="28" t="s">
        <v>2023</v>
      </c>
      <c r="F759" s="7" t="str">
        <f>IFERROR(__xludf.DUMMYFUNCTION("GOOGLETRANSLATE(B759:B5064,""en"",""fr"")"),"loi")</f>
        <v>loi</v>
      </c>
    </row>
    <row r="760" ht="19.5" customHeight="1">
      <c r="A760" s="26" t="s">
        <v>2024</v>
      </c>
      <c r="B760" s="27" t="s">
        <v>2025</v>
      </c>
      <c r="C760" s="28" t="s">
        <v>178</v>
      </c>
      <c r="D760" s="29">
        <v>570.0</v>
      </c>
      <c r="E760" s="28" t="s">
        <v>2026</v>
      </c>
      <c r="F760" s="7" t="str">
        <f>IFERROR(__xludf.DUMMYFUNCTION("GOOGLETRANSLATE(B760:B5064,""en"",""fr"")"),"toilettes")</f>
        <v>toilettes</v>
      </c>
    </row>
    <row r="761" ht="19.5" customHeight="1">
      <c r="A761" s="26" t="s">
        <v>2027</v>
      </c>
      <c r="B761" s="27" t="s">
        <v>2028</v>
      </c>
      <c r="C761" s="28" t="s">
        <v>32</v>
      </c>
      <c r="D761" s="29">
        <v>569.0</v>
      </c>
      <c r="E761" s="28" t="s">
        <v>2029</v>
      </c>
      <c r="F761" s="7" t="str">
        <f>IFERROR(__xludf.DUMMYFUNCTION("GOOGLETRANSLATE(B761:B5064,""en"",""fr"")"),"saut")</f>
        <v>saut</v>
      </c>
    </row>
    <row r="762" ht="19.5" customHeight="1">
      <c r="A762" s="26" t="s">
        <v>2030</v>
      </c>
      <c r="B762" s="27" t="s">
        <v>2031</v>
      </c>
      <c r="C762" s="28" t="s">
        <v>32</v>
      </c>
      <c r="D762" s="29">
        <v>567.0</v>
      </c>
      <c r="E762" s="28" t="s">
        <v>2032</v>
      </c>
      <c r="F762" s="7" t="str">
        <f>IFERROR(__xludf.DUMMYFUNCTION("GOOGLETRANSLATE(B762:B5064,""en"",""fr"")"),"compter")</f>
        <v>compter</v>
      </c>
    </row>
    <row r="763" ht="19.5" customHeight="1">
      <c r="A763" s="26" t="s">
        <v>2033</v>
      </c>
      <c r="B763" s="27" t="s">
        <v>2034</v>
      </c>
      <c r="C763" s="28" t="s">
        <v>178</v>
      </c>
      <c r="D763" s="29">
        <v>566.0</v>
      </c>
      <c r="E763" s="28" t="s">
        <v>2035</v>
      </c>
      <c r="F763" s="7" t="str">
        <f>IFERROR(__xludf.DUMMYFUNCTION("GOOGLETRANSLATE(B763:B5064,""en"",""fr"")"),"œuf")</f>
        <v>œuf</v>
      </c>
    </row>
    <row r="764" ht="19.5" customHeight="1">
      <c r="A764" s="26" t="s">
        <v>2036</v>
      </c>
      <c r="B764" s="27" t="s">
        <v>2037</v>
      </c>
      <c r="C764" s="28" t="s">
        <v>728</v>
      </c>
      <c r="D764" s="29">
        <v>565.0</v>
      </c>
      <c r="E764" s="28" t="s">
        <v>2038</v>
      </c>
      <c r="F764" s="7" t="str">
        <f>IFERROR(__xludf.DUMMYFUNCTION("GOOGLETRANSLATE(B764:B5064,""en"",""fr"")"),"Samedi")</f>
        <v>Samedi</v>
      </c>
    </row>
    <row r="765" ht="19.5" customHeight="1">
      <c r="A765" s="26" t="s">
        <v>2039</v>
      </c>
      <c r="B765" s="27" t="s">
        <v>2040</v>
      </c>
      <c r="C765" s="28" t="s">
        <v>134</v>
      </c>
      <c r="D765" s="29">
        <v>564.0</v>
      </c>
      <c r="E765" s="28" t="s">
        <v>2041</v>
      </c>
      <c r="F765" s="7" t="str">
        <f>IFERROR(__xludf.DUMMYFUNCTION("GOOGLETRANSLATE(B765:B5064,""en"",""fr"")"),"bleu")</f>
        <v>bleu</v>
      </c>
    </row>
    <row r="766" ht="19.5" customHeight="1">
      <c r="A766" s="26" t="s">
        <v>2042</v>
      </c>
      <c r="B766" s="27" t="s">
        <v>2043</v>
      </c>
      <c r="C766" s="28" t="s">
        <v>134</v>
      </c>
      <c r="D766" s="29">
        <v>564.0</v>
      </c>
      <c r="E766" s="28" t="s">
        <v>2043</v>
      </c>
      <c r="F766" s="7" t="str">
        <f>IFERROR(__xludf.DUMMYFUNCTION("GOOGLETRANSLATE(B766:B5064,""en"",""fr"")"),"horrible")</f>
        <v>horrible</v>
      </c>
    </row>
    <row r="767" ht="19.5" customHeight="1">
      <c r="A767" s="26" t="s">
        <v>2044</v>
      </c>
      <c r="B767" s="27" t="s">
        <v>2045</v>
      </c>
      <c r="C767" s="28" t="s">
        <v>178</v>
      </c>
      <c r="D767" s="29">
        <v>564.0</v>
      </c>
      <c r="E767" s="28" t="s">
        <v>2046</v>
      </c>
      <c r="F767" s="7" t="str">
        <f>IFERROR(__xludf.DUMMYFUNCTION("GOOGLETRANSLATE(B767:B5064,""en"",""fr"")"),"merde")</f>
        <v>merde</v>
      </c>
    </row>
    <row r="768" ht="19.5" customHeight="1">
      <c r="A768" s="26" t="s">
        <v>2047</v>
      </c>
      <c r="B768" s="27" t="s">
        <v>2048</v>
      </c>
      <c r="C768" s="28" t="s">
        <v>178</v>
      </c>
      <c r="D768" s="29">
        <v>563.0</v>
      </c>
      <c r="E768" s="28" t="s">
        <v>2049</v>
      </c>
      <c r="F768" s="7" t="str">
        <f>IFERROR(__xludf.DUMMYFUNCTION("GOOGLETRANSLATE(B768:B5064,""en"",""fr"")"),"service")</f>
        <v>service</v>
      </c>
    </row>
    <row r="769" ht="19.5" customHeight="1">
      <c r="A769" s="26" t="s">
        <v>2050</v>
      </c>
      <c r="B769" s="27" t="s">
        <v>2051</v>
      </c>
      <c r="C769" s="28" t="s">
        <v>32</v>
      </c>
      <c r="D769" s="29">
        <v>563.0</v>
      </c>
      <c r="E769" s="28" t="s">
        <v>2052</v>
      </c>
      <c r="F769" s="7" t="str">
        <f>IFERROR(__xludf.DUMMYFUNCTION("GOOGLETRANSLATE(B769:B5064,""en"",""fr"")"),"poignée")</f>
        <v>poignée</v>
      </c>
    </row>
    <row r="770" ht="19.5" customHeight="1">
      <c r="A770" s="26" t="s">
        <v>2053</v>
      </c>
      <c r="B770" s="27" t="s">
        <v>2054</v>
      </c>
      <c r="C770" s="28" t="s">
        <v>178</v>
      </c>
      <c r="D770" s="29">
        <v>563.0</v>
      </c>
      <c r="E770" s="28" t="s">
        <v>2055</v>
      </c>
      <c r="F770" s="7" t="str">
        <f>IFERROR(__xludf.DUMMYFUNCTION("GOOGLETRANSLATE(B770:B5064,""en"",""fr"")"),"mur")</f>
        <v>mur</v>
      </c>
    </row>
    <row r="771" ht="19.5" customHeight="1">
      <c r="A771" s="26" t="s">
        <v>2056</v>
      </c>
      <c r="B771" s="27" t="s">
        <v>2057</v>
      </c>
      <c r="C771" s="28" t="s">
        <v>178</v>
      </c>
      <c r="D771" s="29">
        <v>562.0</v>
      </c>
      <c r="E771" s="28" t="s">
        <v>2058</v>
      </c>
      <c r="F771" s="7" t="str">
        <f>IFERROR(__xludf.DUMMYFUNCTION("GOOGLETRANSLATE(B771:B5064,""en"",""fr"")"),"art")</f>
        <v>art</v>
      </c>
    </row>
    <row r="772" ht="19.5" customHeight="1">
      <c r="A772" s="26" t="s">
        <v>2059</v>
      </c>
      <c r="B772" s="27" t="s">
        <v>2060</v>
      </c>
      <c r="C772" s="28" t="s">
        <v>32</v>
      </c>
      <c r="D772" s="29">
        <v>562.0</v>
      </c>
      <c r="E772" s="28" t="s">
        <v>2061</v>
      </c>
      <c r="F772" s="7" t="str">
        <f>IFERROR(__xludf.DUMMYFUNCTION("GOOGLETRANSLATE(B772:B5064,""en"",""fr"")"),"couverture")</f>
        <v>couverture</v>
      </c>
    </row>
    <row r="773" ht="19.5" customHeight="1">
      <c r="A773" s="26" t="s">
        <v>2062</v>
      </c>
      <c r="B773" s="27" t="s">
        <v>2063</v>
      </c>
      <c r="C773" s="28" t="s">
        <v>178</v>
      </c>
      <c r="D773" s="29">
        <v>561.0</v>
      </c>
      <c r="E773" s="28" t="s">
        <v>2064</v>
      </c>
      <c r="F773" s="7" t="str">
        <f>IFERROR(__xludf.DUMMYFUNCTION("GOOGLETRANSLATE(B773:B5064,""en"",""fr"")"),"bras")</f>
        <v>bras</v>
      </c>
    </row>
    <row r="774" ht="19.5" customHeight="1">
      <c r="A774" s="26" t="s">
        <v>2065</v>
      </c>
      <c r="B774" s="27" t="s">
        <v>2066</v>
      </c>
      <c r="C774" s="28" t="s">
        <v>100</v>
      </c>
      <c r="D774" s="29">
        <v>560.0</v>
      </c>
      <c r="E774" s="28" t="s">
        <v>2066</v>
      </c>
      <c r="F774" s="7" t="str">
        <f>IFERROR(__xludf.DUMMYFUNCTION("GOOGLETRANSLATE(B774:B5064,""en"",""fr"")"),"peut-être")</f>
        <v>peut-être</v>
      </c>
    </row>
    <row r="775" ht="19.5" customHeight="1">
      <c r="A775" s="26" t="s">
        <v>2067</v>
      </c>
      <c r="B775" s="27" t="s">
        <v>2068</v>
      </c>
      <c r="C775" s="28" t="s">
        <v>134</v>
      </c>
      <c r="D775" s="29">
        <v>560.0</v>
      </c>
      <c r="E775" s="28" t="s">
        <v>2069</v>
      </c>
      <c r="F775" s="7" t="str">
        <f>IFERROR(__xludf.DUMMYFUNCTION("GOOGLETRANSLATE(B775:B5064,""en"",""fr"")"),"simple")</f>
        <v>simple</v>
      </c>
    </row>
    <row r="776" ht="19.5" customHeight="1">
      <c r="A776" s="26" t="s">
        <v>2070</v>
      </c>
      <c r="B776" s="27" t="s">
        <v>2071</v>
      </c>
      <c r="C776" s="28" t="s">
        <v>178</v>
      </c>
      <c r="D776" s="29">
        <v>558.0</v>
      </c>
      <c r="E776" s="28" t="s">
        <v>2072</v>
      </c>
      <c r="F776" s="7" t="str">
        <f>IFERROR(__xludf.DUMMYFUNCTION("GOOGLETRANSLATE(B776:B5064,""en"",""fr"")"),"bus")</f>
        <v>bus</v>
      </c>
    </row>
    <row r="777" ht="19.5" customHeight="1">
      <c r="A777" s="26" t="s">
        <v>2073</v>
      </c>
      <c r="B777" s="27" t="s">
        <v>2074</v>
      </c>
      <c r="C777" s="28" t="s">
        <v>32</v>
      </c>
      <c r="D777" s="29">
        <v>556.0</v>
      </c>
      <c r="E777" s="28" t="s">
        <v>2075</v>
      </c>
      <c r="F777" s="7" t="str">
        <f>IFERROR(__xludf.DUMMYFUNCTION("GOOGLETRANSLATE(B777:B5064,""en"",""fr"")"),"apprécier")</f>
        <v>apprécier</v>
      </c>
    </row>
    <row r="778" ht="19.5" customHeight="1">
      <c r="A778" s="26" t="s">
        <v>2076</v>
      </c>
      <c r="B778" s="27" t="s">
        <v>2077</v>
      </c>
      <c r="C778" s="28" t="s">
        <v>36</v>
      </c>
      <c r="D778" s="29">
        <v>556.0</v>
      </c>
      <c r="E778" s="28" t="s">
        <v>2077</v>
      </c>
      <c r="F778" s="7" t="str">
        <f>IFERROR(__xludf.DUMMYFUNCTION("GOOGLETRANSLATE(B778:B5064,""en"",""fr"")"),"lui-même")</f>
        <v>lui-même</v>
      </c>
    </row>
    <row r="779" ht="19.5" customHeight="1">
      <c r="A779" s="26" t="s">
        <v>2078</v>
      </c>
      <c r="B779" s="27" t="s">
        <v>2079</v>
      </c>
      <c r="C779" s="28" t="s">
        <v>32</v>
      </c>
      <c r="D779" s="29">
        <v>556.0</v>
      </c>
      <c r="E779" s="28" t="s">
        <v>2080</v>
      </c>
      <c r="F779" s="7" t="str">
        <f>IFERROR(__xludf.DUMMYFUNCTION("GOOGLETRANSLATE(B779:B5064,""en"",""fr"")"),"surprendre")</f>
        <v>surprendre</v>
      </c>
    </row>
    <row r="780" ht="19.5" customHeight="1">
      <c r="A780" s="26" t="s">
        <v>2081</v>
      </c>
      <c r="B780" s="27" t="s">
        <v>2082</v>
      </c>
      <c r="C780" s="28" t="s">
        <v>178</v>
      </c>
      <c r="D780" s="29">
        <v>555.0</v>
      </c>
      <c r="E780" s="28" t="s">
        <v>2083</v>
      </c>
      <c r="F780" s="7" t="str">
        <f>IFERROR(__xludf.DUMMYFUNCTION("GOOGLETRANSLATE(B780:B5064,""en"",""fr"")"),"bonbons")</f>
        <v>bonbons</v>
      </c>
    </row>
    <row r="781" ht="19.5" customHeight="1">
      <c r="A781" s="26" t="s">
        <v>2084</v>
      </c>
      <c r="B781" s="27" t="s">
        <v>2085</v>
      </c>
      <c r="C781" s="28" t="s">
        <v>178</v>
      </c>
      <c r="D781" s="29">
        <v>553.0</v>
      </c>
      <c r="E781" s="28" t="s">
        <v>2086</v>
      </c>
      <c r="F781" s="7" t="str">
        <f>IFERROR(__xludf.DUMMYFUNCTION("GOOGLETRANSLATE(B781:B5064,""en"",""fr"")"),"doigt")</f>
        <v>doigt</v>
      </c>
    </row>
    <row r="782" ht="19.5" customHeight="1">
      <c r="A782" s="26" t="s">
        <v>2087</v>
      </c>
      <c r="B782" s="27" t="s">
        <v>2088</v>
      </c>
      <c r="C782" s="28" t="s">
        <v>134</v>
      </c>
      <c r="D782" s="29">
        <v>551.0</v>
      </c>
      <c r="E782" s="28" t="s">
        <v>2088</v>
      </c>
      <c r="F782" s="7" t="str">
        <f>IFERROR(__xludf.DUMMYFUNCTION("GOOGLETRANSLATE(B782:B5064,""en"",""fr"")"),"valeur")</f>
        <v>valeur</v>
      </c>
    </row>
    <row r="783" ht="19.5" customHeight="1">
      <c r="A783" s="26" t="s">
        <v>2089</v>
      </c>
      <c r="B783" s="27" t="s">
        <v>2090</v>
      </c>
      <c r="C783" s="28" t="s">
        <v>178</v>
      </c>
      <c r="D783" s="29">
        <v>550.0</v>
      </c>
      <c r="E783" s="28" t="s">
        <v>2091</v>
      </c>
      <c r="F783" s="7" t="str">
        <f>IFERROR(__xludf.DUMMYFUNCTION("GOOGLETRANSLATE(B783:B5064,""en"",""fr"")"),"État")</f>
        <v>État</v>
      </c>
    </row>
    <row r="784" ht="19.5" customHeight="1">
      <c r="A784" s="26" t="s">
        <v>2092</v>
      </c>
      <c r="B784" s="27" t="s">
        <v>2093</v>
      </c>
      <c r="C784" s="28" t="s">
        <v>134</v>
      </c>
      <c r="D784" s="29">
        <v>549.0</v>
      </c>
      <c r="E784" s="28" t="s">
        <v>2093</v>
      </c>
      <c r="F784" s="7" t="str">
        <f>IFERROR(__xludf.DUMMYFUNCTION("GOOGLETRANSLATE(B784:B5064,""en"",""fr"")"),"possible")</f>
        <v>possible</v>
      </c>
    </row>
    <row r="785" ht="19.5" customHeight="1">
      <c r="A785" s="26" t="s">
        <v>2094</v>
      </c>
      <c r="B785" s="27" t="s">
        <v>2095</v>
      </c>
      <c r="C785" s="28" t="s">
        <v>134</v>
      </c>
      <c r="D785" s="29">
        <v>548.0</v>
      </c>
      <c r="E785" s="28" t="s">
        <v>2096</v>
      </c>
      <c r="F785" s="7" t="str">
        <f>IFERROR(__xludf.DUMMYFUNCTION("GOOGLETRANSLATE(B785:B5064,""en"",""fr"")"),"riche")</f>
        <v>riche</v>
      </c>
    </row>
    <row r="786" ht="19.5" customHeight="1">
      <c r="A786" s="26" t="s">
        <v>2097</v>
      </c>
      <c r="B786" s="27" t="s">
        <v>2098</v>
      </c>
      <c r="C786" s="28" t="s">
        <v>134</v>
      </c>
      <c r="D786" s="29">
        <v>548.0</v>
      </c>
      <c r="E786" s="28" t="s">
        <v>2099</v>
      </c>
      <c r="F786" s="7" t="str">
        <f>IFERROR(__xludf.DUMMYFUNCTION("GOOGLETRANSLATE(B786:B5064,""en"",""fr"")"),"court")</f>
        <v>court</v>
      </c>
    </row>
    <row r="787" ht="19.5" customHeight="1">
      <c r="A787" s="26" t="s">
        <v>2100</v>
      </c>
      <c r="B787" s="27" t="s">
        <v>2101</v>
      </c>
      <c r="C787" s="28" t="s">
        <v>178</v>
      </c>
      <c r="D787" s="29">
        <v>547.0</v>
      </c>
      <c r="E787" s="28" t="s">
        <v>2102</v>
      </c>
      <c r="F787" s="7" t="str">
        <f>IFERROR(__xludf.DUMMYFUNCTION("GOOGLETRANSLATE(B787:B5064,""en"",""fr"")"),"roi")</f>
        <v>roi</v>
      </c>
    </row>
    <row r="788" ht="19.5" customHeight="1">
      <c r="A788" s="26" t="s">
        <v>2103</v>
      </c>
      <c r="B788" s="27" t="s">
        <v>2104</v>
      </c>
      <c r="C788" s="28" t="s">
        <v>32</v>
      </c>
      <c r="D788" s="29">
        <v>547.0</v>
      </c>
      <c r="E788" s="28" t="s">
        <v>2105</v>
      </c>
      <c r="F788" s="7" t="str">
        <f>IFERROR(__xludf.DUMMYFUNCTION("GOOGLETRANSLATE(B788:B5064,""en"",""fr"")"),"frappe")</f>
        <v>frappe</v>
      </c>
    </row>
    <row r="789" ht="19.5" customHeight="1">
      <c r="A789" s="26" t="s">
        <v>2106</v>
      </c>
      <c r="B789" s="27" t="s">
        <v>2107</v>
      </c>
      <c r="C789" s="28" t="s">
        <v>178</v>
      </c>
      <c r="D789" s="29">
        <v>545.0</v>
      </c>
      <c r="E789" s="28" t="s">
        <v>2108</v>
      </c>
      <c r="F789" s="7" t="str">
        <f>IFERROR(__xludf.DUMMYFUNCTION("GOOGLETRANSLATE(B789:B5064,""en"",""fr"")"),"biscuit")</f>
        <v>biscuit</v>
      </c>
    </row>
    <row r="790" ht="19.5" customHeight="1">
      <c r="A790" s="26" t="s">
        <v>2109</v>
      </c>
      <c r="B790" s="27" t="s">
        <v>2110</v>
      </c>
      <c r="C790" s="28" t="s">
        <v>178</v>
      </c>
      <c r="D790" s="29">
        <v>545.0</v>
      </c>
      <c r="E790" s="28" t="s">
        <v>2111</v>
      </c>
      <c r="F790" s="7" t="str">
        <f>IFERROR(__xludf.DUMMYFUNCTION("GOOGLETRANSLATE(B790:B5064,""en"",""fr"")"),"pénis")</f>
        <v>pénis</v>
      </c>
    </row>
    <row r="791" ht="19.5" customHeight="1">
      <c r="A791" s="26" t="s">
        <v>2112</v>
      </c>
      <c r="B791" s="27" t="s">
        <v>2113</v>
      </c>
      <c r="C791" s="28" t="s">
        <v>178</v>
      </c>
      <c r="D791" s="29">
        <v>544.0</v>
      </c>
      <c r="E791" s="28" t="s">
        <v>2114</v>
      </c>
      <c r="F791" s="7" t="str">
        <f>IFERROR(__xludf.DUMMYFUNCTION("GOOGLETRANSLATE(B791:B5064,""en"",""fr"")"),"histoire")</f>
        <v>histoire</v>
      </c>
    </row>
    <row r="792" ht="19.5" customHeight="1">
      <c r="A792" s="26" t="s">
        <v>2115</v>
      </c>
      <c r="B792" s="27" t="s">
        <v>2116</v>
      </c>
      <c r="C792" s="28" t="s">
        <v>32</v>
      </c>
      <c r="D792" s="29">
        <v>544.0</v>
      </c>
      <c r="E792" s="28" t="s">
        <v>2117</v>
      </c>
      <c r="F792" s="7" t="str">
        <f>IFERROR(__xludf.DUMMYFUNCTION("GOOGLETRANSLATE(B792:B5064,""en"",""fr"")"),"imaginer")</f>
        <v>imaginer</v>
      </c>
    </row>
    <row r="793" ht="19.5" customHeight="1">
      <c r="A793" s="26" t="s">
        <v>2118</v>
      </c>
      <c r="B793" s="27" t="s">
        <v>2119</v>
      </c>
      <c r="C793" s="28" t="s">
        <v>150</v>
      </c>
      <c r="D793" s="29">
        <v>544.0</v>
      </c>
      <c r="E793" s="28" t="s">
        <v>2120</v>
      </c>
      <c r="F793" s="7" t="str">
        <f>IFERROR(__xludf.DUMMYFUNCTION("GOOGLETRANSLATE(B793:B5064,""en"",""fr"")"),"troisième")</f>
        <v>troisième</v>
      </c>
    </row>
    <row r="794" ht="19.5" customHeight="1">
      <c r="A794" s="26" t="s">
        <v>2121</v>
      </c>
      <c r="B794" s="27" t="s">
        <v>2122</v>
      </c>
      <c r="C794" s="28" t="s">
        <v>178</v>
      </c>
      <c r="D794" s="29">
        <v>542.0</v>
      </c>
      <c r="E794" s="28" t="s">
        <v>2123</v>
      </c>
      <c r="F794" s="7" t="str">
        <f>IFERROR(__xludf.DUMMYFUNCTION("GOOGLETRANSLATE(B794:B5064,""en"",""fr"")"),"sang")</f>
        <v>sang</v>
      </c>
    </row>
    <row r="795" ht="19.5" customHeight="1">
      <c r="A795" s="26" t="s">
        <v>2124</v>
      </c>
      <c r="B795" s="27" t="s">
        <v>2125</v>
      </c>
      <c r="C795" s="28" t="s">
        <v>178</v>
      </c>
      <c r="D795" s="29">
        <v>542.0</v>
      </c>
      <c r="E795" s="28" t="s">
        <v>2126</v>
      </c>
      <c r="F795" s="7" t="str">
        <f>IFERROR(__xludf.DUMMYFUNCTION("GOOGLETRANSLATE(B795:B5064,""en"",""fr"")"),"médicament")</f>
        <v>médicament</v>
      </c>
    </row>
    <row r="796" ht="19.5" customHeight="1">
      <c r="A796" s="26" t="s">
        <v>2127</v>
      </c>
      <c r="B796" s="27" t="s">
        <v>2128</v>
      </c>
      <c r="C796" s="28" t="s">
        <v>178</v>
      </c>
      <c r="D796" s="29">
        <v>541.0</v>
      </c>
      <c r="E796" s="28" t="s">
        <v>2129</v>
      </c>
      <c r="F796" s="7" t="str">
        <f>IFERROR(__xludf.DUMMYFUNCTION("GOOGLETRANSLATE(B796:B5064,""en"",""fr"")"),"avenir")</f>
        <v>avenir</v>
      </c>
    </row>
    <row r="797" ht="19.5" customHeight="1">
      <c r="A797" s="26" t="s">
        <v>2130</v>
      </c>
      <c r="B797" s="27" t="s">
        <v>2131</v>
      </c>
      <c r="C797" s="28" t="s">
        <v>32</v>
      </c>
      <c r="D797" s="29">
        <v>540.0</v>
      </c>
      <c r="E797" s="28" t="s">
        <v>2132</v>
      </c>
      <c r="F797" s="7" t="str">
        <f>IFERROR(__xludf.DUMMYFUNCTION("GOOGLETRANSLATE(B797:B5064,""en"",""fr"")"),"prouver")</f>
        <v>prouver</v>
      </c>
    </row>
    <row r="798" ht="19.5" customHeight="1">
      <c r="A798" s="26" t="s">
        <v>2133</v>
      </c>
      <c r="B798" s="27" t="s">
        <v>2079</v>
      </c>
      <c r="C798" s="28" t="s">
        <v>178</v>
      </c>
      <c r="D798" s="29">
        <v>540.0</v>
      </c>
      <c r="E798" s="28" t="s">
        <v>2134</v>
      </c>
      <c r="F798" s="7" t="str">
        <f>IFERROR(__xludf.DUMMYFUNCTION("GOOGLETRANSLATE(B798:B5064,""en"",""fr"")"),"surprendre")</f>
        <v>surprendre</v>
      </c>
    </row>
    <row r="799" ht="19.5" customHeight="1">
      <c r="A799" s="26" t="s">
        <v>2135</v>
      </c>
      <c r="B799" s="27" t="s">
        <v>2136</v>
      </c>
      <c r="C799" s="28" t="s">
        <v>100</v>
      </c>
      <c r="D799" s="29">
        <v>539.0</v>
      </c>
      <c r="E799" s="28" t="s">
        <v>2136</v>
      </c>
      <c r="F799" s="7" t="str">
        <f>IFERROR(__xludf.DUMMYFUNCTION("GOOGLETRANSLATE(B799:B5064,""en"",""fr"")"),"Très bien")</f>
        <v>Très bien</v>
      </c>
    </row>
    <row r="800" ht="19.5" customHeight="1">
      <c r="A800" s="26" t="s">
        <v>2137</v>
      </c>
      <c r="B800" s="27" t="s">
        <v>2138</v>
      </c>
      <c r="C800" s="28" t="s">
        <v>178</v>
      </c>
      <c r="D800" s="29">
        <v>539.0</v>
      </c>
      <c r="E800" s="28" t="s">
        <v>2139</v>
      </c>
      <c r="F800" s="7" t="str">
        <f>IFERROR(__xludf.DUMMYFUNCTION("GOOGLETRANSLATE(B800:B5064,""en"",""fr"")"),"capitaine")</f>
        <v>capitaine</v>
      </c>
    </row>
    <row r="801" ht="19.5" customHeight="1">
      <c r="A801" s="26" t="s">
        <v>2140</v>
      </c>
      <c r="B801" s="27" t="s">
        <v>2141</v>
      </c>
      <c r="C801" s="28" t="s">
        <v>178</v>
      </c>
      <c r="D801" s="29">
        <v>539.0</v>
      </c>
      <c r="E801" s="28" t="s">
        <v>2142</v>
      </c>
      <c r="F801" s="7" t="str">
        <f>IFERROR(__xludf.DUMMYFUNCTION("GOOGLETRANSLATE(B801:B5064,""en"",""fr"")"),"soirée")</f>
        <v>soirée</v>
      </c>
    </row>
    <row r="802" ht="19.5" customHeight="1">
      <c r="A802" s="26" t="s">
        <v>2143</v>
      </c>
      <c r="B802" s="27" t="s">
        <v>2144</v>
      </c>
      <c r="C802" s="28" t="s">
        <v>85</v>
      </c>
      <c r="D802" s="29">
        <v>538.0</v>
      </c>
      <c r="E802" s="28" t="s">
        <v>2144</v>
      </c>
      <c r="F802" s="7" t="str">
        <f>IFERROR(__xludf.DUMMYFUNCTION("GOOGLETRANSLATE(B802:B5064,""en"",""fr"")"),"toutes nos félicitations")</f>
        <v>toutes nos félicitations</v>
      </c>
    </row>
    <row r="803" ht="19.5" customHeight="1">
      <c r="A803" s="26" t="s">
        <v>2145</v>
      </c>
      <c r="B803" s="27" t="s">
        <v>2146</v>
      </c>
      <c r="C803" s="28" t="s">
        <v>178</v>
      </c>
      <c r="D803" s="29">
        <v>538.0</v>
      </c>
      <c r="E803" s="28" t="s">
        <v>2147</v>
      </c>
      <c r="F803" s="7" t="str">
        <f>IFERROR(__xludf.DUMMYFUNCTION("GOOGLETRANSLATE(B803:B5064,""en"",""fr"")"),"système")</f>
        <v>système</v>
      </c>
    </row>
    <row r="804" ht="19.5" customHeight="1">
      <c r="A804" s="26" t="s">
        <v>2148</v>
      </c>
      <c r="B804" s="27" t="s">
        <v>2149</v>
      </c>
      <c r="C804" s="28" t="s">
        <v>178</v>
      </c>
      <c r="D804" s="29">
        <v>534.0</v>
      </c>
      <c r="E804" s="28" t="s">
        <v>2150</v>
      </c>
      <c r="F804" s="7" t="str">
        <f>IFERROR(__xludf.DUMMYFUNCTION("GOOGLETRANSLATE(B804:B5064,""en"",""fr"")"),"enregistrer")</f>
        <v>enregistrer</v>
      </c>
    </row>
    <row r="805" ht="19.5" customHeight="1">
      <c r="A805" s="26" t="s">
        <v>2151</v>
      </c>
      <c r="B805" s="27" t="s">
        <v>2152</v>
      </c>
      <c r="C805" s="28" t="s">
        <v>178</v>
      </c>
      <c r="D805" s="29">
        <v>533.0</v>
      </c>
      <c r="E805" s="28" t="s">
        <v>2153</v>
      </c>
      <c r="F805" s="7" t="str">
        <f>IFERROR(__xludf.DUMMYFUNCTION("GOOGLETRANSLATE(B805:B5064,""en"",""fr"")"),"âge")</f>
        <v>âge</v>
      </c>
    </row>
    <row r="806" ht="19.5" customHeight="1">
      <c r="A806" s="26" t="s">
        <v>2154</v>
      </c>
      <c r="B806" s="27" t="s">
        <v>2155</v>
      </c>
      <c r="C806" s="28" t="s">
        <v>32</v>
      </c>
      <c r="D806" s="29">
        <v>529.0</v>
      </c>
      <c r="E806" s="28" t="s">
        <v>2156</v>
      </c>
      <c r="F806" s="7" t="str">
        <f>IFERROR(__xludf.DUMMYFUNCTION("GOOGLETRANSLATE(B806:B5064,""en"",""fr"")"),"mériter")</f>
        <v>mériter</v>
      </c>
    </row>
    <row r="807" ht="19.5" customHeight="1">
      <c r="A807" s="26" t="s">
        <v>2157</v>
      </c>
      <c r="B807" s="27" t="s">
        <v>2158</v>
      </c>
      <c r="C807" s="28" t="s">
        <v>134</v>
      </c>
      <c r="D807" s="29">
        <v>528.0</v>
      </c>
      <c r="E807" s="28" t="s">
        <v>2158</v>
      </c>
      <c r="F807" s="7" t="str">
        <f>IFERROR(__xludf.DUMMYFUNCTION("GOOGLETRANSLATE(B807:B5064,""en"",""fr"")"),"normale")</f>
        <v>normale</v>
      </c>
    </row>
    <row r="808" ht="19.5" customHeight="1">
      <c r="A808" s="26" t="s">
        <v>2159</v>
      </c>
      <c r="B808" s="27" t="s">
        <v>2160</v>
      </c>
      <c r="C808" s="28" t="s">
        <v>178</v>
      </c>
      <c r="D808" s="29">
        <v>528.0</v>
      </c>
      <c r="E808" s="28" t="s">
        <v>2161</v>
      </c>
      <c r="F808" s="7" t="str">
        <f>IFERROR(__xludf.DUMMYFUNCTION("GOOGLETRANSLATE(B808:B5064,""en"",""fr"")"),"hier")</f>
        <v>hier</v>
      </c>
    </row>
    <row r="809" ht="19.5" customHeight="1">
      <c r="A809" s="26" t="s">
        <v>2162</v>
      </c>
      <c r="B809" s="27" t="s">
        <v>2163</v>
      </c>
      <c r="C809" s="28" t="s">
        <v>178</v>
      </c>
      <c r="D809" s="29">
        <v>526.0</v>
      </c>
      <c r="E809" s="28" t="s">
        <v>2164</v>
      </c>
      <c r="F809" s="7" t="str">
        <f>IFERROR(__xludf.DUMMYFUNCTION("GOOGLETRANSLATE(B809:B5064,""en"",""fr"")"),"abruti")</f>
        <v>abruti</v>
      </c>
    </row>
    <row r="810" ht="19.5" customHeight="1">
      <c r="A810" s="26" t="s">
        <v>2165</v>
      </c>
      <c r="B810" s="27" t="s">
        <v>2166</v>
      </c>
      <c r="C810" s="28" t="s">
        <v>85</v>
      </c>
      <c r="D810" s="29">
        <v>526.0</v>
      </c>
      <c r="E810" s="28" t="s">
        <v>2166</v>
      </c>
      <c r="F810" s="7" t="str">
        <f>IFERROR(__xludf.DUMMYFUNCTION("GOOGLETRANSLATE(B810:B5064,""en"",""fr"")"),"Yay")</f>
        <v>Yay</v>
      </c>
    </row>
    <row r="811" ht="19.5" customHeight="1">
      <c r="A811" s="26" t="s">
        <v>2167</v>
      </c>
      <c r="B811" s="27" t="s">
        <v>2168</v>
      </c>
      <c r="C811" s="28" t="s">
        <v>178</v>
      </c>
      <c r="D811" s="29">
        <v>525.0</v>
      </c>
      <c r="E811" s="28" t="s">
        <v>2169</v>
      </c>
      <c r="F811" s="7" t="str">
        <f>IFERROR(__xludf.DUMMYFUNCTION("GOOGLETRANSLATE(B811:B5064,""en"",""fr"")"),"oiseau")</f>
        <v>oiseau</v>
      </c>
    </row>
    <row r="812" ht="19.5" customHeight="1">
      <c r="A812" s="26" t="s">
        <v>2170</v>
      </c>
      <c r="B812" s="27" t="s">
        <v>2171</v>
      </c>
      <c r="C812" s="28" t="s">
        <v>178</v>
      </c>
      <c r="D812" s="29">
        <v>525.0</v>
      </c>
      <c r="E812" s="28" t="s">
        <v>2172</v>
      </c>
      <c r="F812" s="7" t="str">
        <f>IFERROR(__xludf.DUMMYFUNCTION("GOOGLETRANSLATE(B812:B5064,""en"",""fr"")"),"nez")</f>
        <v>nez</v>
      </c>
    </row>
    <row r="813" ht="19.5" customHeight="1">
      <c r="A813" s="26" t="s">
        <v>2173</v>
      </c>
      <c r="B813" s="27" t="s">
        <v>2174</v>
      </c>
      <c r="C813" s="28" t="s">
        <v>32</v>
      </c>
      <c r="D813" s="29">
        <v>525.0</v>
      </c>
      <c r="E813" s="28" t="s">
        <v>2175</v>
      </c>
      <c r="F813" s="7" t="str">
        <f>IFERROR(__xludf.DUMMYFUNCTION("GOOGLETRANSLATE(B813:B5064,""en"",""fr"")"),"déranger")</f>
        <v>déranger</v>
      </c>
    </row>
    <row r="814" ht="19.5" customHeight="1">
      <c r="A814" s="26" t="s">
        <v>2176</v>
      </c>
      <c r="B814" s="27" t="s">
        <v>2177</v>
      </c>
      <c r="C814" s="28" t="s">
        <v>178</v>
      </c>
      <c r="D814" s="29">
        <v>523.0</v>
      </c>
      <c r="E814" s="28" t="s">
        <v>2178</v>
      </c>
      <c r="F814" s="7" t="str">
        <f>IFERROR(__xludf.DUMMYFUNCTION("GOOGLETRANSLATE(B814:B5064,""en"",""fr"")"),"ventilateur")</f>
        <v>ventilateur</v>
      </c>
    </row>
    <row r="815" ht="19.5" customHeight="1">
      <c r="A815" s="26" t="s">
        <v>2179</v>
      </c>
      <c r="B815" s="27" t="s">
        <v>2180</v>
      </c>
      <c r="C815" s="28" t="s">
        <v>178</v>
      </c>
      <c r="D815" s="29">
        <v>523.0</v>
      </c>
      <c r="E815" s="28" t="s">
        <v>2181</v>
      </c>
      <c r="F815" s="7" t="str">
        <f>IFERROR(__xludf.DUMMYFUNCTION("GOOGLETRANSLATE(B815:B5064,""en"",""fr"")"),"lettre")</f>
        <v>lettre</v>
      </c>
    </row>
    <row r="816" ht="19.5" customHeight="1">
      <c r="A816" s="26" t="s">
        <v>2182</v>
      </c>
      <c r="B816" s="27" t="s">
        <v>2183</v>
      </c>
      <c r="C816" s="28" t="s">
        <v>100</v>
      </c>
      <c r="D816" s="29">
        <v>522.0</v>
      </c>
      <c r="E816" s="28" t="s">
        <v>2183</v>
      </c>
      <c r="F816" s="7" t="str">
        <f>IFERROR(__xludf.DUMMYFUNCTION("GOOGLETRANSLATE(B816:B5064,""en"",""fr"")"),"plutôt")</f>
        <v>plutôt</v>
      </c>
    </row>
    <row r="817" ht="19.5" customHeight="1">
      <c r="A817" s="26" t="s">
        <v>2184</v>
      </c>
      <c r="B817" s="27" t="s">
        <v>730</v>
      </c>
      <c r="C817" s="28" t="s">
        <v>32</v>
      </c>
      <c r="D817" s="29">
        <v>520.0</v>
      </c>
      <c r="E817" s="28" t="s">
        <v>2185</v>
      </c>
      <c r="F817" s="7" t="str">
        <f>IFERROR(__xludf.DUMMYFUNCTION("GOOGLETRANSLATE(B817:B5064,""en"",""fr"")"),"tête")</f>
        <v>tête</v>
      </c>
    </row>
    <row r="818" ht="19.5" customHeight="1">
      <c r="A818" s="26" t="s">
        <v>2186</v>
      </c>
      <c r="B818" s="27" t="s">
        <v>2187</v>
      </c>
      <c r="C818" s="28" t="s">
        <v>134</v>
      </c>
      <c r="D818" s="29">
        <v>519.0</v>
      </c>
      <c r="E818" s="28" t="s">
        <v>2187</v>
      </c>
      <c r="F818" s="7" t="str">
        <f>IFERROR(__xludf.DUMMYFUNCTION("GOOGLETRANSLATE(B818:B5064,""en"",""fr"")"),"intéressé")</f>
        <v>intéressé</v>
      </c>
    </row>
    <row r="819" ht="19.5" customHeight="1">
      <c r="A819" s="26" t="s">
        <v>2188</v>
      </c>
      <c r="B819" s="27" t="s">
        <v>2189</v>
      </c>
      <c r="C819" s="28" t="s">
        <v>32</v>
      </c>
      <c r="D819" s="29">
        <v>519.0</v>
      </c>
      <c r="E819" s="28" t="s">
        <v>2190</v>
      </c>
      <c r="F819" s="7" t="str">
        <f>IFERROR(__xludf.DUMMYFUNCTION("GOOGLETRANSLATE(B819:B5064,""en"",""fr"")"),"devoir")</f>
        <v>devoir</v>
      </c>
    </row>
    <row r="820" ht="19.5" customHeight="1">
      <c r="A820" s="26" t="s">
        <v>2191</v>
      </c>
      <c r="B820" s="27" t="s">
        <v>2192</v>
      </c>
      <c r="C820" s="28" t="s">
        <v>134</v>
      </c>
      <c r="D820" s="29">
        <v>519.0</v>
      </c>
      <c r="E820" s="28" t="s">
        <v>2192</v>
      </c>
      <c r="F820" s="7" t="str">
        <f>IFERROR(__xludf.DUMMYFUNCTION("GOOGLETRANSLATE(B820:B5064,""en"",""fr"")"),"enceinte")</f>
        <v>enceinte</v>
      </c>
    </row>
    <row r="821" ht="19.5" customHeight="1">
      <c r="A821" s="26" t="s">
        <v>2193</v>
      </c>
      <c r="B821" s="27" t="s">
        <v>2194</v>
      </c>
      <c r="C821" s="28" t="s">
        <v>32</v>
      </c>
      <c r="D821" s="29">
        <v>516.0</v>
      </c>
      <c r="E821" s="28" t="s">
        <v>2195</v>
      </c>
      <c r="F821" s="7" t="str">
        <f>IFERROR(__xludf.DUMMYFUNCTION("GOOGLETRANSLATE(B821:B5064,""en"",""fr"")"),"détruire")</f>
        <v>détruire</v>
      </c>
    </row>
    <row r="822" ht="19.5" customHeight="1">
      <c r="A822" s="26" t="s">
        <v>2196</v>
      </c>
      <c r="B822" s="27" t="s">
        <v>2012</v>
      </c>
      <c r="C822" s="28" t="s">
        <v>178</v>
      </c>
      <c r="D822" s="29">
        <v>514.0</v>
      </c>
      <c r="E822" s="28" t="s">
        <v>2197</v>
      </c>
      <c r="F822" s="7" t="str">
        <f>IFERROR(__xludf.DUMMYFUNCTION("GOOGLETRANSLATE(B822:B5064,""en"",""fr"")"),"ours")</f>
        <v>ours</v>
      </c>
    </row>
    <row r="823" ht="19.5" customHeight="1">
      <c r="A823" s="26" t="s">
        <v>2198</v>
      </c>
      <c r="B823" s="27" t="s">
        <v>2199</v>
      </c>
      <c r="C823" s="28" t="s">
        <v>134</v>
      </c>
      <c r="D823" s="29">
        <v>513.0</v>
      </c>
      <c r="E823" s="28" t="s">
        <v>2200</v>
      </c>
      <c r="F823" s="7" t="str">
        <f>IFERROR(__xludf.DUMMYFUNCTION("GOOGLETRANSLATE(B823:B5064,""en"",""fr"")"),"mal")</f>
        <v>mal</v>
      </c>
    </row>
    <row r="824" ht="19.5" customHeight="1">
      <c r="A824" s="26" t="s">
        <v>2201</v>
      </c>
      <c r="B824" s="27" t="s">
        <v>2202</v>
      </c>
      <c r="C824" s="28" t="s">
        <v>178</v>
      </c>
      <c r="D824" s="29">
        <v>512.0</v>
      </c>
      <c r="E824" s="28" t="s">
        <v>2203</v>
      </c>
      <c r="F824" s="7" t="str">
        <f>IFERROR(__xludf.DUMMYFUNCTION("GOOGLETRANSLATE(B824:B5064,""en"",""fr"")"),"lait")</f>
        <v>lait</v>
      </c>
    </row>
    <row r="825" ht="19.5" customHeight="1">
      <c r="A825" s="26" t="s">
        <v>2204</v>
      </c>
      <c r="B825" s="27" t="s">
        <v>2205</v>
      </c>
      <c r="C825" s="28" t="s">
        <v>178</v>
      </c>
      <c r="D825" s="29">
        <v>511.0</v>
      </c>
      <c r="E825" s="28" t="s">
        <v>2206</v>
      </c>
      <c r="F825" s="7" t="str">
        <f>IFERROR(__xludf.DUMMYFUNCTION("GOOGLETRANSLATE(B825:B5064,""en"",""fr"")"),"sport")</f>
        <v>sport</v>
      </c>
    </row>
    <row r="826" ht="19.5" customHeight="1">
      <c r="A826" s="26" t="s">
        <v>2207</v>
      </c>
      <c r="B826" s="27" t="s">
        <v>2208</v>
      </c>
      <c r="C826" s="28" t="s">
        <v>32</v>
      </c>
      <c r="D826" s="29">
        <v>510.0</v>
      </c>
      <c r="E826" s="28" t="s">
        <v>2209</v>
      </c>
      <c r="F826" s="7" t="str">
        <f>IFERROR(__xludf.DUMMYFUNCTION("GOOGLETRANSLATE(B826:B5064,""en"",""fr"")"),"admettre")</f>
        <v>admettre</v>
      </c>
    </row>
    <row r="827" ht="19.5" customHeight="1">
      <c r="A827" s="26" t="s">
        <v>2210</v>
      </c>
      <c r="B827" s="27" t="s">
        <v>2211</v>
      </c>
      <c r="C827" s="28" t="s">
        <v>100</v>
      </c>
      <c r="D827" s="29">
        <v>510.0</v>
      </c>
      <c r="E827" s="28" t="s">
        <v>2211</v>
      </c>
      <c r="F827" s="7" t="str">
        <f>IFERROR(__xludf.DUMMYFUNCTION("GOOGLETRANSLATE(B827:B5064,""en"",""fr"")"),"apparemment")</f>
        <v>apparemment</v>
      </c>
    </row>
    <row r="828" ht="19.5" customHeight="1">
      <c r="A828" s="26" t="s">
        <v>2212</v>
      </c>
      <c r="B828" s="27" t="s">
        <v>2213</v>
      </c>
      <c r="C828" s="28" t="s">
        <v>178</v>
      </c>
      <c r="D828" s="29">
        <v>509.0</v>
      </c>
      <c r="E828" s="28" t="s">
        <v>2214</v>
      </c>
      <c r="F828" s="7" t="str">
        <f>IFERROR(__xludf.DUMMYFUNCTION("GOOGLETRANSLATE(B828:B5064,""en"",""fr"")"),"conversation")</f>
        <v>conversation</v>
      </c>
    </row>
    <row r="829" ht="19.5" customHeight="1">
      <c r="A829" s="26" t="s">
        <v>2215</v>
      </c>
      <c r="B829" s="27" t="s">
        <v>2216</v>
      </c>
      <c r="C829" s="28" t="s">
        <v>100</v>
      </c>
      <c r="D829" s="29">
        <v>509.0</v>
      </c>
      <c r="E829" s="28" t="s">
        <v>2216</v>
      </c>
      <c r="F829" s="7" t="str">
        <f>IFERROR(__xludf.DUMMYFUNCTION("GOOGLETRANSLATE(B829:B5064,""en"",""fr"")"),"évidemment")</f>
        <v>évidemment</v>
      </c>
    </row>
    <row r="830" ht="19.5" customHeight="1">
      <c r="A830" s="26" t="s">
        <v>2217</v>
      </c>
      <c r="B830" s="27" t="s">
        <v>2218</v>
      </c>
      <c r="C830" s="28" t="s">
        <v>85</v>
      </c>
      <c r="D830" s="29">
        <v>509.0</v>
      </c>
      <c r="E830" s="28" t="s">
        <v>2218</v>
      </c>
      <c r="F830" s="7" t="str">
        <f>IFERROR(__xludf.DUMMYFUNCTION("GOOGLETRANSLATE(B830:B5064,""en"",""fr"")"),"Uh-oh")</f>
        <v>Uh-oh</v>
      </c>
    </row>
    <row r="831" ht="19.5" customHeight="1">
      <c r="A831" s="26" t="s">
        <v>2219</v>
      </c>
      <c r="B831" s="27" t="s">
        <v>2220</v>
      </c>
      <c r="C831" s="28" t="s">
        <v>178</v>
      </c>
      <c r="D831" s="29">
        <v>508.0</v>
      </c>
      <c r="E831" s="28" t="s">
        <v>2221</v>
      </c>
      <c r="F831" s="7" t="str">
        <f>IFERROR(__xludf.DUMMYFUNCTION("GOOGLETRANSLATE(B831:B5064,""en"",""fr"")"),"veste")</f>
        <v>veste</v>
      </c>
    </row>
    <row r="832" ht="19.5" customHeight="1">
      <c r="A832" s="26" t="s">
        <v>2222</v>
      </c>
      <c r="B832" s="27" t="s">
        <v>2223</v>
      </c>
      <c r="C832" s="28" t="s">
        <v>36</v>
      </c>
      <c r="D832" s="29">
        <v>507.0</v>
      </c>
      <c r="E832" s="28" t="s">
        <v>2223</v>
      </c>
      <c r="F832" s="7" t="str">
        <f>IFERROR(__xludf.DUMMYFUNCTION("GOOGLETRANSLATE(B832:B5064,""en"",""fr"")"),"pendant")</f>
        <v>pendant</v>
      </c>
    </row>
    <row r="833" ht="19.5" customHeight="1">
      <c r="A833" s="26" t="s">
        <v>2224</v>
      </c>
      <c r="B833" s="27" t="s">
        <v>2225</v>
      </c>
      <c r="C833" s="28" t="s">
        <v>32</v>
      </c>
      <c r="D833" s="29">
        <v>504.0</v>
      </c>
      <c r="E833" s="28" t="s">
        <v>2226</v>
      </c>
      <c r="F833" s="7" t="str">
        <f>IFERROR(__xludf.DUMMYFUNCTION("GOOGLETRANSLATE(B833:B5064,""en"",""fr"")"),"accepter")</f>
        <v>accepter</v>
      </c>
    </row>
    <row r="834" ht="19.5" customHeight="1">
      <c r="A834" s="26" t="s">
        <v>2227</v>
      </c>
      <c r="B834" s="27" t="s">
        <v>2228</v>
      </c>
      <c r="C834" s="28" t="s">
        <v>134</v>
      </c>
      <c r="D834" s="29">
        <v>502.0</v>
      </c>
      <c r="E834" s="28" t="s">
        <v>2229</v>
      </c>
      <c r="F834" s="7" t="str">
        <f>IFERROR(__xludf.DUMMYFUNCTION("GOOGLETRANSLATE(B834:B5064,""en"",""fr"")"),"idiot")</f>
        <v>idiot</v>
      </c>
    </row>
    <row r="835" ht="19.5" customHeight="1">
      <c r="A835" s="26" t="s">
        <v>2230</v>
      </c>
      <c r="B835" s="27" t="s">
        <v>2231</v>
      </c>
      <c r="C835" s="28" t="s">
        <v>178</v>
      </c>
      <c r="D835" s="29">
        <v>500.0</v>
      </c>
      <c r="E835" s="28" t="s">
        <v>2232</v>
      </c>
      <c r="F835" s="7" t="str">
        <f>IFERROR(__xludf.DUMMYFUNCTION("GOOGLETRANSLATE(B835:B5064,""en"",""fr"")"),"peu")</f>
        <v>peu</v>
      </c>
    </row>
    <row r="836" ht="19.5" customHeight="1">
      <c r="A836" s="26" t="s">
        <v>2233</v>
      </c>
      <c r="B836" s="27" t="s">
        <v>2234</v>
      </c>
      <c r="C836" s="28" t="s">
        <v>32</v>
      </c>
      <c r="D836" s="29">
        <v>500.0</v>
      </c>
      <c r="E836" s="28" t="s">
        <v>2235</v>
      </c>
      <c r="F836" s="7" t="str">
        <f>IFERROR(__xludf.DUMMYFUNCTION("GOOGLETRANSLATE(B836:B5064,""en"",""fr"")"),"considérer")</f>
        <v>considérer</v>
      </c>
    </row>
    <row r="837" ht="19.5" customHeight="1">
      <c r="A837" s="26" t="s">
        <v>2236</v>
      </c>
      <c r="B837" s="27" t="s">
        <v>2237</v>
      </c>
      <c r="C837" s="28" t="s">
        <v>32</v>
      </c>
      <c r="D837" s="29">
        <v>500.0</v>
      </c>
      <c r="E837" s="28" t="s">
        <v>2238</v>
      </c>
      <c r="F837" s="7" t="str">
        <f>IFERROR(__xludf.DUMMYFUNCTION("GOOGLETRANSLATE(B837:B5064,""en"",""fr"")"),"mention")</f>
        <v>mention</v>
      </c>
    </row>
    <row r="838" ht="19.5" customHeight="1">
      <c r="A838" s="26" t="s">
        <v>2239</v>
      </c>
      <c r="B838" s="27" t="s">
        <v>2240</v>
      </c>
      <c r="C838" s="28" t="s">
        <v>32</v>
      </c>
      <c r="D838" s="29">
        <v>500.0</v>
      </c>
      <c r="E838" s="28" t="s">
        <v>2241</v>
      </c>
      <c r="F838" s="7" t="str">
        <f>IFERROR(__xludf.DUMMYFUNCTION("GOOGLETRANSLATE(B838:B5064,""en"",""fr"")"),"étape")</f>
        <v>étape</v>
      </c>
    </row>
    <row r="839" ht="19.5" customHeight="1">
      <c r="A839" s="26" t="s">
        <v>2242</v>
      </c>
      <c r="B839" s="27" t="s">
        <v>1002</v>
      </c>
      <c r="C839" s="28" t="s">
        <v>32</v>
      </c>
      <c r="D839" s="29">
        <v>499.0</v>
      </c>
      <c r="E839" s="28" t="s">
        <v>2243</v>
      </c>
      <c r="F839" s="7" t="str">
        <f>IFERROR(__xludf.DUMMYFUNCTION("GOOGLETRANSLATE(B839:B5064,""en"",""fr"")"),"accord")</f>
        <v>accord</v>
      </c>
    </row>
    <row r="840" ht="19.5" customHeight="1">
      <c r="A840" s="26" t="s">
        <v>2244</v>
      </c>
      <c r="B840" s="27" t="s">
        <v>2245</v>
      </c>
      <c r="C840" s="28" t="s">
        <v>134</v>
      </c>
      <c r="D840" s="29">
        <v>499.0</v>
      </c>
      <c r="E840" s="28" t="s">
        <v>2246</v>
      </c>
      <c r="F840" s="7" t="str">
        <f>IFERROR(__xludf.DUMMYFUNCTION("GOOGLETRANSLATE(B840:B5064,""en"",""fr"")"),"affamé")</f>
        <v>affamé</v>
      </c>
    </row>
    <row r="841" ht="19.5" customHeight="1">
      <c r="A841" s="26" t="s">
        <v>2247</v>
      </c>
      <c r="B841" s="27" t="s">
        <v>2248</v>
      </c>
      <c r="C841" s="28" t="s">
        <v>178</v>
      </c>
      <c r="D841" s="29">
        <v>499.0</v>
      </c>
      <c r="E841" s="28" t="s">
        <v>2249</v>
      </c>
      <c r="F841" s="7" t="str">
        <f>IFERROR(__xludf.DUMMYFUNCTION("GOOGLETRANSLATE(B841:B5064,""en"",""fr"")"),"situation")</f>
        <v>situation</v>
      </c>
    </row>
    <row r="842" ht="19.5" customHeight="1">
      <c r="A842" s="26" t="s">
        <v>2250</v>
      </c>
      <c r="B842" s="27" t="s">
        <v>2251</v>
      </c>
      <c r="C842" s="28" t="s">
        <v>32</v>
      </c>
      <c r="D842" s="29">
        <v>497.0</v>
      </c>
      <c r="E842" s="28" t="s">
        <v>2252</v>
      </c>
      <c r="F842" s="7" t="str">
        <f>IFERROR(__xludf.DUMMYFUNCTION("GOOGLETRANSLATE(B842:B5064,""en"",""fr"")"),"plomb")</f>
        <v>plomb</v>
      </c>
    </row>
    <row r="843" ht="19.5" customHeight="1">
      <c r="A843" s="26" t="s">
        <v>2253</v>
      </c>
      <c r="B843" s="27" t="s">
        <v>2254</v>
      </c>
      <c r="C843" s="28" t="s">
        <v>150</v>
      </c>
      <c r="D843" s="29">
        <v>495.0</v>
      </c>
      <c r="E843" s="28" t="s">
        <v>2255</v>
      </c>
      <c r="F843" s="7" t="str">
        <f>IFERROR(__xludf.DUMMYFUNCTION("GOOGLETRANSLATE(B843:B5064,""en"",""fr"")"),"douze")</f>
        <v>douze</v>
      </c>
    </row>
    <row r="844" ht="19.5" customHeight="1">
      <c r="A844" s="26" t="s">
        <v>2256</v>
      </c>
      <c r="B844" s="27" t="s">
        <v>2257</v>
      </c>
      <c r="C844" s="28" t="s">
        <v>134</v>
      </c>
      <c r="D844" s="29">
        <v>494.0</v>
      </c>
      <c r="E844" s="28" t="s">
        <v>2257</v>
      </c>
      <c r="F844" s="7" t="str">
        <f>IFERROR(__xludf.DUMMYFUNCTION("GOOGLETRANSLATE(B844:B5064,""en"",""fr"")"),"fantastique")</f>
        <v>fantastique</v>
      </c>
    </row>
    <row r="845" ht="19.5" customHeight="1">
      <c r="A845" s="26" t="s">
        <v>2258</v>
      </c>
      <c r="B845" s="27" t="s">
        <v>2259</v>
      </c>
      <c r="C845" s="28" t="s">
        <v>178</v>
      </c>
      <c r="D845" s="29">
        <v>494.0</v>
      </c>
      <c r="E845" s="28" t="s">
        <v>2260</v>
      </c>
      <c r="F845" s="7" t="str">
        <f>IFERROR(__xludf.DUMMYFUNCTION("GOOGLETRANSLATE(B845:B5064,""en"",""fr"")"),"trou")</f>
        <v>trou</v>
      </c>
    </row>
    <row r="846" ht="19.5" customHeight="1">
      <c r="A846" s="26" t="s">
        <v>2261</v>
      </c>
      <c r="B846" s="27" t="s">
        <v>2262</v>
      </c>
      <c r="C846" s="28" t="s">
        <v>36</v>
      </c>
      <c r="D846" s="29">
        <v>494.0</v>
      </c>
      <c r="E846" s="28" t="s">
        <v>2262</v>
      </c>
      <c r="F846" s="7" t="str">
        <f>IFERROR(__xludf.DUMMYFUNCTION("GOOGLETRANSLATE(B846:B5064,""en"",""fr"")"),"plus")</f>
        <v>plus</v>
      </c>
    </row>
    <row r="847" ht="19.5" customHeight="1">
      <c r="A847" s="26" t="s">
        <v>2263</v>
      </c>
      <c r="B847" s="27" t="s">
        <v>2264</v>
      </c>
      <c r="C847" s="28" t="s">
        <v>178</v>
      </c>
      <c r="D847" s="29">
        <v>492.0</v>
      </c>
      <c r="E847" s="28" t="s">
        <v>2265</v>
      </c>
      <c r="F847" s="7" t="str">
        <f>IFERROR(__xludf.DUMMYFUNCTION("GOOGLETRANSLATE(B847:B5064,""en"",""fr"")"),"note")</f>
        <v>note</v>
      </c>
    </row>
    <row r="848" ht="19.5" customHeight="1">
      <c r="A848" s="26" t="s">
        <v>2266</v>
      </c>
      <c r="B848" s="27" t="s">
        <v>2267</v>
      </c>
      <c r="C848" s="28" t="s">
        <v>178</v>
      </c>
      <c r="D848" s="29">
        <v>492.0</v>
      </c>
      <c r="E848" s="28" t="s">
        <v>2268</v>
      </c>
      <c r="F848" s="7" t="str">
        <f>IFERROR(__xludf.DUMMYFUNCTION("GOOGLETRANSLATE(B848:B5064,""en"",""fr"")"),"test")</f>
        <v>test</v>
      </c>
    </row>
    <row r="849" ht="19.5" customHeight="1">
      <c r="A849" s="26" t="s">
        <v>2269</v>
      </c>
      <c r="B849" s="27" t="s">
        <v>2270</v>
      </c>
      <c r="C849" s="28" t="s">
        <v>134</v>
      </c>
      <c r="D849" s="29">
        <v>490.0</v>
      </c>
      <c r="E849" s="28" t="s">
        <v>2271</v>
      </c>
      <c r="F849" s="7" t="str">
        <f>IFERROR(__xludf.DUMMYFUNCTION("GOOGLETRANSLATE(B849:B5064,""en"",""fr"")"),"honnête")</f>
        <v>honnête</v>
      </c>
    </row>
    <row r="850" ht="19.5" customHeight="1">
      <c r="A850" s="26" t="s">
        <v>2272</v>
      </c>
      <c r="B850" s="27" t="s">
        <v>2273</v>
      </c>
      <c r="C850" s="28" t="s">
        <v>178</v>
      </c>
      <c r="D850" s="29">
        <v>489.0</v>
      </c>
      <c r="E850" s="28" t="s">
        <v>2274</v>
      </c>
      <c r="F850" s="7" t="str">
        <f>IFERROR(__xludf.DUMMYFUNCTION("GOOGLETRANSLATE(B850:B5064,""en"",""fr"")"),"personnage")</f>
        <v>personnage</v>
      </c>
    </row>
    <row r="851" ht="19.5" customHeight="1">
      <c r="A851" s="26" t="s">
        <v>2275</v>
      </c>
      <c r="B851" s="27" t="s">
        <v>2276</v>
      </c>
      <c r="C851" s="28" t="s">
        <v>134</v>
      </c>
      <c r="D851" s="29">
        <v>489.0</v>
      </c>
      <c r="E851" s="28" t="s">
        <v>2277</v>
      </c>
      <c r="F851" s="7" t="str">
        <f>IFERROR(__xludf.DUMMYFUNCTION("GOOGLETRANSLATE(B851:B5064,""en"",""fr"")"),"saint")</f>
        <v>saint</v>
      </c>
    </row>
    <row r="852" ht="19.5" customHeight="1">
      <c r="A852" s="26" t="s">
        <v>2278</v>
      </c>
      <c r="B852" s="27" t="s">
        <v>2279</v>
      </c>
      <c r="C852" s="28" t="s">
        <v>178</v>
      </c>
      <c r="D852" s="29">
        <v>489.0</v>
      </c>
      <c r="E852" s="28" t="s">
        <v>2280</v>
      </c>
      <c r="F852" s="7" t="str">
        <f>IFERROR(__xludf.DUMMYFUNCTION("GOOGLETRANSLATE(B852:B5064,""en"",""fr"")"),"directeur")</f>
        <v>directeur</v>
      </c>
    </row>
    <row r="853" ht="19.5" customHeight="1">
      <c r="A853" s="26" t="s">
        <v>2281</v>
      </c>
      <c r="B853" s="27" t="s">
        <v>2282</v>
      </c>
      <c r="C853" s="28" t="s">
        <v>178</v>
      </c>
      <c r="D853" s="29">
        <v>488.0</v>
      </c>
      <c r="E853" s="28" t="s">
        <v>2283</v>
      </c>
      <c r="F853" s="7" t="str">
        <f>IFERROR(__xludf.DUMMYFUNCTION("GOOGLETRANSLATE(B853:B5064,""en"",""fr"")"),"leçon")</f>
        <v>leçon</v>
      </c>
    </row>
    <row r="854" ht="19.5" customHeight="1">
      <c r="A854" s="26" t="s">
        <v>2284</v>
      </c>
      <c r="B854" s="27" t="s">
        <v>2285</v>
      </c>
      <c r="C854" s="28" t="s">
        <v>178</v>
      </c>
      <c r="D854" s="29">
        <v>488.0</v>
      </c>
      <c r="E854" s="28" t="s">
        <v>2286</v>
      </c>
      <c r="F854" s="7" t="str">
        <f>IFERROR(__xludf.DUMMYFUNCTION("GOOGLETRANSLATE(B854:B5064,""en"",""fr"")"),"âme")</f>
        <v>âme</v>
      </c>
    </row>
    <row r="855" ht="19.5" customHeight="1">
      <c r="A855" s="26" t="s">
        <v>2287</v>
      </c>
      <c r="B855" s="27" t="s">
        <v>2288</v>
      </c>
      <c r="C855" s="28" t="s">
        <v>100</v>
      </c>
      <c r="D855" s="29">
        <v>487.0</v>
      </c>
      <c r="E855" s="28" t="s">
        <v>2288</v>
      </c>
      <c r="F855" s="7" t="str">
        <f>IFERROR(__xludf.DUMMYFUNCTION("GOOGLETRANSLATE(B855:B5064,""en"",""fr"")"),"non")</f>
        <v>non</v>
      </c>
    </row>
    <row r="856" ht="19.5" customHeight="1">
      <c r="A856" s="26" t="s">
        <v>2289</v>
      </c>
      <c r="B856" s="27" t="s">
        <v>2290</v>
      </c>
      <c r="C856" s="28" t="s">
        <v>134</v>
      </c>
      <c r="D856" s="29">
        <v>486.0</v>
      </c>
      <c r="E856" s="28" t="s">
        <v>2291</v>
      </c>
      <c r="F856" s="7" t="str">
        <f>IFERROR(__xludf.DUMMYFUNCTION("GOOGLETRANSLATE(B856:B5064,""en"",""fr"")"),"sombre")</f>
        <v>sombre</v>
      </c>
    </row>
    <row r="857" ht="19.5" customHeight="1">
      <c r="A857" s="26" t="s">
        <v>2292</v>
      </c>
      <c r="B857" s="27" t="s">
        <v>2293</v>
      </c>
      <c r="C857" s="28" t="s">
        <v>178</v>
      </c>
      <c r="D857" s="29">
        <v>486.0</v>
      </c>
      <c r="E857" s="28" t="s">
        <v>2294</v>
      </c>
      <c r="F857" s="7" t="str">
        <f>IFERROR(__xludf.DUMMYFUNCTION("GOOGLETRANSLATE(B857:B5064,""en"",""fr"")"),"différence")</f>
        <v>différence</v>
      </c>
    </row>
    <row r="858" ht="19.5" customHeight="1">
      <c r="A858" s="26" t="s">
        <v>2295</v>
      </c>
      <c r="B858" s="27" t="s">
        <v>2296</v>
      </c>
      <c r="C858" s="28" t="s">
        <v>178</v>
      </c>
      <c r="D858" s="29">
        <v>485.0</v>
      </c>
      <c r="E858" s="28" t="s">
        <v>2297</v>
      </c>
      <c r="F858" s="7" t="str">
        <f>IFERROR(__xludf.DUMMYFUNCTION("GOOGLETRANSLATE(B858:B5064,""en"",""fr"")"),"vin")</f>
        <v>vin</v>
      </c>
    </row>
    <row r="859" ht="19.5" customHeight="1">
      <c r="A859" s="26" t="s">
        <v>2298</v>
      </c>
      <c r="B859" s="27" t="s">
        <v>2299</v>
      </c>
      <c r="C859" s="28" t="s">
        <v>178</v>
      </c>
      <c r="D859" s="29">
        <v>482.0</v>
      </c>
      <c r="E859" s="28" t="s">
        <v>2300</v>
      </c>
      <c r="F859" s="7" t="str">
        <f>IFERROR(__xludf.DUMMYFUNCTION("GOOGLETRANSLATE(B859:B5064,""en"",""fr"")"),"route")</f>
        <v>route</v>
      </c>
    </row>
    <row r="860" ht="19.5" customHeight="1">
      <c r="A860" s="26" t="s">
        <v>2301</v>
      </c>
      <c r="B860" s="27" t="s">
        <v>2302</v>
      </c>
      <c r="C860" s="28" t="s">
        <v>32</v>
      </c>
      <c r="D860" s="29">
        <v>481.0</v>
      </c>
      <c r="E860" s="28" t="s">
        <v>2303</v>
      </c>
      <c r="F860" s="7" t="str">
        <f>IFERROR(__xludf.DUMMYFUNCTION("GOOGLETRANSLATE(B860:B5064,""en"",""fr"")"),"calme")</f>
        <v>calme</v>
      </c>
    </row>
    <row r="861" ht="19.5" customHeight="1">
      <c r="A861" s="26" t="s">
        <v>2304</v>
      </c>
      <c r="B861" s="27" t="s">
        <v>2305</v>
      </c>
      <c r="C861" s="28" t="s">
        <v>134</v>
      </c>
      <c r="D861" s="29">
        <v>481.0</v>
      </c>
      <c r="E861" s="28" t="s">
        <v>2305</v>
      </c>
      <c r="F861" s="7" t="str">
        <f>IFERROR(__xludf.DUMMYFUNCTION("GOOGLETRANSLATE(B861:B5064,""en"",""fr"")"),"personnel")</f>
        <v>personnel</v>
      </c>
    </row>
    <row r="862" ht="19.5" customHeight="1">
      <c r="A862" s="26" t="s">
        <v>2306</v>
      </c>
      <c r="B862" s="27" t="s">
        <v>2307</v>
      </c>
      <c r="C862" s="28" t="s">
        <v>178</v>
      </c>
      <c r="D862" s="29">
        <v>480.0</v>
      </c>
      <c r="E862" s="28" t="s">
        <v>2308</v>
      </c>
      <c r="F862" s="7" t="str">
        <f>IFERROR(__xludf.DUMMYFUNCTION("GOOGLETRANSLATE(B862:B5064,""en"",""fr"")"),"clown")</f>
        <v>clown</v>
      </c>
    </row>
    <row r="863" ht="19.5" customHeight="1">
      <c r="A863" s="26" t="s">
        <v>2309</v>
      </c>
      <c r="B863" s="27" t="s">
        <v>2310</v>
      </c>
      <c r="C863" s="28" t="s">
        <v>178</v>
      </c>
      <c r="D863" s="29">
        <v>480.0</v>
      </c>
      <c r="E863" s="28" t="s">
        <v>2311</v>
      </c>
      <c r="F863" s="7" t="str">
        <f>IFERROR(__xludf.DUMMYFUNCTION("GOOGLETRANSLATE(B863:B5064,""en"",""fr"")"),"ordinateur")</f>
        <v>ordinateur</v>
      </c>
    </row>
    <row r="864" ht="19.5" customHeight="1">
      <c r="A864" s="26" t="s">
        <v>2312</v>
      </c>
      <c r="B864" s="27" t="s">
        <v>2313</v>
      </c>
      <c r="C864" s="28" t="s">
        <v>178</v>
      </c>
      <c r="D864" s="29">
        <v>479.0</v>
      </c>
      <c r="E864" s="28" t="s">
        <v>2314</v>
      </c>
      <c r="F864" s="7" t="str">
        <f>IFERROR(__xludf.DUMMYFUNCTION("GOOGLETRANSLATE(B864:B5064,""en"",""fr"")"),"cheval")</f>
        <v>cheval</v>
      </c>
    </row>
    <row r="865" ht="19.5" customHeight="1">
      <c r="A865" s="26" t="s">
        <v>2315</v>
      </c>
      <c r="B865" s="27" t="s">
        <v>2316</v>
      </c>
      <c r="C865" s="28" t="s">
        <v>85</v>
      </c>
      <c r="D865" s="29">
        <v>478.0</v>
      </c>
      <c r="E865" s="28" t="s">
        <v>2316</v>
      </c>
      <c r="F865" s="7" t="str">
        <f>IFERROR(__xludf.DUMMYFUNCTION("GOOGLETRANSLATE(B865:B5064,""en"",""fr"")"),"gosh")</f>
        <v>gosh</v>
      </c>
    </row>
    <row r="866" ht="19.5" customHeight="1">
      <c r="A866" s="26" t="s">
        <v>2317</v>
      </c>
      <c r="B866" s="27" t="s">
        <v>2318</v>
      </c>
      <c r="C866" s="28" t="s">
        <v>178</v>
      </c>
      <c r="D866" s="29">
        <v>477.0</v>
      </c>
      <c r="E866" s="28" t="s">
        <v>2319</v>
      </c>
      <c r="F866" s="7" t="str">
        <f>IFERROR(__xludf.DUMMYFUNCTION("GOOGLETRANSLATE(B866:B5064,""en"",""fr"")"),"maire")</f>
        <v>maire</v>
      </c>
    </row>
    <row r="867" ht="19.5" customHeight="1">
      <c r="A867" s="26" t="s">
        <v>2320</v>
      </c>
      <c r="B867" s="27" t="s">
        <v>2321</v>
      </c>
      <c r="C867" s="28" t="s">
        <v>100</v>
      </c>
      <c r="D867" s="29">
        <v>476.0</v>
      </c>
      <c r="E867" s="28" t="s">
        <v>2321</v>
      </c>
      <c r="F867" s="7" t="str">
        <f>IFERROR(__xludf.DUMMYFUNCTION("GOOGLETRANSLATE(B867:B5064,""en"",""fr"")"),"à l'intérieur")</f>
        <v>à l'intérieur</v>
      </c>
    </row>
    <row r="868" ht="19.5" customHeight="1">
      <c r="A868" s="26" t="s">
        <v>2322</v>
      </c>
      <c r="B868" s="27" t="s">
        <v>2323</v>
      </c>
      <c r="C868" s="28" t="s">
        <v>134</v>
      </c>
      <c r="D868" s="29">
        <v>476.0</v>
      </c>
      <c r="E868" s="28" t="s">
        <v>2324</v>
      </c>
      <c r="F868" s="7" t="str">
        <f>IFERROR(__xludf.DUMMYFUNCTION("GOOGLETRANSLATE(B868:B5064,""en"",""fr"")"),"sexy")</f>
        <v>sexy</v>
      </c>
    </row>
    <row r="869" ht="19.5" customHeight="1">
      <c r="A869" s="26" t="s">
        <v>2325</v>
      </c>
      <c r="B869" s="27" t="s">
        <v>2326</v>
      </c>
      <c r="C869" s="28" t="s">
        <v>134</v>
      </c>
      <c r="D869" s="29">
        <v>475.0</v>
      </c>
      <c r="E869" s="28" t="s">
        <v>2327</v>
      </c>
      <c r="F869" s="7" t="str">
        <f>IFERROR(__xludf.DUMMYFUNCTION("GOOGLETRANSLATE(B869:B5064,""en"",""fr"")"),"sale")</f>
        <v>sale</v>
      </c>
    </row>
    <row r="870" ht="19.5" customHeight="1">
      <c r="A870" s="26" t="s">
        <v>2328</v>
      </c>
      <c r="B870" s="27" t="s">
        <v>2329</v>
      </c>
      <c r="C870" s="28" t="s">
        <v>32</v>
      </c>
      <c r="D870" s="29">
        <v>474.0</v>
      </c>
      <c r="E870" s="28" t="s">
        <v>2330</v>
      </c>
      <c r="F870" s="7" t="str">
        <f>IFERROR(__xludf.DUMMYFUNCTION("GOOGLETRANSLATE(B870:B5064,""en"",""fr"")"),"porter")</f>
        <v>porter</v>
      </c>
    </row>
    <row r="871" ht="19.5" customHeight="1">
      <c r="A871" s="26" t="s">
        <v>2331</v>
      </c>
      <c r="B871" s="27" t="s">
        <v>2332</v>
      </c>
      <c r="C871" s="28" t="s">
        <v>178</v>
      </c>
      <c r="D871" s="29">
        <v>474.0</v>
      </c>
      <c r="E871" s="28" t="s">
        <v>2333</v>
      </c>
      <c r="F871" s="7" t="str">
        <f>IFERROR(__xludf.DUMMYFUNCTION("GOOGLETRANSLATE(B871:B5064,""en"",""fr"")"),"professeur")</f>
        <v>professeur</v>
      </c>
    </row>
    <row r="872" ht="19.5" customHeight="1">
      <c r="A872" s="26" t="s">
        <v>2334</v>
      </c>
      <c r="B872" s="27" t="s">
        <v>2335</v>
      </c>
      <c r="C872" s="28" t="s">
        <v>100</v>
      </c>
      <c r="D872" s="29">
        <v>474.0</v>
      </c>
      <c r="E872" s="28" t="s">
        <v>2335</v>
      </c>
      <c r="F872" s="7" t="str">
        <f>IFERROR(__xludf.DUMMYFUNCTION("GOOGLETRANSLATE(B872:B5064,""en"",""fr"")"),"généralement")</f>
        <v>généralement</v>
      </c>
    </row>
    <row r="873" ht="19.5" customHeight="1">
      <c r="A873" s="26" t="s">
        <v>2336</v>
      </c>
      <c r="B873" s="27" t="s">
        <v>2337</v>
      </c>
      <c r="C873" s="28" t="s">
        <v>178</v>
      </c>
      <c r="D873" s="29">
        <v>473.0</v>
      </c>
      <c r="E873" s="28" t="s">
        <v>2338</v>
      </c>
      <c r="F873" s="7" t="str">
        <f>IFERROR(__xludf.DUMMYFUNCTION("GOOGLETRANSLATE(B873:B5064,""en"",""fr"")"),"bouteille")</f>
        <v>bouteille</v>
      </c>
    </row>
    <row r="874" ht="19.5" customHeight="1">
      <c r="A874" s="26" t="s">
        <v>2339</v>
      </c>
      <c r="B874" s="27" t="s">
        <v>2340</v>
      </c>
      <c r="C874" s="28" t="s">
        <v>178</v>
      </c>
      <c r="D874" s="29">
        <v>473.0</v>
      </c>
      <c r="E874" s="28" t="s">
        <v>2341</v>
      </c>
      <c r="F874" s="7" t="str">
        <f>IFERROR(__xludf.DUMMYFUNCTION("GOOGLETRANSLATE(B874:B5064,""en"",""fr"")"),"fromage")</f>
        <v>fromage</v>
      </c>
    </row>
    <row r="875" ht="19.5" customHeight="1">
      <c r="A875" s="26" t="s">
        <v>2342</v>
      </c>
      <c r="B875" s="27" t="s">
        <v>2343</v>
      </c>
      <c r="C875" s="28" t="s">
        <v>178</v>
      </c>
      <c r="D875" s="29">
        <v>473.0</v>
      </c>
      <c r="E875" s="28" t="s">
        <v>2344</v>
      </c>
      <c r="F875" s="7" t="str">
        <f>IFERROR(__xludf.DUMMYFUNCTION("GOOGLETRANSLATE(B875:B5064,""en"",""fr"")"),"été")</f>
        <v>été</v>
      </c>
    </row>
    <row r="876" ht="19.5" customHeight="1">
      <c r="A876" s="26" t="s">
        <v>2345</v>
      </c>
      <c r="B876" s="27" t="s">
        <v>2346</v>
      </c>
      <c r="C876" s="28" t="s">
        <v>32</v>
      </c>
      <c r="D876" s="29">
        <v>472.0</v>
      </c>
      <c r="E876" s="28" t="s">
        <v>2347</v>
      </c>
      <c r="F876" s="7" t="str">
        <f>IFERROR(__xludf.DUMMYFUNCTION("GOOGLETRANSLATE(B876:B5064,""en"",""fr"")"),"rappeler")</f>
        <v>rappeler</v>
      </c>
    </row>
    <row r="877" ht="19.5" customHeight="1">
      <c r="A877" s="26" t="s">
        <v>2348</v>
      </c>
      <c r="B877" s="27" t="s">
        <v>2349</v>
      </c>
      <c r="C877" s="28" t="s">
        <v>178</v>
      </c>
      <c r="D877" s="29">
        <v>471.0</v>
      </c>
      <c r="E877" s="28" t="s">
        <v>2350</v>
      </c>
      <c r="F877" s="7" t="str">
        <f>IFERROR(__xludf.DUMMYFUNCTION("GOOGLETRANSLATE(B877:B5064,""en"",""fr"")"),"après-midi")</f>
        <v>après-midi</v>
      </c>
    </row>
    <row r="878" ht="19.5" customHeight="1">
      <c r="A878" s="26" t="s">
        <v>2351</v>
      </c>
      <c r="B878" s="27" t="s">
        <v>2352</v>
      </c>
      <c r="C878" s="28" t="s">
        <v>32</v>
      </c>
      <c r="D878" s="29">
        <v>471.0</v>
      </c>
      <c r="E878" s="28" t="s">
        <v>2353</v>
      </c>
      <c r="F878" s="7" t="str">
        <f>IFERROR(__xludf.DUMMYFUNCTION("GOOGLETRANSLATE(B878:B5064,""en"",""fr"")"),"pipi")</f>
        <v>pipi</v>
      </c>
    </row>
    <row r="879" ht="19.5" customHeight="1">
      <c r="A879" s="26" t="s">
        <v>2354</v>
      </c>
      <c r="B879" s="27" t="s">
        <v>2355</v>
      </c>
      <c r="C879" s="28" t="s">
        <v>36</v>
      </c>
      <c r="D879" s="29">
        <v>470.0</v>
      </c>
      <c r="E879" s="28" t="s">
        <v>2355</v>
      </c>
      <c r="F879" s="7" t="str">
        <f>IFERROR(__xludf.DUMMYFUNCTION("GOOGLETRANSLATE(B879:B5064,""en"",""fr"")"),"à travers")</f>
        <v>à travers</v>
      </c>
    </row>
    <row r="880" ht="19.5" customHeight="1">
      <c r="A880" s="26" t="s">
        <v>2356</v>
      </c>
      <c r="B880" s="27" t="s">
        <v>2357</v>
      </c>
      <c r="C880" s="28" t="s">
        <v>134</v>
      </c>
      <c r="D880" s="29">
        <v>470.0</v>
      </c>
      <c r="E880" s="28" t="s">
        <v>2358</v>
      </c>
      <c r="F880" s="7" t="str">
        <f>IFERROR(__xludf.DUMMYFUNCTION("GOOGLETRANSLATE(B880:B5064,""en"",""fr"")"),"en colère")</f>
        <v>en colère</v>
      </c>
    </row>
    <row r="881" ht="19.5" customHeight="1">
      <c r="A881" s="26" t="s">
        <v>2359</v>
      </c>
      <c r="B881" s="27" t="s">
        <v>2360</v>
      </c>
      <c r="C881" s="28" t="s">
        <v>178</v>
      </c>
      <c r="D881" s="29">
        <v>470.0</v>
      </c>
      <c r="E881" s="28" t="s">
        <v>2361</v>
      </c>
      <c r="F881" s="7" t="str">
        <f>IFERROR(__xludf.DUMMYFUNCTION("GOOGLETRANSLATE(B881:B5064,""en"",""fr"")"),"gars")</f>
        <v>gars</v>
      </c>
    </row>
    <row r="882" ht="19.5" customHeight="1">
      <c r="A882" s="26" t="s">
        <v>2362</v>
      </c>
      <c r="B882" s="27" t="s">
        <v>2363</v>
      </c>
      <c r="C882" s="28" t="s">
        <v>178</v>
      </c>
      <c r="D882" s="29">
        <v>470.0</v>
      </c>
      <c r="E882" s="28" t="s">
        <v>2364</v>
      </c>
      <c r="F882" s="7" t="str">
        <f>IFERROR(__xludf.DUMMYFUNCTION("GOOGLETRANSLATE(B882:B5064,""en"",""fr"")"),"film")</f>
        <v>film</v>
      </c>
    </row>
    <row r="883" ht="19.5" customHeight="1">
      <c r="A883" s="26" t="s">
        <v>2365</v>
      </c>
      <c r="B883" s="27" t="s">
        <v>2366</v>
      </c>
      <c r="C883" s="28" t="s">
        <v>32</v>
      </c>
      <c r="D883" s="29">
        <v>470.0</v>
      </c>
      <c r="E883" s="28" t="s">
        <v>2367</v>
      </c>
      <c r="F883" s="7" t="str">
        <f>IFERROR(__xludf.DUMMYFUNCTION("GOOGLETRANSLATE(B883:B5064,""en"",""fr"")"),"atteindre")</f>
        <v>atteindre</v>
      </c>
    </row>
    <row r="884" ht="19.5" customHeight="1">
      <c r="A884" s="26" t="s">
        <v>2368</v>
      </c>
      <c r="B884" s="27" t="s">
        <v>2369</v>
      </c>
      <c r="C884" s="28" t="s">
        <v>178</v>
      </c>
      <c r="D884" s="29">
        <v>469.0</v>
      </c>
      <c r="E884" s="28" t="s">
        <v>2370</v>
      </c>
      <c r="F884" s="7" t="str">
        <f>IFERROR(__xludf.DUMMYFUNCTION("GOOGLETRANSLATE(B884:B5064,""en"",""fr"")"),"douche")</f>
        <v>douche</v>
      </c>
    </row>
    <row r="885" ht="19.5" customHeight="1">
      <c r="A885" s="26" t="s">
        <v>2371</v>
      </c>
      <c r="B885" s="27" t="s">
        <v>2372</v>
      </c>
      <c r="C885" s="28" t="s">
        <v>178</v>
      </c>
      <c r="D885" s="29">
        <v>468.0</v>
      </c>
      <c r="E885" s="28" t="s">
        <v>2373</v>
      </c>
      <c r="F885" s="7" t="str">
        <f>IFERROR(__xludf.DUMMYFUNCTION("GOOGLETRANSLATE(B885:B5064,""en"",""fr"")"),"tasse")</f>
        <v>tasse</v>
      </c>
    </row>
    <row r="886" ht="19.5" customHeight="1">
      <c r="A886" s="26" t="s">
        <v>2374</v>
      </c>
      <c r="B886" s="27" t="s">
        <v>2375</v>
      </c>
      <c r="C886" s="28" t="s">
        <v>178</v>
      </c>
      <c r="D886" s="29">
        <v>467.0</v>
      </c>
      <c r="E886" s="28" t="s">
        <v>2376</v>
      </c>
      <c r="F886" s="7" t="str">
        <f>IFERROR(__xludf.DUMMYFUNCTION("GOOGLETRANSLATE(B886:B5064,""en"",""fr"")"),"avocat")</f>
        <v>avocat</v>
      </c>
    </row>
    <row r="887" ht="19.5" customHeight="1">
      <c r="A887" s="26" t="s">
        <v>2377</v>
      </c>
      <c r="B887" s="27" t="s">
        <v>2378</v>
      </c>
      <c r="C887" s="28" t="s">
        <v>178</v>
      </c>
      <c r="D887" s="29">
        <v>465.0</v>
      </c>
      <c r="E887" s="28" t="s">
        <v>2379</v>
      </c>
      <c r="F887" s="7" t="str">
        <f>IFERROR(__xludf.DUMMYFUNCTION("GOOGLETRANSLATE(B887:B5064,""en"",""fr"")"),"caméra")</f>
        <v>caméra</v>
      </c>
    </row>
    <row r="888" ht="19.5" customHeight="1">
      <c r="A888" s="26" t="s">
        <v>2380</v>
      </c>
      <c r="B888" s="27" t="s">
        <v>2381</v>
      </c>
      <c r="C888" s="28" t="s">
        <v>178</v>
      </c>
      <c r="D888" s="29">
        <v>465.0</v>
      </c>
      <c r="E888" s="28" t="s">
        <v>2382</v>
      </c>
      <c r="F888" s="7" t="str">
        <f>IFERROR(__xludf.DUMMYFUNCTION("GOOGLETRANSLATE(B888:B5064,""en"",""fr"")"),"douleur")</f>
        <v>douleur</v>
      </c>
    </row>
    <row r="889" ht="19.5" customHeight="1">
      <c r="A889" s="26" t="s">
        <v>2383</v>
      </c>
      <c r="B889" s="27" t="s">
        <v>2384</v>
      </c>
      <c r="C889" s="28" t="s">
        <v>32</v>
      </c>
      <c r="D889" s="29">
        <v>462.0</v>
      </c>
      <c r="E889" s="28" t="s">
        <v>2385</v>
      </c>
      <c r="F889" s="7" t="str">
        <f>IFERROR(__xludf.DUMMYFUNCTION("GOOGLETRANSLATE(B889:B5064,""en"",""fr"")"),"dépêchez-vous")</f>
        <v>dépêchez-vous</v>
      </c>
    </row>
    <row r="890" ht="19.5" customHeight="1">
      <c r="A890" s="26" t="s">
        <v>2386</v>
      </c>
      <c r="B890" s="27" t="s">
        <v>2387</v>
      </c>
      <c r="C890" s="28" t="s">
        <v>178</v>
      </c>
      <c r="D890" s="29">
        <v>461.0</v>
      </c>
      <c r="E890" s="28" t="s">
        <v>2388</v>
      </c>
      <c r="F890" s="7" t="str">
        <f>IFERROR(__xludf.DUMMYFUNCTION("GOOGLETRANSLATE(B890:B5064,""en"",""fr"")"),"bureau")</f>
        <v>bureau</v>
      </c>
    </row>
    <row r="891" ht="19.5" customHeight="1">
      <c r="A891" s="26" t="s">
        <v>2389</v>
      </c>
      <c r="B891" s="27" t="s">
        <v>2390</v>
      </c>
      <c r="C891" s="28" t="s">
        <v>178</v>
      </c>
      <c r="D891" s="29">
        <v>461.0</v>
      </c>
      <c r="E891" s="28" t="s">
        <v>2391</v>
      </c>
      <c r="F891" s="7" t="str">
        <f>IFERROR(__xludf.DUMMYFUNCTION("GOOGLETRANSLATE(B891:B5064,""en"",""fr"")"),"monstre")</f>
        <v>monstre</v>
      </c>
    </row>
    <row r="892" ht="19.5" customHeight="1">
      <c r="A892" s="26" t="s">
        <v>2392</v>
      </c>
      <c r="B892" s="27" t="s">
        <v>2393</v>
      </c>
      <c r="C892" s="28" t="s">
        <v>100</v>
      </c>
      <c r="D892" s="29">
        <v>460.0</v>
      </c>
      <c r="E892" s="28" t="s">
        <v>2393</v>
      </c>
      <c r="F892" s="7" t="str">
        <f>IFERROR(__xludf.DUMMYFUNCTION("GOOGLETRANSLATE(B892:B5064,""en"",""fr"")"),"certainement")</f>
        <v>certainement</v>
      </c>
    </row>
    <row r="893" ht="19.5" customHeight="1">
      <c r="A893" s="26" t="s">
        <v>2394</v>
      </c>
      <c r="B893" s="27" t="s">
        <v>2395</v>
      </c>
      <c r="C893" s="28" t="s">
        <v>178</v>
      </c>
      <c r="D893" s="29">
        <v>460.0</v>
      </c>
      <c r="E893" s="28" t="s">
        <v>2396</v>
      </c>
      <c r="F893" s="7" t="str">
        <f>IFERROR(__xludf.DUMMYFUNCTION("GOOGLETRANSLATE(B893:B5064,""en"",""fr"")"),"flic")</f>
        <v>flic</v>
      </c>
    </row>
    <row r="894" ht="19.5" customHeight="1">
      <c r="A894" s="26" t="s">
        <v>2397</v>
      </c>
      <c r="B894" s="27" t="s">
        <v>2398</v>
      </c>
      <c r="C894" s="28" t="s">
        <v>178</v>
      </c>
      <c r="D894" s="29">
        <v>459.0</v>
      </c>
      <c r="E894" s="28" t="s">
        <v>2399</v>
      </c>
      <c r="F894" s="7" t="str">
        <f>IFERROR(__xludf.DUMMYFUNCTION("GOOGLETRANSLATE(B894:B5064,""en"",""fr"")"),"crédit")</f>
        <v>crédit</v>
      </c>
    </row>
    <row r="895" ht="19.5" customHeight="1">
      <c r="A895" s="26" t="s">
        <v>2400</v>
      </c>
      <c r="B895" s="27" t="s">
        <v>2401</v>
      </c>
      <c r="C895" s="28" t="s">
        <v>32</v>
      </c>
      <c r="D895" s="29">
        <v>459.0</v>
      </c>
      <c r="E895" s="28" t="s">
        <v>2402</v>
      </c>
      <c r="F895" s="7" t="str">
        <f>IFERROR(__xludf.DUMMYFUNCTION("GOOGLETRANSLATE(B895:B5064,""en"",""fr"")"),"préparer")</f>
        <v>préparer</v>
      </c>
    </row>
    <row r="896" ht="19.5" customHeight="1">
      <c r="A896" s="26" t="s">
        <v>2403</v>
      </c>
      <c r="B896" s="27" t="s">
        <v>2404</v>
      </c>
      <c r="C896" s="28" t="s">
        <v>100</v>
      </c>
      <c r="D896" s="29">
        <v>458.0</v>
      </c>
      <c r="E896" s="28" t="s">
        <v>2404</v>
      </c>
      <c r="F896" s="7" t="str">
        <f>IFERROR(__xludf.DUMMYFUNCTION("GOOGLETRANSLATE(B896:B5064,""en"",""fr"")"),"n'importe où")</f>
        <v>n'importe où</v>
      </c>
    </row>
    <row r="897" ht="19.5" customHeight="1">
      <c r="A897" s="26" t="s">
        <v>2405</v>
      </c>
      <c r="B897" s="27" t="s">
        <v>2406</v>
      </c>
      <c r="C897" s="28" t="s">
        <v>178</v>
      </c>
      <c r="D897" s="29">
        <v>458.0</v>
      </c>
      <c r="E897" s="28" t="s">
        <v>2407</v>
      </c>
      <c r="F897" s="7" t="str">
        <f>IFERROR(__xludf.DUMMYFUNCTION("GOOGLETRANSLATE(B897:B5064,""en"",""fr"")"),"petit-déjeuner")</f>
        <v>petit-déjeuner</v>
      </c>
    </row>
    <row r="898" ht="19.5" customHeight="1">
      <c r="A898" s="26" t="s">
        <v>2408</v>
      </c>
      <c r="B898" s="27" t="s">
        <v>2409</v>
      </c>
      <c r="C898" s="28" t="s">
        <v>178</v>
      </c>
      <c r="D898" s="29">
        <v>457.0</v>
      </c>
      <c r="E898" s="28" t="s">
        <v>2410</v>
      </c>
      <c r="F898" s="7" t="str">
        <f>IFERROR(__xludf.DUMMYFUNCTION("GOOGLETRANSLATE(B898:B5064,""en"",""fr"")"),"bâtard")</f>
        <v>bâtard</v>
      </c>
    </row>
    <row r="899" ht="19.5" customHeight="1">
      <c r="A899" s="26" t="s">
        <v>2411</v>
      </c>
      <c r="B899" s="27" t="s">
        <v>1366</v>
      </c>
      <c r="C899" s="28" t="s">
        <v>134</v>
      </c>
      <c r="D899" s="29">
        <v>456.0</v>
      </c>
      <c r="E899" s="28" t="s">
        <v>1366</v>
      </c>
      <c r="F899" s="7" t="str">
        <f>IFERROR(__xludf.DUMMYFUNCTION("GOOGLETRANSLATE(B899:B5064,""en"",""fr"")"),"condamner")</f>
        <v>condamner</v>
      </c>
    </row>
    <row r="900" ht="19.5" customHeight="1">
      <c r="A900" s="26" t="s">
        <v>2412</v>
      </c>
      <c r="B900" s="27" t="s">
        <v>2413</v>
      </c>
      <c r="C900" s="28" t="s">
        <v>178</v>
      </c>
      <c r="D900" s="29">
        <v>455.0</v>
      </c>
      <c r="E900" s="28" t="s">
        <v>2414</v>
      </c>
      <c r="F900" s="7" t="str">
        <f>IFERROR(__xludf.DUMMYFUNCTION("GOOGLETRANSLATE(B900:B5064,""en"",""fr"")"),"église")</f>
        <v>église</v>
      </c>
    </row>
    <row r="901" ht="19.5" customHeight="1">
      <c r="A901" s="26" t="s">
        <v>2415</v>
      </c>
      <c r="B901" s="27" t="s">
        <v>2416</v>
      </c>
      <c r="C901" s="28" t="s">
        <v>32</v>
      </c>
      <c r="D901" s="29">
        <v>454.0</v>
      </c>
      <c r="E901" s="28" t="s">
        <v>2417</v>
      </c>
      <c r="F901" s="7" t="str">
        <f>IFERROR(__xludf.DUMMYFUNCTION("GOOGLETRANSLATE(B901:B5064,""en"",""fr"")"),"embaucher")</f>
        <v>embaucher</v>
      </c>
    </row>
    <row r="902" ht="19.5" customHeight="1">
      <c r="A902" s="26" t="s">
        <v>2418</v>
      </c>
      <c r="B902" s="27" t="s">
        <v>2419</v>
      </c>
      <c r="C902" s="28" t="s">
        <v>178</v>
      </c>
      <c r="D902" s="29">
        <v>452.0</v>
      </c>
      <c r="E902" s="28" t="s">
        <v>2420</v>
      </c>
      <c r="F902" s="7" t="str">
        <f>IFERROR(__xludf.DUMMYFUNCTION("GOOGLETRANSLATE(B902:B5064,""en"",""fr"")"),"décision")</f>
        <v>décision</v>
      </c>
    </row>
    <row r="903" ht="19.5" customHeight="1">
      <c r="A903" s="26" t="s">
        <v>2421</v>
      </c>
      <c r="B903" s="27" t="s">
        <v>2422</v>
      </c>
      <c r="C903" s="28" t="s">
        <v>178</v>
      </c>
      <c r="D903" s="29">
        <v>451.0</v>
      </c>
      <c r="E903" s="28" t="s">
        <v>2423</v>
      </c>
      <c r="F903" s="7" t="str">
        <f>IFERROR(__xludf.DUMMYFUNCTION("GOOGLETRANSLATE(B903:B5064,""en"",""fr"")"),"Manquer")</f>
        <v>Manquer</v>
      </c>
    </row>
    <row r="904" ht="19.5" customHeight="1">
      <c r="A904" s="26" t="s">
        <v>2424</v>
      </c>
      <c r="B904" s="27" t="s">
        <v>2425</v>
      </c>
      <c r="C904" s="28" t="s">
        <v>178</v>
      </c>
      <c r="D904" s="29">
        <v>448.0</v>
      </c>
      <c r="E904" s="28" t="s">
        <v>2426</v>
      </c>
      <c r="F904" s="7" t="str">
        <f>IFERROR(__xludf.DUMMYFUNCTION("GOOGLETRANSLATE(B904:B5064,""en"",""fr"")"),"cochon")</f>
        <v>cochon</v>
      </c>
    </row>
    <row r="905" ht="19.5" customHeight="1">
      <c r="A905" s="26" t="s">
        <v>2427</v>
      </c>
      <c r="B905" s="27" t="s">
        <v>2428</v>
      </c>
      <c r="C905" s="28" t="s">
        <v>178</v>
      </c>
      <c r="D905" s="29">
        <v>446.0</v>
      </c>
      <c r="E905" s="28" t="s">
        <v>2429</v>
      </c>
      <c r="F905" s="7" t="str">
        <f>IFERROR(__xludf.DUMMYFUNCTION("GOOGLETRANSLATE(B905:B5064,""en"",""fr"")"),"perdant")</f>
        <v>perdant</v>
      </c>
    </row>
    <row r="906" ht="19.5" customHeight="1">
      <c r="A906" s="26" t="s">
        <v>2430</v>
      </c>
      <c r="B906" s="27" t="s">
        <v>2431</v>
      </c>
      <c r="C906" s="28" t="s">
        <v>178</v>
      </c>
      <c r="D906" s="29">
        <v>446.0</v>
      </c>
      <c r="E906" s="28" t="s">
        <v>2432</v>
      </c>
      <c r="F906" s="7" t="str">
        <f>IFERROR(__xludf.DUMMYFUNCTION("GOOGLETRANSLATE(B906:B5064,""en"",""fr"")"),"robot")</f>
        <v>robot</v>
      </c>
    </row>
    <row r="907" ht="19.5" customHeight="1">
      <c r="A907" s="26" t="s">
        <v>2433</v>
      </c>
      <c r="B907" s="27" t="s">
        <v>2434</v>
      </c>
      <c r="C907" s="28" t="s">
        <v>134</v>
      </c>
      <c r="D907" s="29">
        <v>445.0</v>
      </c>
      <c r="E907" s="28" t="s">
        <v>2435</v>
      </c>
      <c r="F907" s="7" t="str">
        <f>IFERROR(__xludf.DUMMYFUNCTION("GOOGLETRANSLATE(B907:B5064,""en"",""fr"")"),"profond")</f>
        <v>profond</v>
      </c>
    </row>
    <row r="908" ht="19.5" customHeight="1">
      <c r="A908" s="26" t="s">
        <v>2436</v>
      </c>
      <c r="B908" s="27" t="s">
        <v>2437</v>
      </c>
      <c r="C908" s="28" t="s">
        <v>178</v>
      </c>
      <c r="D908" s="29">
        <v>445.0</v>
      </c>
      <c r="E908" s="28" t="s">
        <v>2438</v>
      </c>
      <c r="F908" s="7" t="str">
        <f>IFERROR(__xludf.DUMMYFUNCTION("GOOGLETRANSLATE(B908:B5064,""en"",""fr"")"),"parc")</f>
        <v>parc</v>
      </c>
    </row>
    <row r="909" ht="19.5" customHeight="1">
      <c r="A909" s="26" t="s">
        <v>2439</v>
      </c>
      <c r="B909" s="27" t="s">
        <v>2440</v>
      </c>
      <c r="C909" s="28" t="s">
        <v>178</v>
      </c>
      <c r="D909" s="29">
        <v>445.0</v>
      </c>
      <c r="E909" s="28" t="s">
        <v>2441</v>
      </c>
      <c r="F909" s="7" t="str">
        <f>IFERROR(__xludf.DUMMYFUNCTION("GOOGLETRANSLATE(B909:B5064,""en"",""fr"")"),"chocolat")</f>
        <v>chocolat</v>
      </c>
    </row>
    <row r="910" ht="19.5" customHeight="1">
      <c r="A910" s="26" t="s">
        <v>2442</v>
      </c>
      <c r="B910" s="27" t="s">
        <v>2443</v>
      </c>
      <c r="C910" s="28" t="s">
        <v>178</v>
      </c>
      <c r="D910" s="29">
        <v>443.0</v>
      </c>
      <c r="E910" s="28" t="s">
        <v>2444</v>
      </c>
      <c r="F910" s="7" t="str">
        <f>IFERROR(__xludf.DUMMYFUNCTION("GOOGLETRANSLATE(B910:B5064,""en"",""fr"")"),"service")</f>
        <v>service</v>
      </c>
    </row>
    <row r="911" ht="19.5" customHeight="1">
      <c r="A911" s="26" t="s">
        <v>2445</v>
      </c>
      <c r="B911" s="27" t="s">
        <v>2446</v>
      </c>
      <c r="C911" s="28" t="s">
        <v>728</v>
      </c>
      <c r="D911" s="29">
        <v>442.0</v>
      </c>
      <c r="E911" s="28" t="s">
        <v>2446</v>
      </c>
      <c r="F911" s="7" t="str">
        <f>IFERROR(__xludf.DUMMYFUNCTION("GOOGLETRANSLATE(B911:B5064,""en"",""fr"")"),"Juif")</f>
        <v>Juif</v>
      </c>
    </row>
    <row r="912" ht="19.5" customHeight="1">
      <c r="A912" s="26" t="s">
        <v>2447</v>
      </c>
      <c r="B912" s="27" t="s">
        <v>2448</v>
      </c>
      <c r="C912" s="28" t="s">
        <v>178</v>
      </c>
      <c r="D912" s="29">
        <v>440.0</v>
      </c>
      <c r="E912" s="28" t="s">
        <v>2449</v>
      </c>
      <c r="F912" s="7" t="str">
        <f>IFERROR(__xludf.DUMMYFUNCTION("GOOGLETRANSLATE(B912:B5064,""en"",""fr"")"),"ruban adhésif")</f>
        <v>ruban adhésif</v>
      </c>
    </row>
    <row r="913" ht="19.5" customHeight="1">
      <c r="A913" s="26" t="s">
        <v>2450</v>
      </c>
      <c r="B913" s="27" t="s">
        <v>2451</v>
      </c>
      <c r="C913" s="28" t="s">
        <v>178</v>
      </c>
      <c r="D913" s="29">
        <v>439.0</v>
      </c>
      <c r="E913" s="28" t="s">
        <v>2452</v>
      </c>
      <c r="F913" s="7" t="str">
        <f>IFERROR(__xludf.DUMMYFUNCTION("GOOGLETRANSLATE(B913:B5064,""en"",""fr"")"),"cuisine")</f>
        <v>cuisine</v>
      </c>
    </row>
    <row r="914" ht="19.5" customHeight="1">
      <c r="A914" s="26" t="s">
        <v>2453</v>
      </c>
      <c r="B914" s="27" t="s">
        <v>1941</v>
      </c>
      <c r="C914" s="28" t="s">
        <v>150</v>
      </c>
      <c r="D914" s="29">
        <v>438.0</v>
      </c>
      <c r="E914" s="28" t="s">
        <v>2454</v>
      </c>
      <c r="F914" s="7" t="str">
        <f>IFERROR(__xludf.DUMMYFUNCTION("GOOGLETRANSLATE(B914:B5064,""en"",""fr"")"),"moitié")</f>
        <v>moitié</v>
      </c>
    </row>
    <row r="915" ht="19.5" customHeight="1">
      <c r="A915" s="26" t="s">
        <v>2455</v>
      </c>
      <c r="B915" s="27" t="s">
        <v>2456</v>
      </c>
      <c r="C915" s="28" t="s">
        <v>32</v>
      </c>
      <c r="D915" s="29">
        <v>438.0</v>
      </c>
      <c r="E915" s="28" t="s">
        <v>2457</v>
      </c>
      <c r="F915" s="7" t="str">
        <f>IFERROR(__xludf.DUMMYFUNCTION("GOOGLETRANSLATE(B915:B5064,""en"",""fr"")"),"débarrasser")</f>
        <v>débarrasser</v>
      </c>
    </row>
    <row r="916" ht="19.5" customHeight="1">
      <c r="A916" s="26" t="s">
        <v>2458</v>
      </c>
      <c r="B916" s="27" t="s">
        <v>2459</v>
      </c>
      <c r="C916" s="28" t="s">
        <v>178</v>
      </c>
      <c r="D916" s="29">
        <v>437.0</v>
      </c>
      <c r="E916" s="28" t="s">
        <v>2460</v>
      </c>
      <c r="F916" s="7" t="str">
        <f>IFERROR(__xludf.DUMMYFUNCTION("GOOGLETRANSLATE(B916:B5064,""en"",""fr"")"),"grand-père")</f>
        <v>grand-père</v>
      </c>
    </row>
    <row r="917" ht="19.5" customHeight="1">
      <c r="A917" s="26" t="s">
        <v>2461</v>
      </c>
      <c r="B917" s="27" t="s">
        <v>2462</v>
      </c>
      <c r="C917" s="28" t="s">
        <v>178</v>
      </c>
      <c r="D917" s="29">
        <v>437.0</v>
      </c>
      <c r="E917" s="28" t="s">
        <v>2463</v>
      </c>
      <c r="F917" s="7" t="str">
        <f>IFERROR(__xludf.DUMMYFUNCTION("GOOGLETRANSLATE(B917:B5064,""en"",""fr"")"),"héros")</f>
        <v>héros</v>
      </c>
    </row>
    <row r="918" ht="19.5" customHeight="1">
      <c r="A918" s="26" t="s">
        <v>2464</v>
      </c>
      <c r="B918" s="27" t="s">
        <v>2465</v>
      </c>
      <c r="C918" s="28" t="s">
        <v>178</v>
      </c>
      <c r="D918" s="29">
        <v>437.0</v>
      </c>
      <c r="E918" s="28" t="s">
        <v>2466</v>
      </c>
      <c r="F918" s="7" t="str">
        <f>IFERROR(__xludf.DUMMYFUNCTION("GOOGLETRANSLATE(B918:B5064,""en"",""fr"")"),"tir")</f>
        <v>tir</v>
      </c>
    </row>
    <row r="919" ht="19.5" customHeight="1">
      <c r="A919" s="26" t="s">
        <v>2467</v>
      </c>
      <c r="B919" s="27" t="s">
        <v>2468</v>
      </c>
      <c r="C919" s="28" t="s">
        <v>178</v>
      </c>
      <c r="D919" s="29">
        <v>437.0</v>
      </c>
      <c r="E919" s="28" t="s">
        <v>2469</v>
      </c>
      <c r="F919" s="7" t="str">
        <f>IFERROR(__xludf.DUMMYFUNCTION("GOOGLETRANSLATE(B919:B5064,""en"",""fr"")"),"place")</f>
        <v>place</v>
      </c>
    </row>
    <row r="920" ht="19.5" customHeight="1">
      <c r="A920" s="26" t="s">
        <v>2470</v>
      </c>
      <c r="B920" s="27" t="s">
        <v>2471</v>
      </c>
      <c r="C920" s="28" t="s">
        <v>178</v>
      </c>
      <c r="D920" s="29">
        <v>436.0</v>
      </c>
      <c r="E920" s="28" t="s">
        <v>2471</v>
      </c>
      <c r="F920" s="7" t="str">
        <f>IFERROR(__xludf.DUMMYFUNCTION("GOOGLETRANSLATE(B920:B5064,""en"",""fr"")"),"gens")</f>
        <v>gens</v>
      </c>
    </row>
    <row r="921" ht="19.5" customHeight="1">
      <c r="A921" s="26" t="s">
        <v>2472</v>
      </c>
      <c r="B921" s="27" t="s">
        <v>2473</v>
      </c>
      <c r="C921" s="28" t="s">
        <v>32</v>
      </c>
      <c r="D921" s="29">
        <v>434.0</v>
      </c>
      <c r="E921" s="28" t="s">
        <v>2474</v>
      </c>
      <c r="F921" s="7" t="str">
        <f>IFERROR(__xludf.DUMMYFUNCTION("GOOGLETRANSLATE(B921:B5064,""en"",""fr"")"),"crier")</f>
        <v>crier</v>
      </c>
    </row>
    <row r="922" ht="19.5" customHeight="1">
      <c r="A922" s="26" t="s">
        <v>2475</v>
      </c>
      <c r="B922" s="27" t="s">
        <v>2476</v>
      </c>
      <c r="C922" s="28" t="s">
        <v>134</v>
      </c>
      <c r="D922" s="29">
        <v>433.0</v>
      </c>
      <c r="E922" s="28" t="s">
        <v>2477</v>
      </c>
      <c r="F922" s="7" t="str">
        <f>IFERROR(__xludf.DUMMYFUNCTION("GOOGLETRANSLATE(B922:B5064,""en"",""fr"")"),"affreux")</f>
        <v>affreux</v>
      </c>
    </row>
    <row r="923" ht="19.5" customHeight="1">
      <c r="A923" s="26" t="s">
        <v>2478</v>
      </c>
      <c r="B923" s="27" t="s">
        <v>2479</v>
      </c>
      <c r="C923" s="28" t="s">
        <v>178</v>
      </c>
      <c r="D923" s="29">
        <v>433.0</v>
      </c>
      <c r="E923" s="28" t="s">
        <v>2480</v>
      </c>
      <c r="F923" s="7" t="str">
        <f>IFERROR(__xludf.DUMMYFUNCTION("GOOGLETRANSLATE(B923:B5064,""en"",""fr"")"),"scène")</f>
        <v>scène</v>
      </c>
    </row>
    <row r="924" ht="19.5" customHeight="1">
      <c r="A924" s="26" t="s">
        <v>2481</v>
      </c>
      <c r="B924" s="27" t="s">
        <v>2482</v>
      </c>
      <c r="C924" s="28" t="s">
        <v>178</v>
      </c>
      <c r="D924" s="29">
        <v>433.0</v>
      </c>
      <c r="E924" s="28" t="s">
        <v>2483</v>
      </c>
      <c r="F924" s="7" t="str">
        <f>IFERROR(__xludf.DUMMYFUNCTION("GOOGLETRANSLATE(B924:B5064,""en"",""fr"")"),"astuce")</f>
        <v>astuce</v>
      </c>
    </row>
    <row r="925" ht="19.5" customHeight="1">
      <c r="A925" s="26" t="s">
        <v>2484</v>
      </c>
      <c r="B925" s="27" t="s">
        <v>2485</v>
      </c>
      <c r="C925" s="28" t="s">
        <v>178</v>
      </c>
      <c r="D925" s="29">
        <v>431.0</v>
      </c>
      <c r="E925" s="28" t="s">
        <v>2486</v>
      </c>
      <c r="F925" s="7" t="str">
        <f>IFERROR(__xludf.DUMMYFUNCTION("GOOGLETRANSLATE(B925:B5064,""en"",""fr"")"),"Connard")</f>
        <v>Connard</v>
      </c>
    </row>
    <row r="926" ht="19.5" customHeight="1">
      <c r="A926" s="26" t="s">
        <v>2487</v>
      </c>
      <c r="B926" s="27" t="s">
        <v>2488</v>
      </c>
      <c r="C926" s="28" t="s">
        <v>178</v>
      </c>
      <c r="D926" s="29">
        <v>430.0</v>
      </c>
      <c r="E926" s="28" t="s">
        <v>2489</v>
      </c>
      <c r="F926" s="7" t="str">
        <f>IFERROR(__xludf.DUMMYFUNCTION("GOOGLETRANSLATE(B926:B5064,""en"",""fr"")"),"problème")</f>
        <v>problème</v>
      </c>
    </row>
    <row r="927" ht="19.5" customHeight="1">
      <c r="A927" s="26" t="s">
        <v>2490</v>
      </c>
      <c r="B927" s="27" t="s">
        <v>2491</v>
      </c>
      <c r="C927" s="28" t="s">
        <v>134</v>
      </c>
      <c r="D927" s="29">
        <v>429.0</v>
      </c>
      <c r="E927" s="28" t="s">
        <v>2492</v>
      </c>
      <c r="F927" s="7" t="str">
        <f>IFERROR(__xludf.DUMMYFUNCTION("GOOGLETRANSLATE(B927:B5064,""en"",""fr"")"),"beau")</f>
        <v>beau</v>
      </c>
    </row>
    <row r="928" ht="19.5" customHeight="1">
      <c r="A928" s="26" t="s">
        <v>2493</v>
      </c>
      <c r="B928" s="27" t="s">
        <v>2494</v>
      </c>
      <c r="C928" s="28" t="s">
        <v>32</v>
      </c>
      <c r="D928" s="29">
        <v>428.0</v>
      </c>
      <c r="E928" s="28" t="s">
        <v>2495</v>
      </c>
      <c r="F928" s="7" t="str">
        <f>IFERROR(__xludf.DUMMYFUNCTION("GOOGLETRANSLATE(B928:B5064,""en"",""fr"")"),"visite")</f>
        <v>visite</v>
      </c>
    </row>
    <row r="929" ht="19.5" customHeight="1">
      <c r="A929" s="26" t="s">
        <v>2496</v>
      </c>
      <c r="B929" s="27" t="s">
        <v>2497</v>
      </c>
      <c r="C929" s="28" t="s">
        <v>178</v>
      </c>
      <c r="D929" s="29">
        <v>428.0</v>
      </c>
      <c r="E929" s="28" t="s">
        <v>2498</v>
      </c>
      <c r="F929" s="7" t="str">
        <f>IFERROR(__xludf.DUMMYFUNCTION("GOOGLETRANSLATE(B929:B5064,""en"",""fr"")"),"honneur")</f>
        <v>honneur</v>
      </c>
    </row>
    <row r="930" ht="19.5" customHeight="1">
      <c r="A930" s="26" t="s">
        <v>2499</v>
      </c>
      <c r="B930" s="27" t="s">
        <v>1903</v>
      </c>
      <c r="C930" s="28" t="s">
        <v>134</v>
      </c>
      <c r="D930" s="29">
        <v>426.0</v>
      </c>
      <c r="E930" s="28" t="s">
        <v>2500</v>
      </c>
      <c r="F930" s="7" t="str">
        <f>IFERROR(__xludf.DUMMYFUNCTION("GOOGLETRANSLATE(B930:B5064,""en"",""fr"")"),"faire le ménage")</f>
        <v>faire le ménage</v>
      </c>
    </row>
    <row r="931" ht="19.5" customHeight="1">
      <c r="A931" s="26" t="s">
        <v>2501</v>
      </c>
      <c r="B931" s="27" t="s">
        <v>686</v>
      </c>
      <c r="C931" s="28" t="s">
        <v>178</v>
      </c>
      <c r="D931" s="29">
        <v>425.0</v>
      </c>
      <c r="E931" s="28" t="s">
        <v>2502</v>
      </c>
      <c r="F931" s="7" t="str">
        <f>IFERROR(__xludf.DUMMYFUNCTION("GOOGLETRANSLATE(B931:B5064,""en"",""fr"")"),"deuxième")</f>
        <v>deuxième</v>
      </c>
    </row>
    <row r="932" ht="19.5" customHeight="1">
      <c r="A932" s="26" t="s">
        <v>2503</v>
      </c>
      <c r="B932" s="27" t="s">
        <v>2504</v>
      </c>
      <c r="C932" s="28" t="s">
        <v>178</v>
      </c>
      <c r="D932" s="29">
        <v>424.0</v>
      </c>
      <c r="E932" s="28" t="s">
        <v>2505</v>
      </c>
      <c r="F932" s="7" t="str">
        <f>IFERROR(__xludf.DUMMYFUNCTION("GOOGLETRANSLATE(B932:B5064,""en"",""fr"")"),"poussin")</f>
        <v>poussin</v>
      </c>
    </row>
    <row r="933" ht="19.5" customHeight="1">
      <c r="A933" s="26" t="s">
        <v>2506</v>
      </c>
      <c r="B933" s="27" t="s">
        <v>2507</v>
      </c>
      <c r="C933" s="28" t="s">
        <v>178</v>
      </c>
      <c r="D933" s="29">
        <v>424.0</v>
      </c>
      <c r="E933" s="28" t="s">
        <v>2508</v>
      </c>
      <c r="F933" s="7" t="str">
        <f>IFERROR(__xludf.DUMMYFUNCTION("GOOGLETRANSLATE(B933:B5064,""en"",""fr"")"),"costume")</f>
        <v>costume</v>
      </c>
    </row>
    <row r="934" ht="19.5" customHeight="1">
      <c r="A934" s="26" t="s">
        <v>2509</v>
      </c>
      <c r="B934" s="27" t="s">
        <v>2510</v>
      </c>
      <c r="C934" s="28" t="s">
        <v>728</v>
      </c>
      <c r="D934" s="29">
        <v>424.0</v>
      </c>
      <c r="E934" s="28" t="s">
        <v>2511</v>
      </c>
      <c r="F934" s="7" t="str">
        <f>IFERROR(__xludf.DUMMYFUNCTION("GOOGLETRANSLATE(B934:B5064,""en"",""fr"")"),"Vendredi")</f>
        <v>Vendredi</v>
      </c>
    </row>
    <row r="935" ht="19.5" customHeight="1">
      <c r="A935" s="26" t="s">
        <v>2512</v>
      </c>
      <c r="B935" s="27" t="s">
        <v>2513</v>
      </c>
      <c r="C935" s="28" t="s">
        <v>178</v>
      </c>
      <c r="D935" s="29">
        <v>424.0</v>
      </c>
      <c r="E935" s="28" t="s">
        <v>2514</v>
      </c>
      <c r="F935" s="7" t="str">
        <f>IFERROR(__xludf.DUMMYFUNCTION("GOOGLETRANSLATE(B935:B5064,""en"",""fr"")"),"salle")</f>
        <v>salle</v>
      </c>
    </row>
    <row r="936" ht="19.5" customHeight="1">
      <c r="A936" s="26" t="s">
        <v>2515</v>
      </c>
      <c r="B936" s="27" t="s">
        <v>2516</v>
      </c>
      <c r="C936" s="28" t="s">
        <v>178</v>
      </c>
      <c r="D936" s="29">
        <v>422.0</v>
      </c>
      <c r="E936" s="28" t="s">
        <v>2517</v>
      </c>
      <c r="F936" s="7" t="str">
        <f>IFERROR(__xludf.DUMMYFUNCTION("GOOGLETRANSLATE(B936:B5064,""en"",""fr"")"),"MS")</f>
        <v>MS</v>
      </c>
    </row>
    <row r="937" ht="19.5" customHeight="1">
      <c r="A937" s="26" t="s">
        <v>2518</v>
      </c>
      <c r="B937" s="27" t="s">
        <v>2519</v>
      </c>
      <c r="C937" s="28" t="s">
        <v>134</v>
      </c>
      <c r="D937" s="29">
        <v>419.0</v>
      </c>
      <c r="E937" s="28" t="s">
        <v>2519</v>
      </c>
      <c r="F937" s="7" t="str">
        <f>IFERROR(__xludf.DUMMYFUNCTION("GOOGLETRANSLATE(B937:B5064,""en"",""fr"")"),"faux")</f>
        <v>faux</v>
      </c>
    </row>
    <row r="938" ht="19.5" customHeight="1">
      <c r="A938" s="26" t="s">
        <v>2520</v>
      </c>
      <c r="B938" s="27" t="s">
        <v>2521</v>
      </c>
      <c r="C938" s="28" t="s">
        <v>32</v>
      </c>
      <c r="D938" s="29">
        <v>419.0</v>
      </c>
      <c r="E938" s="28" t="s">
        <v>2522</v>
      </c>
      <c r="F938" s="7" t="str">
        <f>IFERROR(__xludf.DUMMYFUNCTION("GOOGLETRANSLATE(B938:B5064,""en"",""fr"")"),"pardonner")</f>
        <v>pardonner</v>
      </c>
    </row>
    <row r="939" ht="19.5" customHeight="1">
      <c r="A939" s="26" t="s">
        <v>2523</v>
      </c>
      <c r="B939" s="27" t="s">
        <v>2524</v>
      </c>
      <c r="C939" s="28" t="s">
        <v>178</v>
      </c>
      <c r="D939" s="29">
        <v>419.0</v>
      </c>
      <c r="E939" s="28" t="s">
        <v>2525</v>
      </c>
      <c r="F939" s="7" t="str">
        <f>IFERROR(__xludf.DUMMYFUNCTION("GOOGLETRANSLATE(B939:B5064,""en"",""fr"")"),"grade")</f>
        <v>grade</v>
      </c>
    </row>
    <row r="940" ht="19.5" customHeight="1">
      <c r="A940" s="26" t="s">
        <v>2526</v>
      </c>
      <c r="B940" s="27" t="s">
        <v>2527</v>
      </c>
      <c r="C940" s="28" t="s">
        <v>150</v>
      </c>
      <c r="D940" s="29">
        <v>418.0</v>
      </c>
      <c r="E940" s="28" t="s">
        <v>2528</v>
      </c>
      <c r="F940" s="7" t="str">
        <f>IFERROR(__xludf.DUMMYFUNCTION("GOOGLETRANSLATE(B940:B5064,""en"",""fr"")"),"quinze")</f>
        <v>quinze</v>
      </c>
    </row>
    <row r="941" ht="19.5" customHeight="1">
      <c r="A941" s="26" t="s">
        <v>2529</v>
      </c>
      <c r="B941" s="27" t="s">
        <v>2530</v>
      </c>
      <c r="C941" s="28" t="s">
        <v>32</v>
      </c>
      <c r="D941" s="29">
        <v>417.0</v>
      </c>
      <c r="E941" s="28" t="s">
        <v>2530</v>
      </c>
      <c r="F941" s="7" t="str">
        <f>IFERROR(__xludf.DUMMYFUNCTION("GOOGLETRANSLATE(B941:B5064,""en"",""fr"")"),"devrait")</f>
        <v>devrait</v>
      </c>
    </row>
    <row r="942" ht="19.5" customHeight="1">
      <c r="A942" s="26" t="s">
        <v>2531</v>
      </c>
      <c r="B942" s="27" t="s">
        <v>2532</v>
      </c>
      <c r="C942" s="28" t="s">
        <v>32</v>
      </c>
      <c r="D942" s="29">
        <v>416.0</v>
      </c>
      <c r="E942" s="28" t="s">
        <v>2533</v>
      </c>
      <c r="F942" s="7" t="str">
        <f>IFERROR(__xludf.DUMMYFUNCTION("GOOGLETRANSLATE(B942:B5064,""en"",""fr"")"),"tricher")</f>
        <v>tricher</v>
      </c>
    </row>
    <row r="943" ht="19.5" customHeight="1">
      <c r="A943" s="26" t="s">
        <v>2534</v>
      </c>
      <c r="B943" s="27" t="s">
        <v>2535</v>
      </c>
      <c r="C943" s="28" t="s">
        <v>728</v>
      </c>
      <c r="D943" s="29">
        <v>416.0</v>
      </c>
      <c r="E943" s="28" t="s">
        <v>2535</v>
      </c>
      <c r="F943" s="7" t="str">
        <f>IFERROR(__xludf.DUMMYFUNCTION("GOOGLETRANSLATE(B943:B5064,""en"",""fr"")"),"Chinois")</f>
        <v>Chinois</v>
      </c>
    </row>
    <row r="944" ht="19.5" customHeight="1">
      <c r="A944" s="26" t="s">
        <v>2536</v>
      </c>
      <c r="B944" s="27" t="s">
        <v>1835</v>
      </c>
      <c r="C944" s="28" t="s">
        <v>85</v>
      </c>
      <c r="D944" s="29">
        <v>414.0</v>
      </c>
      <c r="E944" s="28" t="s">
        <v>2537</v>
      </c>
      <c r="F944" s="7" t="str">
        <f>IFERROR(__xludf.DUMMYFUNCTION("GOOGLETRANSLATE(B944:B5064,""en"",""fr"")"),"merde")</f>
        <v>merde</v>
      </c>
    </row>
    <row r="945" ht="19.5" customHeight="1">
      <c r="A945" s="26" t="s">
        <v>2538</v>
      </c>
      <c r="B945" s="27" t="s">
        <v>2539</v>
      </c>
      <c r="C945" s="28" t="s">
        <v>32</v>
      </c>
      <c r="D945" s="29">
        <v>413.0</v>
      </c>
      <c r="E945" s="28" t="s">
        <v>2540</v>
      </c>
      <c r="F945" s="7" t="str">
        <f>IFERROR(__xludf.DUMMYFUNCTION("GOOGLETRANSLATE(B945:B5064,""en"",""fr"")"),"créer")</f>
        <v>créer</v>
      </c>
    </row>
    <row r="946" ht="19.5" customHeight="1">
      <c r="A946" s="26" t="s">
        <v>2541</v>
      </c>
      <c r="B946" s="27" t="s">
        <v>2542</v>
      </c>
      <c r="C946" s="28" t="s">
        <v>134</v>
      </c>
      <c r="D946" s="29">
        <v>412.0</v>
      </c>
      <c r="E946" s="28" t="s">
        <v>2542</v>
      </c>
      <c r="F946" s="7" t="str">
        <f>IFERROR(__xludf.DUMMYFUNCTION("GOOGLETRANSLATE(B946:B5064,""en"",""fr"")"),"confortable")</f>
        <v>confortable</v>
      </c>
    </row>
    <row r="947" ht="19.5" customHeight="1">
      <c r="A947" s="26" t="s">
        <v>2543</v>
      </c>
      <c r="B947" s="27" t="s">
        <v>2544</v>
      </c>
      <c r="C947" s="28" t="s">
        <v>178</v>
      </c>
      <c r="D947" s="29">
        <v>411.0</v>
      </c>
      <c r="E947" s="28" t="s">
        <v>2545</v>
      </c>
      <c r="F947" s="7" t="str">
        <f>IFERROR(__xludf.DUMMYFUNCTION("GOOGLETRANSLATE(B947:B5064,""en"",""fr"")"),"hôtel")</f>
        <v>hôtel</v>
      </c>
    </row>
    <row r="948" ht="19.5" customHeight="1">
      <c r="A948" s="26" t="s">
        <v>2546</v>
      </c>
      <c r="B948" s="27" t="s">
        <v>2547</v>
      </c>
      <c r="C948" s="28" t="s">
        <v>178</v>
      </c>
      <c r="D948" s="29">
        <v>411.0</v>
      </c>
      <c r="E948" s="28" t="s">
        <v>2548</v>
      </c>
      <c r="F948" s="7" t="str">
        <f>IFERROR(__xludf.DUMMYFUNCTION("GOOGLETRANSLATE(B948:B5064,""en"",""fr"")"),"revue")</f>
        <v>revue</v>
      </c>
    </row>
    <row r="949" ht="19.5" customHeight="1">
      <c r="A949" s="26" t="s">
        <v>2549</v>
      </c>
      <c r="B949" s="27" t="s">
        <v>2550</v>
      </c>
      <c r="C949" s="28" t="s">
        <v>32</v>
      </c>
      <c r="D949" s="29">
        <v>411.0</v>
      </c>
      <c r="E949" s="28" t="s">
        <v>2551</v>
      </c>
      <c r="F949" s="7" t="str">
        <f>IFERROR(__xludf.DUMMYFUNCTION("GOOGLETRANSLATE(B949:B5064,""en"",""fr"")"),"régler")</f>
        <v>régler</v>
      </c>
    </row>
    <row r="950" ht="19.5" customHeight="1">
      <c r="A950" s="26" t="s">
        <v>2552</v>
      </c>
      <c r="B950" s="27" t="s">
        <v>2553</v>
      </c>
      <c r="C950" s="28" t="s">
        <v>178</v>
      </c>
      <c r="D950" s="29">
        <v>410.0</v>
      </c>
      <c r="E950" s="28" t="s">
        <v>2554</v>
      </c>
      <c r="F950" s="7" t="str">
        <f>IFERROR(__xludf.DUMMYFUNCTION("GOOGLETRANSLATE(B950:B5064,""en"",""fr"")"),"accident")</f>
        <v>accident</v>
      </c>
    </row>
    <row r="951" ht="19.5" customHeight="1">
      <c r="A951" s="26" t="s">
        <v>2555</v>
      </c>
      <c r="B951" s="27" t="s">
        <v>2556</v>
      </c>
      <c r="C951" s="28" t="s">
        <v>178</v>
      </c>
      <c r="D951" s="29">
        <v>409.0</v>
      </c>
      <c r="E951" s="28" t="s">
        <v>2557</v>
      </c>
      <c r="F951" s="7" t="str">
        <f>IFERROR(__xludf.DUMMYFUNCTION("GOOGLETRANSLATE(B951:B5064,""en"",""fr"")"),"seins")</f>
        <v>seins</v>
      </c>
    </row>
    <row r="952" ht="19.5" customHeight="1">
      <c r="A952" s="26" t="s">
        <v>2558</v>
      </c>
      <c r="B952" s="27" t="s">
        <v>2559</v>
      </c>
      <c r="C952" s="28" t="s">
        <v>134</v>
      </c>
      <c r="D952" s="29">
        <v>409.0</v>
      </c>
      <c r="E952" s="28" t="s">
        <v>2559</v>
      </c>
      <c r="F952" s="7" t="str">
        <f>IFERROR(__xludf.DUMMYFUNCTION("GOOGLETRANSLATE(B952:B5064,""en"",""fr"")"),"excellent")</f>
        <v>excellent</v>
      </c>
    </row>
    <row r="953" ht="19.5" customHeight="1">
      <c r="A953" s="26" t="s">
        <v>2560</v>
      </c>
      <c r="B953" s="27" t="s">
        <v>2561</v>
      </c>
      <c r="C953" s="28" t="s">
        <v>178</v>
      </c>
      <c r="D953" s="29">
        <v>409.0</v>
      </c>
      <c r="E953" s="28" t="s">
        <v>2562</v>
      </c>
      <c r="F953" s="7" t="str">
        <f>IFERROR(__xludf.DUMMYFUNCTION("GOOGLETRANSLATE(B953:B5064,""en"",""fr"")"),"voisin")</f>
        <v>voisin</v>
      </c>
    </row>
    <row r="954" ht="19.5" customHeight="1">
      <c r="A954" s="26" t="s">
        <v>2563</v>
      </c>
      <c r="B954" s="27" t="s">
        <v>2564</v>
      </c>
      <c r="C954" s="28" t="s">
        <v>178</v>
      </c>
      <c r="D954" s="29">
        <v>409.0</v>
      </c>
      <c r="E954" s="28" t="s">
        <v>2565</v>
      </c>
      <c r="F954" s="7" t="str">
        <f>IFERROR(__xludf.DUMMYFUNCTION("GOOGLETRANSLATE(B954:B5064,""en"",""fr"")"),"former")</f>
        <v>former</v>
      </c>
    </row>
    <row r="955" ht="19.5" customHeight="1">
      <c r="A955" s="26" t="s">
        <v>2566</v>
      </c>
      <c r="B955" s="27" t="s">
        <v>2567</v>
      </c>
      <c r="C955" s="28" t="s">
        <v>178</v>
      </c>
      <c r="D955" s="29">
        <v>408.0</v>
      </c>
      <c r="E955" s="28" t="s">
        <v>2568</v>
      </c>
      <c r="F955" s="7" t="str">
        <f>IFERROR(__xludf.DUMMYFUNCTION("GOOGLETRANSLATE(B955:B5064,""en"",""fr"")"),"conseil")</f>
        <v>conseil</v>
      </c>
    </row>
    <row r="956" ht="19.5" customHeight="1">
      <c r="A956" s="26" t="s">
        <v>2569</v>
      </c>
      <c r="B956" s="27" t="s">
        <v>2570</v>
      </c>
      <c r="C956" s="28" t="s">
        <v>32</v>
      </c>
      <c r="D956" s="29">
        <v>408.0</v>
      </c>
      <c r="E956" s="28" t="s">
        <v>2571</v>
      </c>
      <c r="F956" s="7" t="str">
        <f>IFERROR(__xludf.DUMMYFUNCTION("GOOGLETRANSLATE(B956:B5064,""en"",""fr"")"),"populaire")</f>
        <v>populaire</v>
      </c>
    </row>
    <row r="957" ht="19.5" customHeight="1">
      <c r="A957" s="26" t="s">
        <v>2572</v>
      </c>
      <c r="B957" s="27" t="s">
        <v>2573</v>
      </c>
      <c r="C957" s="28" t="s">
        <v>178</v>
      </c>
      <c r="D957" s="29">
        <v>408.0</v>
      </c>
      <c r="E957" s="28" t="s">
        <v>2574</v>
      </c>
      <c r="F957" s="7" t="str">
        <f>IFERROR(__xludf.DUMMYFUNCTION("GOOGLETRANSLATE(B957:B5064,""en"",""fr"")"),"esprit")</f>
        <v>esprit</v>
      </c>
    </row>
    <row r="958" ht="19.5" customHeight="1">
      <c r="A958" s="26" t="s">
        <v>2575</v>
      </c>
      <c r="B958" s="27" t="s">
        <v>2576</v>
      </c>
      <c r="C958" s="28" t="s">
        <v>178</v>
      </c>
      <c r="D958" s="29">
        <v>406.0</v>
      </c>
      <c r="E958" s="28" t="s">
        <v>2577</v>
      </c>
      <c r="F958" s="7" t="str">
        <f>IFERROR(__xludf.DUMMYFUNCTION("GOOGLETRANSLATE(B958:B5064,""en"",""fr"")"),"vache")</f>
        <v>vache</v>
      </c>
    </row>
    <row r="959" ht="19.5" customHeight="1">
      <c r="A959" s="26" t="s">
        <v>2578</v>
      </c>
      <c r="B959" s="27" t="s">
        <v>2579</v>
      </c>
      <c r="C959" s="28" t="s">
        <v>178</v>
      </c>
      <c r="D959" s="29">
        <v>404.0</v>
      </c>
      <c r="E959" s="28" t="s">
        <v>2580</v>
      </c>
      <c r="F959" s="7" t="str">
        <f>IFERROR(__xludf.DUMMYFUNCTION("GOOGLETRANSLATE(B959:B5064,""en"",""fr"")"),"bâtiment")</f>
        <v>bâtiment</v>
      </c>
    </row>
    <row r="960" ht="19.5" customHeight="1">
      <c r="A960" s="26" t="s">
        <v>2581</v>
      </c>
      <c r="B960" s="27" t="s">
        <v>2582</v>
      </c>
      <c r="C960" s="28" t="s">
        <v>178</v>
      </c>
      <c r="D960" s="29">
        <v>404.0</v>
      </c>
      <c r="E960" s="28" t="s">
        <v>2583</v>
      </c>
      <c r="F960" s="7" t="str">
        <f>IFERROR(__xludf.DUMMYFUNCTION("GOOGLETRANSLATE(B960:B5064,""en"",""fr"")"),"oreille")</f>
        <v>oreille</v>
      </c>
    </row>
    <row r="961" ht="19.5" customHeight="1">
      <c r="A961" s="26" t="s">
        <v>2584</v>
      </c>
      <c r="B961" s="27" t="s">
        <v>2585</v>
      </c>
      <c r="C961" s="28" t="s">
        <v>134</v>
      </c>
      <c r="D961" s="29">
        <v>404.0</v>
      </c>
      <c r="E961" s="28" t="s">
        <v>2586</v>
      </c>
      <c r="F961" s="7" t="str">
        <f>IFERROR(__xludf.DUMMYFUNCTION("GOOGLETRANSLATE(B961:B5064,""en"",""fr"")"),"géant")</f>
        <v>géant</v>
      </c>
    </row>
    <row r="962" ht="19.5" customHeight="1">
      <c r="A962" s="26" t="s">
        <v>2587</v>
      </c>
      <c r="B962" s="27" t="s">
        <v>2588</v>
      </c>
      <c r="C962" s="28" t="s">
        <v>134</v>
      </c>
      <c r="D962" s="29">
        <v>404.0</v>
      </c>
      <c r="E962" s="28" t="s">
        <v>2589</v>
      </c>
      <c r="F962" s="7" t="str">
        <f>IFERROR(__xludf.DUMMYFUNCTION("GOOGLETRANSLATE(B962:B5064,""en"",""fr"")"),"laid")</f>
        <v>laid</v>
      </c>
    </row>
    <row r="963" ht="19.5" customHeight="1">
      <c r="A963" s="26" t="s">
        <v>2590</v>
      </c>
      <c r="B963" s="27" t="s">
        <v>2591</v>
      </c>
      <c r="C963" s="28" t="s">
        <v>178</v>
      </c>
      <c r="D963" s="29">
        <v>403.0</v>
      </c>
      <c r="E963" s="28" t="s">
        <v>2592</v>
      </c>
      <c r="F963" s="7" t="str">
        <f>IFERROR(__xludf.DUMMYFUNCTION("GOOGLETRANSLATE(B963:B5064,""en"",""fr"")"),"jouet")</f>
        <v>jouet</v>
      </c>
    </row>
    <row r="964" ht="19.5" customHeight="1">
      <c r="A964" s="26" t="s">
        <v>2593</v>
      </c>
      <c r="B964" s="27" t="s">
        <v>2594</v>
      </c>
      <c r="C964" s="28" t="s">
        <v>32</v>
      </c>
      <c r="D964" s="29">
        <v>402.0</v>
      </c>
      <c r="E964" s="28" t="s">
        <v>2595</v>
      </c>
      <c r="F964" s="7" t="str">
        <f>IFERROR(__xludf.DUMMYFUNCTION("GOOGLETRANSLATE(B964:B5064,""en"",""fr"")"),"Annuler")</f>
        <v>Annuler</v>
      </c>
    </row>
    <row r="965" ht="19.5" customHeight="1">
      <c r="A965" s="26" t="s">
        <v>2596</v>
      </c>
      <c r="B965" s="27" t="s">
        <v>2597</v>
      </c>
      <c r="C965" s="28" t="s">
        <v>728</v>
      </c>
      <c r="D965" s="29">
        <v>402.0</v>
      </c>
      <c r="E965" s="28" t="s">
        <v>2598</v>
      </c>
      <c r="F965" s="7" t="str">
        <f>IFERROR(__xludf.DUMMYFUNCTION("GOOGLETRANSLATE(B965:B5064,""en"",""fr"")"),"l'Internet")</f>
        <v>l'Internet</v>
      </c>
    </row>
    <row r="966" ht="19.5" customHeight="1">
      <c r="A966" s="26" t="s">
        <v>2599</v>
      </c>
      <c r="B966" s="27" t="s">
        <v>2600</v>
      </c>
      <c r="C966" s="28" t="s">
        <v>134</v>
      </c>
      <c r="D966" s="29">
        <v>402.0</v>
      </c>
      <c r="E966" s="28" t="s">
        <v>2601</v>
      </c>
      <c r="F966" s="7" t="str">
        <f>IFERROR(__xludf.DUMMYFUNCTION("GOOGLETRANSLATE(B966:B5064,""en"",""fr"")"),"étrange")</f>
        <v>étrange</v>
      </c>
    </row>
    <row r="967" ht="19.5" customHeight="1">
      <c r="A967" s="26" t="s">
        <v>2602</v>
      </c>
      <c r="B967" s="27" t="s">
        <v>2603</v>
      </c>
      <c r="C967" s="28" t="s">
        <v>178</v>
      </c>
      <c r="D967" s="29">
        <v>401.0</v>
      </c>
      <c r="E967" s="28" t="s">
        <v>2604</v>
      </c>
      <c r="F967" s="7" t="str">
        <f>IFERROR(__xludf.DUMMYFUNCTION("GOOGLETRANSLATE(B967:B5064,""en"",""fr"")"),"tante")</f>
        <v>tante</v>
      </c>
    </row>
    <row r="968" ht="19.5" customHeight="1">
      <c r="A968" s="26" t="s">
        <v>2605</v>
      </c>
      <c r="B968" s="27" t="s">
        <v>2606</v>
      </c>
      <c r="C968" s="28" t="s">
        <v>178</v>
      </c>
      <c r="D968" s="29">
        <v>401.0</v>
      </c>
      <c r="E968" s="28" t="s">
        <v>2607</v>
      </c>
      <c r="F968" s="7" t="str">
        <f>IFERROR(__xludf.DUMMYFUNCTION("GOOGLETRANSLATE(B968:B5064,""en"",""fr"")"),"île")</f>
        <v>île</v>
      </c>
    </row>
    <row r="969" ht="19.5" customHeight="1">
      <c r="A969" s="26" t="s">
        <v>2608</v>
      </c>
      <c r="B969" s="27" t="s">
        <v>2609</v>
      </c>
      <c r="C969" s="28" t="s">
        <v>134</v>
      </c>
      <c r="D969" s="29">
        <v>400.0</v>
      </c>
      <c r="E969" s="28" t="s">
        <v>2609</v>
      </c>
      <c r="F969" s="7" t="str">
        <f>IFERROR(__xludf.DUMMYFUNCTION("GOOGLETRANSLATE(B969:B5064,""en"",""fr"")"),"supplémentaire")</f>
        <v>supplémentaire</v>
      </c>
    </row>
    <row r="970" ht="19.5" customHeight="1">
      <c r="A970" s="26" t="s">
        <v>2610</v>
      </c>
      <c r="B970" s="27" t="s">
        <v>2611</v>
      </c>
      <c r="C970" s="28" t="s">
        <v>32</v>
      </c>
      <c r="D970" s="29">
        <v>400.0</v>
      </c>
      <c r="E970" s="28" t="s">
        <v>2612</v>
      </c>
      <c r="F970" s="7" t="str">
        <f>IFERROR(__xludf.DUMMYFUNCTION("GOOGLETRANSLATE(B970:B5064,""en"",""fr"")"),"ajuster")</f>
        <v>ajuster</v>
      </c>
    </row>
    <row r="971" ht="19.5" customHeight="1">
      <c r="A971" s="26" t="s">
        <v>2613</v>
      </c>
      <c r="B971" s="27" t="s">
        <v>2614</v>
      </c>
      <c r="C971" s="28" t="s">
        <v>178</v>
      </c>
      <c r="D971" s="29">
        <v>400.0</v>
      </c>
      <c r="E971" s="28" t="s">
        <v>2615</v>
      </c>
      <c r="F971" s="7" t="str">
        <f>IFERROR(__xludf.DUMMYFUNCTION("GOOGLETRANSLATE(B971:B5064,""en"",""fr"")"),"rocher")</f>
        <v>rocher</v>
      </c>
    </row>
    <row r="972" ht="19.5" customHeight="1">
      <c r="A972" s="26" t="s">
        <v>2616</v>
      </c>
      <c r="B972" s="27" t="s">
        <v>2240</v>
      </c>
      <c r="C972" s="28" t="s">
        <v>178</v>
      </c>
      <c r="D972" s="29">
        <v>400.0</v>
      </c>
      <c r="E972" s="28" t="s">
        <v>2617</v>
      </c>
      <c r="F972" s="7" t="str">
        <f>IFERROR(__xludf.DUMMYFUNCTION("GOOGLETRANSLATE(B972:B5064,""en"",""fr"")"),"étape")</f>
        <v>étape</v>
      </c>
    </row>
    <row r="973" ht="19.5" customHeight="1">
      <c r="A973" s="26" t="s">
        <v>2618</v>
      </c>
      <c r="B973" s="27" t="s">
        <v>2619</v>
      </c>
      <c r="C973" s="28" t="s">
        <v>178</v>
      </c>
      <c r="D973" s="29">
        <v>399.0</v>
      </c>
      <c r="E973" s="28" t="s">
        <v>2620</v>
      </c>
      <c r="F973" s="7" t="str">
        <f>IFERROR(__xludf.DUMMYFUNCTION("GOOGLETRANSLATE(B973:B5064,""en"",""fr"")"),"action")</f>
        <v>action</v>
      </c>
    </row>
    <row r="974" ht="19.5" customHeight="1">
      <c r="A974" s="26" t="s">
        <v>2621</v>
      </c>
      <c r="B974" s="27" t="s">
        <v>2622</v>
      </c>
      <c r="C974" s="28" t="s">
        <v>178</v>
      </c>
      <c r="D974" s="29">
        <v>397.0</v>
      </c>
      <c r="E974" s="28" t="s">
        <v>2623</v>
      </c>
      <c r="F974" s="7" t="str">
        <f>IFERROR(__xludf.DUMMYFUNCTION("GOOGLETRANSLATE(B974:B5064,""en"",""fr"")"),"facture")</f>
        <v>facture</v>
      </c>
    </row>
    <row r="975" ht="19.5" customHeight="1">
      <c r="A975" s="26" t="s">
        <v>2624</v>
      </c>
      <c r="B975" s="27" t="s">
        <v>2625</v>
      </c>
      <c r="C975" s="28" t="s">
        <v>178</v>
      </c>
      <c r="D975" s="29">
        <v>397.0</v>
      </c>
      <c r="E975" s="28" t="s">
        <v>2626</v>
      </c>
      <c r="F975" s="7" t="str">
        <f>IFERROR(__xludf.DUMMYFUNCTION("GOOGLETRANSLATE(B975:B5064,""en"",""fr"")"),"champ")</f>
        <v>champ</v>
      </c>
    </row>
    <row r="976" ht="19.5" customHeight="1">
      <c r="A976" s="26" t="s">
        <v>2627</v>
      </c>
      <c r="B976" s="27" t="s">
        <v>1320</v>
      </c>
      <c r="C976" s="28" t="s">
        <v>178</v>
      </c>
      <c r="D976" s="29">
        <v>397.0</v>
      </c>
      <c r="E976" s="28" t="s">
        <v>2628</v>
      </c>
      <c r="F976" s="7" t="str">
        <f>IFERROR(__xludf.DUMMYFUNCTION("GOOGLETRANSLATE(B976:B5064,""en"",""fr"")"),"baiser")</f>
        <v>baiser</v>
      </c>
    </row>
    <row r="977" ht="19.5" customHeight="1">
      <c r="A977" s="26" t="s">
        <v>2629</v>
      </c>
      <c r="B977" s="27" t="s">
        <v>2630</v>
      </c>
      <c r="C977" s="28" t="s">
        <v>134</v>
      </c>
      <c r="D977" s="29">
        <v>395.0</v>
      </c>
      <c r="E977" s="28" t="s">
        <v>2631</v>
      </c>
      <c r="F977" s="7" t="str">
        <f>IFERROR(__xludf.DUMMYFUNCTION("GOOGLETRANSLATE(B977:B5064,""en"",""fr"")"),"frais")</f>
        <v>frais</v>
      </c>
    </row>
    <row r="978" ht="19.5" customHeight="1">
      <c r="A978" s="26" t="s">
        <v>2632</v>
      </c>
      <c r="B978" s="27" t="s">
        <v>2633</v>
      </c>
      <c r="C978" s="28" t="s">
        <v>178</v>
      </c>
      <c r="D978" s="29">
        <v>395.0</v>
      </c>
      <c r="E978" s="28" t="s">
        <v>2634</v>
      </c>
      <c r="F978" s="7" t="str">
        <f>IFERROR(__xludf.DUMMYFUNCTION("GOOGLETRANSLATE(B978:B5064,""en"",""fr"")"),"niveau")</f>
        <v>niveau</v>
      </c>
    </row>
    <row r="979" ht="19.5" customHeight="1">
      <c r="A979" s="26" t="s">
        <v>2635</v>
      </c>
      <c r="B979" s="27" t="s">
        <v>2636</v>
      </c>
      <c r="C979" s="28" t="s">
        <v>32</v>
      </c>
      <c r="D979" s="29">
        <v>394.0</v>
      </c>
      <c r="E979" s="28" t="s">
        <v>2637</v>
      </c>
      <c r="F979" s="7" t="str">
        <f>IFERROR(__xludf.DUMMYFUNCTION("GOOGLETRANSLATE(B979:B5064,""en"",""fr"")"),"coût")</f>
        <v>coût</v>
      </c>
    </row>
    <row r="980" ht="19.5" customHeight="1">
      <c r="A980" s="26" t="s">
        <v>2638</v>
      </c>
      <c r="B980" s="27" t="s">
        <v>2639</v>
      </c>
      <c r="C980" s="28" t="s">
        <v>178</v>
      </c>
      <c r="D980" s="29">
        <v>394.0</v>
      </c>
      <c r="E980" s="28" t="s">
        <v>2640</v>
      </c>
      <c r="F980" s="7" t="str">
        <f>IFERROR(__xludf.DUMMYFUNCTION("GOOGLETRANSLATE(B980:B5064,""en"",""fr"")"),"taille")</f>
        <v>taille</v>
      </c>
    </row>
    <row r="981" ht="19.5" customHeight="1">
      <c r="A981" s="26" t="s">
        <v>2641</v>
      </c>
      <c r="B981" s="27" t="s">
        <v>2642</v>
      </c>
      <c r="C981" s="28" t="s">
        <v>178</v>
      </c>
      <c r="D981" s="29">
        <v>393.0</v>
      </c>
      <c r="E981" s="28" t="s">
        <v>2643</v>
      </c>
      <c r="F981" s="7" t="str">
        <f>IFERROR(__xludf.DUMMYFUNCTION("GOOGLETRANSLATE(B981:B5064,""en"",""fr"")"),"cellule")</f>
        <v>cellule</v>
      </c>
    </row>
    <row r="982" ht="19.5" customHeight="1">
      <c r="A982" s="26" t="s">
        <v>2644</v>
      </c>
      <c r="B982" s="27" t="s">
        <v>2645</v>
      </c>
      <c r="C982" s="28" t="s">
        <v>32</v>
      </c>
      <c r="D982" s="29">
        <v>393.0</v>
      </c>
      <c r="E982" s="28" t="s">
        <v>2646</v>
      </c>
      <c r="F982" s="7" t="str">
        <f>IFERROR(__xludf.DUMMYFUNCTION("GOOGLETRANSLATE(B982:B5064,""en"",""fr"")"),"servir")</f>
        <v>servir</v>
      </c>
    </row>
    <row r="983" ht="19.5" customHeight="1">
      <c r="A983" s="26" t="s">
        <v>2647</v>
      </c>
      <c r="B983" s="27" t="s">
        <v>2648</v>
      </c>
      <c r="C983" s="28" t="s">
        <v>32</v>
      </c>
      <c r="D983" s="29">
        <v>393.0</v>
      </c>
      <c r="E983" s="28" t="s">
        <v>2649</v>
      </c>
      <c r="F983" s="7" t="str">
        <f>IFERROR(__xludf.DUMMYFUNCTION("GOOGLETRANSLATE(B983:B5064,""en"",""fr"")"),"secouer")</f>
        <v>secouer</v>
      </c>
    </row>
    <row r="984" ht="19.5" customHeight="1">
      <c r="A984" s="26" t="s">
        <v>2650</v>
      </c>
      <c r="B984" s="27" t="s">
        <v>2651</v>
      </c>
      <c r="C984" s="28" t="s">
        <v>178</v>
      </c>
      <c r="D984" s="29">
        <v>392.0</v>
      </c>
      <c r="E984" s="28" t="s">
        <v>2652</v>
      </c>
      <c r="F984" s="7" t="str">
        <f>IFERROR(__xludf.DUMMYFUNCTION("GOOGLETRANSLATE(B984:B5064,""en"",""fr"")"),"cou")</f>
        <v>cou</v>
      </c>
    </row>
    <row r="985" ht="19.5" customHeight="1">
      <c r="A985" s="26" t="s">
        <v>2653</v>
      </c>
      <c r="B985" s="27" t="s">
        <v>2654</v>
      </c>
      <c r="C985" s="28" t="s">
        <v>178</v>
      </c>
      <c r="D985" s="29">
        <v>392.0</v>
      </c>
      <c r="E985" s="28" t="s">
        <v>2655</v>
      </c>
      <c r="F985" s="7" t="str">
        <f>IFERROR(__xludf.DUMMYFUNCTION("GOOGLETRANSLATE(B985:B5064,""en"",""fr"")"),"bol")</f>
        <v>bol</v>
      </c>
    </row>
    <row r="986" ht="19.5" customHeight="1">
      <c r="A986" s="26" t="s">
        <v>2656</v>
      </c>
      <c r="B986" s="27" t="s">
        <v>2657</v>
      </c>
      <c r="C986" s="28" t="s">
        <v>178</v>
      </c>
      <c r="D986" s="29">
        <v>391.0</v>
      </c>
      <c r="E986" s="28" t="s">
        <v>2658</v>
      </c>
      <c r="F986" s="7" t="str">
        <f>IFERROR(__xludf.DUMMYFUNCTION("GOOGLETRANSLATE(B986:B5064,""en"",""fr"")"),"contrôle")</f>
        <v>contrôle</v>
      </c>
    </row>
    <row r="987" ht="19.5" customHeight="1">
      <c r="A987" s="26" t="s">
        <v>2659</v>
      </c>
      <c r="B987" s="27" t="s">
        <v>2660</v>
      </c>
      <c r="C987" s="28" t="s">
        <v>134</v>
      </c>
      <c r="D987" s="29">
        <v>390.0</v>
      </c>
      <c r="E987" s="28" t="s">
        <v>2661</v>
      </c>
      <c r="F987" s="7" t="str">
        <f>IFERROR(__xludf.DUMMYFUNCTION("GOOGLETRANSLATE(B987:B5064,""en"",""fr"")"),"fort")</f>
        <v>fort</v>
      </c>
    </row>
    <row r="988" ht="19.5" customHeight="1">
      <c r="A988" s="26" t="s">
        <v>2662</v>
      </c>
      <c r="B988" s="27" t="s">
        <v>2663</v>
      </c>
      <c r="C988" s="28" t="s">
        <v>178</v>
      </c>
      <c r="D988" s="29">
        <v>389.0</v>
      </c>
      <c r="E988" s="28" t="s">
        <v>2664</v>
      </c>
      <c r="F988" s="7" t="str">
        <f>IFERROR(__xludf.DUMMYFUNCTION("GOOGLETRANSLATE(B988:B5064,""en"",""fr"")"),"chambre à coucher")</f>
        <v>chambre à coucher</v>
      </c>
    </row>
    <row r="989" ht="19.5" customHeight="1">
      <c r="A989" s="26" t="s">
        <v>2665</v>
      </c>
      <c r="B989" s="27" t="s">
        <v>776</v>
      </c>
      <c r="C989" s="28" t="s">
        <v>178</v>
      </c>
      <c r="D989" s="29">
        <v>389.0</v>
      </c>
      <c r="E989" s="28" t="s">
        <v>2666</v>
      </c>
      <c r="F989" s="7" t="str">
        <f>IFERROR(__xludf.DUMMYFUNCTION("GOOGLETRANSLATE(B989:B5064,""en"",""fr"")"),"vérifier")</f>
        <v>vérifier</v>
      </c>
    </row>
    <row r="990" ht="19.5" customHeight="1">
      <c r="A990" s="26" t="s">
        <v>2667</v>
      </c>
      <c r="B990" s="27" t="s">
        <v>2668</v>
      </c>
      <c r="C990" s="28" t="s">
        <v>178</v>
      </c>
      <c r="D990" s="29">
        <v>389.0</v>
      </c>
      <c r="E990" s="28" t="s">
        <v>2669</v>
      </c>
      <c r="F990" s="7" t="str">
        <f>IFERROR(__xludf.DUMMYFUNCTION("GOOGLETRANSLATE(B990:B5064,""en"",""fr"")"),"paradis")</f>
        <v>paradis</v>
      </c>
    </row>
    <row r="991" ht="19.5" customHeight="1">
      <c r="A991" s="26" t="s">
        <v>2670</v>
      </c>
      <c r="B991" s="27" t="s">
        <v>175</v>
      </c>
      <c r="C991" s="28" t="s">
        <v>178</v>
      </c>
      <c r="D991" s="29">
        <v>389.0</v>
      </c>
      <c r="E991" s="28" t="s">
        <v>2671</v>
      </c>
      <c r="F991" s="7" t="str">
        <f>IFERROR(__xludf.DUMMYFUNCTION("GOOGLETRANSLATE(B991:B5064,""en"",""fr"")"),"droite")</f>
        <v>droite</v>
      </c>
    </row>
    <row r="992" ht="19.5" customHeight="1">
      <c r="A992" s="26" t="s">
        <v>2672</v>
      </c>
      <c r="B992" s="27" t="s">
        <v>2673</v>
      </c>
      <c r="C992" s="28" t="s">
        <v>178</v>
      </c>
      <c r="D992" s="29">
        <v>388.0</v>
      </c>
      <c r="E992" s="28" t="s">
        <v>2674</v>
      </c>
      <c r="F992" s="7" t="str">
        <f>IFERROR(__xludf.DUMMYFUNCTION("GOOGLETRANSLATE(B992:B5064,""en"",""fr"")"),"commercial")</f>
        <v>commercial</v>
      </c>
    </row>
    <row r="993" ht="19.5" customHeight="1">
      <c r="A993" s="26" t="s">
        <v>2675</v>
      </c>
      <c r="B993" s="27" t="s">
        <v>2676</v>
      </c>
      <c r="C993" s="28" t="s">
        <v>32</v>
      </c>
      <c r="D993" s="29">
        <v>388.0</v>
      </c>
      <c r="E993" s="28" t="s">
        <v>2677</v>
      </c>
      <c r="F993" s="7" t="str">
        <f>IFERROR(__xludf.DUMMYFUNCTION("GOOGLETRANSLATE(B993:B5064,""en"",""fr"")"),"dessiner")</f>
        <v>dessiner</v>
      </c>
    </row>
    <row r="994" ht="19.5" customHeight="1">
      <c r="A994" s="26" t="s">
        <v>2678</v>
      </c>
      <c r="B994" s="27" t="s">
        <v>2679</v>
      </c>
      <c r="C994" s="28" t="s">
        <v>178</v>
      </c>
      <c r="D994" s="29">
        <v>388.0</v>
      </c>
      <c r="E994" s="28" t="s">
        <v>2680</v>
      </c>
      <c r="F994" s="7" t="str">
        <f>IFERROR(__xludf.DUMMYFUNCTION("GOOGLETRANSLATE(B994:B5064,""en"",""fr"")"),"invité")</f>
        <v>invité</v>
      </c>
    </row>
    <row r="995" ht="19.5" customHeight="1">
      <c r="A995" s="26" t="s">
        <v>2681</v>
      </c>
      <c r="B995" s="27" t="s">
        <v>2682</v>
      </c>
      <c r="C995" s="28" t="s">
        <v>134</v>
      </c>
      <c r="D995" s="29">
        <v>388.0</v>
      </c>
      <c r="E995" s="28" t="s">
        <v>2683</v>
      </c>
      <c r="F995" s="7" t="str">
        <f>IFERROR(__xludf.DUMMYFUNCTION("GOOGLETRANSLATE(B995:B5064,""en"",""fr"")"),"fou")</f>
        <v>fou</v>
      </c>
    </row>
    <row r="996" ht="19.5" customHeight="1">
      <c r="A996" s="26" t="s">
        <v>2684</v>
      </c>
      <c r="B996" s="27" t="s">
        <v>2685</v>
      </c>
      <c r="C996" s="28" t="s">
        <v>32</v>
      </c>
      <c r="D996" s="29">
        <v>388.0</v>
      </c>
      <c r="E996" s="28" t="s">
        <v>2686</v>
      </c>
      <c r="F996" s="7" t="str">
        <f>IFERROR(__xludf.DUMMYFUNCTION("GOOGLETRANSLATE(B996:B5064,""en"",""fr"")"),"échouer")</f>
        <v>échouer</v>
      </c>
    </row>
    <row r="997" ht="19.5" customHeight="1">
      <c r="A997" s="26" t="s">
        <v>2687</v>
      </c>
      <c r="B997" s="27" t="s">
        <v>2688</v>
      </c>
      <c r="C997" s="28" t="s">
        <v>32</v>
      </c>
      <c r="D997" s="29">
        <v>387.0</v>
      </c>
      <c r="E997" s="28" t="s">
        <v>2689</v>
      </c>
      <c r="F997" s="7" t="str">
        <f>IFERROR(__xludf.DUMMYFUNCTION("GOOGLETRANSLATE(B997:B5064,""en"",""fr"")"),"cuisiner")</f>
        <v>cuisiner</v>
      </c>
    </row>
    <row r="998" ht="19.5" customHeight="1">
      <c r="A998" s="26" t="s">
        <v>2690</v>
      </c>
      <c r="B998" s="27" t="s">
        <v>2691</v>
      </c>
      <c r="C998" s="28" t="s">
        <v>178</v>
      </c>
      <c r="D998" s="29">
        <v>387.0</v>
      </c>
      <c r="E998" s="28" t="s">
        <v>2692</v>
      </c>
      <c r="F998" s="7" t="str">
        <f>IFERROR(__xludf.DUMMYFUNCTION("GOOGLETRANSLATE(B998:B5064,""en"",""fr"")"),"plaisir")</f>
        <v>plaisir</v>
      </c>
    </row>
    <row r="999" ht="19.5" customHeight="1">
      <c r="A999" s="26" t="s">
        <v>2693</v>
      </c>
      <c r="B999" s="27" t="s">
        <v>2694</v>
      </c>
      <c r="C999" s="28" t="s">
        <v>178</v>
      </c>
      <c r="D999" s="29">
        <v>387.0</v>
      </c>
      <c r="E999" s="28" t="s">
        <v>2695</v>
      </c>
      <c r="F999" s="7" t="str">
        <f>IFERROR(__xludf.DUMMYFUNCTION("GOOGLETRANSLATE(B999:B5064,""en"",""fr"")"),"camion")</f>
        <v>camion</v>
      </c>
    </row>
    <row r="1000" ht="19.5" customHeight="1">
      <c r="A1000" s="26" t="s">
        <v>2696</v>
      </c>
      <c r="B1000" s="27" t="s">
        <v>2697</v>
      </c>
      <c r="C1000" s="28" t="s">
        <v>178</v>
      </c>
      <c r="D1000" s="29">
        <v>386.0</v>
      </c>
      <c r="E1000" s="28" t="s">
        <v>2698</v>
      </c>
      <c r="F1000" s="7" t="str">
        <f>IFERROR(__xludf.DUMMYFUNCTION("GOOGLETRANSLATE(B1000:B5064,""en"",""fr"")"),"science")</f>
        <v>science</v>
      </c>
    </row>
    <row r="1001" ht="19.5" customHeight="1">
      <c r="A1001" s="26" t="s">
        <v>2699</v>
      </c>
      <c r="B1001" s="27" t="s">
        <v>2700</v>
      </c>
      <c r="C1001" s="28" t="s">
        <v>134</v>
      </c>
      <c r="D1001" s="29">
        <v>385.0</v>
      </c>
      <c r="E1001" s="28" t="s">
        <v>2700</v>
      </c>
      <c r="F1001" s="7" t="str">
        <f>IFERROR(__xludf.DUMMYFUNCTION("GOOGLETRANSLATE(B1001:B5064,""en"",""fr"")"),"prudent")</f>
        <v>prudent</v>
      </c>
    </row>
    <row r="1002" ht="19.5" customHeight="1">
      <c r="A1002" s="26" t="s">
        <v>2701</v>
      </c>
      <c r="B1002" s="27" t="s">
        <v>2702</v>
      </c>
      <c r="C1002" s="28" t="s">
        <v>134</v>
      </c>
      <c r="D1002" s="29">
        <v>385.0</v>
      </c>
      <c r="E1002" s="28" t="s">
        <v>2702</v>
      </c>
      <c r="F1002" s="7" t="str">
        <f>IFERROR(__xludf.DUMMYFUNCTION("GOOGLETRANSLATE(B1002:B5064,""en"",""fr"")"),"nerveux")</f>
        <v>nerveux</v>
      </c>
    </row>
    <row r="1003" ht="19.5" customHeight="1">
      <c r="A1003" s="26" t="s">
        <v>2703</v>
      </c>
      <c r="B1003" s="27" t="s">
        <v>2704</v>
      </c>
      <c r="C1003" s="28" t="s">
        <v>36</v>
      </c>
      <c r="D1003" s="29">
        <v>384.0</v>
      </c>
      <c r="E1003" s="28" t="s">
        <v>2705</v>
      </c>
      <c r="F1003" s="7" t="str">
        <f>IFERROR(__xludf.DUMMYFUNCTION("GOOGLETRANSLATE(B1003:B5064,""en"",""fr"")"),"bien que")</f>
        <v>bien que</v>
      </c>
    </row>
    <row r="1004" ht="19.5" customHeight="1">
      <c r="A1004" s="26" t="s">
        <v>2706</v>
      </c>
      <c r="B1004" s="27" t="s">
        <v>2707</v>
      </c>
      <c r="C1004" s="28" t="s">
        <v>178</v>
      </c>
      <c r="D1004" s="29">
        <v>384.0</v>
      </c>
      <c r="E1004" s="28" t="s">
        <v>2708</v>
      </c>
      <c r="F1004" s="7" t="str">
        <f>IFERROR(__xludf.DUMMYFUNCTION("GOOGLETRANSLATE(B1004:B5064,""en"",""fr"")"),"gaz")</f>
        <v>gaz</v>
      </c>
    </row>
    <row r="1005" ht="19.5" customHeight="1">
      <c r="A1005" s="26" t="s">
        <v>2709</v>
      </c>
      <c r="B1005" s="27" t="s">
        <v>2710</v>
      </c>
      <c r="C1005" s="28" t="s">
        <v>178</v>
      </c>
      <c r="D1005" s="29">
        <v>383.0</v>
      </c>
      <c r="E1005" s="28" t="s">
        <v>2711</v>
      </c>
      <c r="F1005" s="7" t="str">
        <f>IFERROR(__xludf.DUMMYFUNCTION("GOOGLETRANSLATE(B1005:B5064,""en"",""fr"")"),"partenaire")</f>
        <v>partenaire</v>
      </c>
    </row>
    <row r="1006" ht="19.5" customHeight="1">
      <c r="A1006" s="26" t="s">
        <v>2712</v>
      </c>
      <c r="B1006" s="27" t="s">
        <v>2713</v>
      </c>
      <c r="C1006" s="28" t="s">
        <v>85</v>
      </c>
      <c r="D1006" s="29">
        <v>383.0</v>
      </c>
      <c r="E1006" s="28" t="s">
        <v>2714</v>
      </c>
      <c r="F1006" s="7" t="str">
        <f>IFERROR(__xludf.DUMMYFUNCTION("GOOGLETRANSLATE(B1006:B5064,""en"",""fr"")"),"EW")</f>
        <v>EW</v>
      </c>
    </row>
    <row r="1007" ht="19.5" customHeight="1">
      <c r="A1007" s="26" t="s">
        <v>2715</v>
      </c>
      <c r="B1007" s="27" t="s">
        <v>2716</v>
      </c>
      <c r="C1007" s="28" t="s">
        <v>32</v>
      </c>
      <c r="D1007" s="29">
        <v>382.0</v>
      </c>
      <c r="E1007" s="28" t="s">
        <v>2717</v>
      </c>
      <c r="F1007" s="7" t="str">
        <f>IFERROR(__xludf.DUMMYFUNCTION("GOOGLETRANSLATE(B1007:B5064,""en"",""fr"")"),"crier")</f>
        <v>crier</v>
      </c>
    </row>
    <row r="1008" ht="19.5" customHeight="1">
      <c r="A1008" s="26" t="s">
        <v>2718</v>
      </c>
      <c r="B1008" s="27" t="s">
        <v>2719</v>
      </c>
      <c r="C1008" s="28" t="s">
        <v>178</v>
      </c>
      <c r="D1008" s="29">
        <v>381.0</v>
      </c>
      <c r="E1008" s="28" t="s">
        <v>2720</v>
      </c>
      <c r="F1008" s="7" t="str">
        <f>IFERROR(__xludf.DUMMYFUNCTION("GOOGLETRANSLATE(B1008:B5064,""en"",""fr"")"),"piscine")</f>
        <v>piscine</v>
      </c>
    </row>
    <row r="1009" ht="19.5" customHeight="1">
      <c r="A1009" s="26" t="s">
        <v>2721</v>
      </c>
      <c r="B1009" s="27" t="s">
        <v>2722</v>
      </c>
      <c r="C1009" s="28" t="s">
        <v>32</v>
      </c>
      <c r="D1009" s="29">
        <v>380.0</v>
      </c>
      <c r="E1009" s="28" t="s">
        <v>2723</v>
      </c>
      <c r="F1009" s="7" t="str">
        <f>IFERROR(__xludf.DUMMYFUNCTION("GOOGLETRANSLATE(B1009:B5064,""en"",""fr"")"),"apparaître")</f>
        <v>apparaître</v>
      </c>
    </row>
    <row r="1010" ht="19.5" customHeight="1">
      <c r="A1010" s="26" t="s">
        <v>2724</v>
      </c>
      <c r="B1010" s="27" t="s">
        <v>2725</v>
      </c>
      <c r="C1010" s="28" t="s">
        <v>100</v>
      </c>
      <c r="D1010" s="29">
        <v>380.0</v>
      </c>
      <c r="E1010" s="28" t="s">
        <v>2725</v>
      </c>
      <c r="F1010" s="7" t="str">
        <f>IFERROR(__xludf.DUMMYFUNCTION("GOOGLETRANSLATE(B1010:B5064,""en"",""fr"")"),"clairement")</f>
        <v>clairement</v>
      </c>
    </row>
    <row r="1011" ht="19.5" customHeight="1">
      <c r="A1011" s="26" t="s">
        <v>2726</v>
      </c>
      <c r="B1011" s="27" t="s">
        <v>2727</v>
      </c>
      <c r="C1011" s="28" t="s">
        <v>134</v>
      </c>
      <c r="D1011" s="29">
        <v>380.0</v>
      </c>
      <c r="E1011" s="28" t="s">
        <v>2728</v>
      </c>
      <c r="F1011" s="7" t="str">
        <f>IFERROR(__xludf.DUMMYFUNCTION("GOOGLETRANSLATE(B1011:B5064,""en"",""fr"")"),"idiot")</f>
        <v>idiot</v>
      </c>
    </row>
    <row r="1012" ht="19.5" customHeight="1">
      <c r="A1012" s="26" t="s">
        <v>2729</v>
      </c>
      <c r="B1012" s="27" t="s">
        <v>2730</v>
      </c>
      <c r="C1012" s="28" t="s">
        <v>32</v>
      </c>
      <c r="D1012" s="29">
        <v>379.0</v>
      </c>
      <c r="E1012" s="28" t="s">
        <v>2731</v>
      </c>
      <c r="F1012" s="7" t="str">
        <f>IFERROR(__xludf.DUMMYFUNCTION("GOOGLETRANSLATE(B1012:B5064,""en"",""fr"")"),"alimentation")</f>
        <v>alimentation</v>
      </c>
    </row>
    <row r="1013" ht="19.5" customHeight="1">
      <c r="A1013" s="26" t="s">
        <v>2732</v>
      </c>
      <c r="B1013" s="27" t="s">
        <v>2733</v>
      </c>
      <c r="C1013" s="28" t="s">
        <v>178</v>
      </c>
      <c r="D1013" s="29">
        <v>377.0</v>
      </c>
      <c r="E1013" s="28" t="s">
        <v>2734</v>
      </c>
      <c r="F1013" s="7" t="str">
        <f>IFERROR(__xludf.DUMMYFUNCTION("GOOGLETRANSLATE(B1013:B5064,""en"",""fr"")"),"charge")</f>
        <v>charge</v>
      </c>
    </row>
    <row r="1014" ht="19.5" customHeight="1">
      <c r="A1014" s="26" t="s">
        <v>2735</v>
      </c>
      <c r="B1014" s="27" t="s">
        <v>2736</v>
      </c>
      <c r="C1014" s="28" t="s">
        <v>36</v>
      </c>
      <c r="D1014" s="29">
        <v>377.0</v>
      </c>
      <c r="E1014" s="28" t="s">
        <v>2736</v>
      </c>
      <c r="F1014" s="7" t="str">
        <f>IFERROR(__xludf.DUMMYFUNCTION("GOOGLETRANSLATE(B1014:B5064,""en"",""fr"")"),"ni l'un ni l'autre")</f>
        <v>ni l'un ni l'autre</v>
      </c>
    </row>
    <row r="1015" ht="19.5" customHeight="1">
      <c r="A1015" s="26" t="s">
        <v>2737</v>
      </c>
      <c r="B1015" s="27" t="s">
        <v>2738</v>
      </c>
      <c r="C1015" s="28" t="s">
        <v>32</v>
      </c>
      <c r="D1015" s="29">
        <v>377.0</v>
      </c>
      <c r="E1015" s="28" t="s">
        <v>2739</v>
      </c>
      <c r="F1015" s="7" t="str">
        <f>IFERROR(__xludf.DUMMYFUNCTION("GOOGLETRANSLATE(B1015:B5064,""en"",""fr"")"),"laver")</f>
        <v>laver</v>
      </c>
    </row>
    <row r="1016" ht="19.5" customHeight="1">
      <c r="A1016" s="26" t="s">
        <v>2740</v>
      </c>
      <c r="B1016" s="27" t="s">
        <v>2741</v>
      </c>
      <c r="C1016" s="28" t="s">
        <v>32</v>
      </c>
      <c r="D1016" s="29">
        <v>377.0</v>
      </c>
      <c r="E1016" s="28" t="s">
        <v>2742</v>
      </c>
      <c r="F1016" s="7" t="str">
        <f>IFERROR(__xludf.DUMMYFUNCTION("GOOGLETRANSLATE(B1016:B5064,""en"",""fr"")"),"puer")</f>
        <v>puer</v>
      </c>
    </row>
    <row r="1017" ht="19.5" customHeight="1">
      <c r="A1017" s="26" t="s">
        <v>2743</v>
      </c>
      <c r="B1017" s="27" t="s">
        <v>2744</v>
      </c>
      <c r="C1017" s="28" t="s">
        <v>134</v>
      </c>
      <c r="D1017" s="29">
        <v>376.0</v>
      </c>
      <c r="E1017" s="28" t="s">
        <v>2744</v>
      </c>
      <c r="F1017" s="7" t="str">
        <f>IFERROR(__xludf.DUMMYFUNCTION("GOOGLETRANSLATE(B1017:B5064,""en"",""fr"")"),"la magie")</f>
        <v>la magie</v>
      </c>
    </row>
    <row r="1018" ht="19.5" customHeight="1">
      <c r="A1018" s="26" t="s">
        <v>2745</v>
      </c>
      <c r="B1018" s="27" t="s">
        <v>2746</v>
      </c>
      <c r="C1018" s="28" t="s">
        <v>178</v>
      </c>
      <c r="D1018" s="29">
        <v>376.0</v>
      </c>
      <c r="E1018" s="28" t="s">
        <v>2747</v>
      </c>
      <c r="F1018" s="7" t="str">
        <f>IFERROR(__xludf.DUMMYFUNCTION("GOOGLETRANSLATE(B1018:B5064,""en"",""fr"")"),"avion")</f>
        <v>avion</v>
      </c>
    </row>
    <row r="1019" ht="19.5" customHeight="1">
      <c r="A1019" s="26" t="s">
        <v>2748</v>
      </c>
      <c r="B1019" s="27" t="s">
        <v>2749</v>
      </c>
      <c r="C1019" s="28" t="s">
        <v>134</v>
      </c>
      <c r="D1019" s="29">
        <v>376.0</v>
      </c>
      <c r="E1019" s="28" t="s">
        <v>2750</v>
      </c>
      <c r="F1019" s="7" t="str">
        <f>IFERROR(__xludf.DUMMYFUNCTION("GOOGLETRANSLATE(B1019:B5064,""en"",""fr"")"),"minuscule")</f>
        <v>minuscule</v>
      </c>
    </row>
    <row r="1020" ht="19.5" customHeight="1">
      <c r="A1020" s="26" t="s">
        <v>2751</v>
      </c>
      <c r="B1020" s="27" t="s">
        <v>2752</v>
      </c>
      <c r="C1020" s="28" t="s">
        <v>178</v>
      </c>
      <c r="D1020" s="29">
        <v>375.0</v>
      </c>
      <c r="E1020" s="28" t="s">
        <v>2753</v>
      </c>
      <c r="F1020" s="7" t="str">
        <f>IFERROR(__xludf.DUMMYFUNCTION("GOOGLETRANSLATE(B1020:B5064,""en"",""fr"")"),"prison")</f>
        <v>prison</v>
      </c>
    </row>
    <row r="1021" ht="19.5" customHeight="1">
      <c r="A1021" s="26" t="s">
        <v>2754</v>
      </c>
      <c r="B1021" s="27" t="s">
        <v>2755</v>
      </c>
      <c r="C1021" s="28" t="s">
        <v>32</v>
      </c>
      <c r="D1021" s="29">
        <v>374.0</v>
      </c>
      <c r="E1021" s="28" t="s">
        <v>2756</v>
      </c>
      <c r="F1021" s="7" t="str">
        <f>IFERROR(__xludf.DUMMYFUNCTION("GOOGLETRANSLATE(B1021:B5064,""en"",""fr"")"),"cause")</f>
        <v>cause</v>
      </c>
    </row>
    <row r="1022" ht="19.5" customHeight="1">
      <c r="A1022" s="26" t="s">
        <v>2757</v>
      </c>
      <c r="B1022" s="27" t="s">
        <v>2758</v>
      </c>
      <c r="C1022" s="28" t="s">
        <v>178</v>
      </c>
      <c r="D1022" s="29">
        <v>374.0</v>
      </c>
      <c r="E1022" s="28" t="s">
        <v>2759</v>
      </c>
      <c r="F1022" s="7" t="str">
        <f>IFERROR(__xludf.DUMMYFUNCTION("GOOGLETRANSLATE(B1022:B5064,""en"",""fr"")"),"photo")</f>
        <v>photo</v>
      </c>
    </row>
    <row r="1023" ht="19.5" customHeight="1">
      <c r="A1023" s="26" t="s">
        <v>2760</v>
      </c>
      <c r="B1023" s="27" t="s">
        <v>2761</v>
      </c>
      <c r="C1023" s="28" t="s">
        <v>134</v>
      </c>
      <c r="D1023" s="29">
        <v>373.0</v>
      </c>
      <c r="E1023" s="28" t="s">
        <v>2761</v>
      </c>
      <c r="F1023" s="7" t="str">
        <f>IFERROR(__xludf.DUMMYFUNCTION("GOOGLETRANSLATE(B1023:B5064,""en"",""fr"")"),"publique")</f>
        <v>publique</v>
      </c>
    </row>
    <row r="1024" ht="19.5" customHeight="1">
      <c r="A1024" s="26" t="s">
        <v>2762</v>
      </c>
      <c r="B1024" s="27" t="s">
        <v>2763</v>
      </c>
      <c r="C1024" s="28" t="s">
        <v>178</v>
      </c>
      <c r="D1024" s="29">
        <v>372.0</v>
      </c>
      <c r="E1024" s="28" t="s">
        <v>2764</v>
      </c>
      <c r="F1024" s="7" t="str">
        <f>IFERROR(__xludf.DUMMYFUNCTION("GOOGLETRANSLATE(B1024:B5064,""en"",""fr"")"),"bouton")</f>
        <v>bouton</v>
      </c>
    </row>
    <row r="1025" ht="19.5" customHeight="1">
      <c r="A1025" s="26" t="s">
        <v>2765</v>
      </c>
      <c r="B1025" s="27" t="s">
        <v>2766</v>
      </c>
      <c r="C1025" s="28" t="s">
        <v>178</v>
      </c>
      <c r="D1025" s="29">
        <v>372.0</v>
      </c>
      <c r="E1025" s="28" t="s">
        <v>2767</v>
      </c>
      <c r="F1025" s="7" t="str">
        <f>IFERROR(__xludf.DUMMYFUNCTION("GOOGLETRANSLATE(B1025:B5064,""en"",""fr"")"),"fleur")</f>
        <v>fleur</v>
      </c>
    </row>
    <row r="1026" ht="19.5" customHeight="1">
      <c r="A1026" s="26" t="s">
        <v>2768</v>
      </c>
      <c r="B1026" s="27" t="s">
        <v>2769</v>
      </c>
      <c r="C1026" s="28" t="s">
        <v>178</v>
      </c>
      <c r="D1026" s="29">
        <v>372.0</v>
      </c>
      <c r="E1026" s="28" t="s">
        <v>2770</v>
      </c>
      <c r="F1026" s="7" t="str">
        <f>IFERROR(__xludf.DUMMYFUNCTION("GOOGLETRANSLATE(B1026:B5064,""en"",""fr"")"),"mémoire")</f>
        <v>mémoire</v>
      </c>
    </row>
    <row r="1027" ht="19.5" customHeight="1">
      <c r="A1027" s="26" t="s">
        <v>2771</v>
      </c>
      <c r="B1027" s="27" t="s">
        <v>681</v>
      </c>
      <c r="C1027" s="28" t="s">
        <v>32</v>
      </c>
      <c r="D1027" s="29">
        <v>372.0</v>
      </c>
      <c r="E1027" s="28" t="s">
        <v>2772</v>
      </c>
      <c r="F1027" s="7" t="str">
        <f>IFERROR(__xludf.DUMMYFUNCTION("GOOGLETRANSLATE(B1027:B5064,""en"",""fr"")"),"propre")</f>
        <v>propre</v>
      </c>
    </row>
    <row r="1028" ht="19.5" customHeight="1">
      <c r="A1028" s="26" t="s">
        <v>2773</v>
      </c>
      <c r="B1028" s="27" t="s">
        <v>1826</v>
      </c>
      <c r="C1028" s="28" t="s">
        <v>134</v>
      </c>
      <c r="D1028" s="29">
        <v>371.0</v>
      </c>
      <c r="E1028" s="28" t="s">
        <v>1827</v>
      </c>
      <c r="F1028" s="7" t="str">
        <f>IFERROR(__xludf.DUMMYFUNCTION("GOOGLETRANSLATE(B1028:B5064,""en"",""fr"")"),"rapide")</f>
        <v>rapide</v>
      </c>
    </row>
    <row r="1029" ht="19.5" customHeight="1">
      <c r="A1029" s="26" t="s">
        <v>2774</v>
      </c>
      <c r="B1029" s="27" t="s">
        <v>2775</v>
      </c>
      <c r="C1029" s="28" t="s">
        <v>32</v>
      </c>
      <c r="D1029" s="29">
        <v>370.0</v>
      </c>
      <c r="E1029" s="28" t="s">
        <v>2776</v>
      </c>
      <c r="F1029" s="7" t="str">
        <f>IFERROR(__xludf.DUMMYFUNCTION("GOOGLETRANSLATE(B1029:B5064,""en"",""fr"")"),"base")</f>
        <v>base</v>
      </c>
    </row>
    <row r="1030" ht="19.5" customHeight="1">
      <c r="A1030" s="26" t="s">
        <v>2777</v>
      </c>
      <c r="B1030" s="27" t="s">
        <v>2778</v>
      </c>
      <c r="C1030" s="28" t="s">
        <v>32</v>
      </c>
      <c r="D1030" s="29">
        <v>370.0</v>
      </c>
      <c r="E1030" s="28" t="s">
        <v>2779</v>
      </c>
      <c r="F1030" s="7" t="str">
        <f>IFERROR(__xludf.DUMMYFUNCTION("GOOGLETRANSLATE(B1030:B5064,""en"",""fr"")"),"impliquer")</f>
        <v>impliquer</v>
      </c>
    </row>
    <row r="1031" ht="19.5" customHeight="1">
      <c r="A1031" s="26" t="s">
        <v>2780</v>
      </c>
      <c r="B1031" s="27" t="s">
        <v>2781</v>
      </c>
      <c r="C1031" s="28" t="s">
        <v>178</v>
      </c>
      <c r="D1031" s="29">
        <v>370.0</v>
      </c>
      <c r="E1031" s="28" t="s">
        <v>2782</v>
      </c>
      <c r="F1031" s="7" t="str">
        <f>IFERROR(__xludf.DUMMYFUNCTION("GOOGLETRANSLATE(B1031:B5064,""en"",""fr"")"),"madame")</f>
        <v>madame</v>
      </c>
    </row>
    <row r="1032" ht="19.5" customHeight="1">
      <c r="A1032" s="26" t="s">
        <v>2783</v>
      </c>
      <c r="B1032" s="27" t="s">
        <v>2784</v>
      </c>
      <c r="C1032" s="28" t="s">
        <v>32</v>
      </c>
      <c r="D1032" s="29">
        <v>369.0</v>
      </c>
      <c r="E1032" s="28" t="s">
        <v>2785</v>
      </c>
      <c r="F1032" s="7" t="str">
        <f>IFERROR(__xludf.DUMMYFUNCTION("GOOGLETRANSLATE(B1032:B5064,""en"",""fr"")"),"blâmer")</f>
        <v>blâmer</v>
      </c>
    </row>
    <row r="1033" ht="19.5" customHeight="1">
      <c r="A1033" s="26" t="s">
        <v>2786</v>
      </c>
      <c r="B1033" s="27" t="s">
        <v>2787</v>
      </c>
      <c r="C1033" s="28" t="s">
        <v>178</v>
      </c>
      <c r="D1033" s="29">
        <v>369.0</v>
      </c>
      <c r="E1033" s="28" t="s">
        <v>2788</v>
      </c>
      <c r="F1033" s="7" t="str">
        <f>IFERROR(__xludf.DUMMYFUNCTION("GOOGLETRANSLATE(B1033:B5064,""en"",""fr"")"),"thé")</f>
        <v>thé</v>
      </c>
    </row>
    <row r="1034" ht="19.5" customHeight="1">
      <c r="A1034" s="26" t="s">
        <v>2789</v>
      </c>
      <c r="B1034" s="27" t="s">
        <v>2790</v>
      </c>
      <c r="C1034" s="28" t="s">
        <v>85</v>
      </c>
      <c r="D1034" s="29">
        <v>369.0</v>
      </c>
      <c r="E1034" s="28" t="s">
        <v>2790</v>
      </c>
      <c r="F1034" s="7" t="str">
        <f>IFERROR(__xludf.DUMMYFUNCTION("GOOGLETRANSLATE(B1034:B5064,""en"",""fr"")"),"whoo")</f>
        <v>whoo</v>
      </c>
    </row>
    <row r="1035" ht="19.5" customHeight="1">
      <c r="A1035" s="26" t="s">
        <v>2791</v>
      </c>
      <c r="B1035" s="27" t="s">
        <v>2792</v>
      </c>
      <c r="C1035" s="28" t="s">
        <v>178</v>
      </c>
      <c r="D1035" s="29">
        <v>368.0</v>
      </c>
      <c r="E1035" s="28" t="s">
        <v>2793</v>
      </c>
      <c r="F1035" s="7" t="str">
        <f>IFERROR(__xludf.DUMMYFUNCTION("GOOGLETRANSLATE(B1035:B5064,""en"",""fr"")"),"vélo")</f>
        <v>vélo</v>
      </c>
    </row>
    <row r="1036" ht="19.5" customHeight="1">
      <c r="A1036" s="26" t="s">
        <v>2794</v>
      </c>
      <c r="B1036" s="27" t="s">
        <v>2795</v>
      </c>
      <c r="C1036" s="28" t="s">
        <v>32</v>
      </c>
      <c r="D1036" s="29">
        <v>368.0</v>
      </c>
      <c r="E1036" s="28" t="s">
        <v>2796</v>
      </c>
      <c r="F1036" s="7" t="str">
        <f>IFERROR(__xludf.DUMMYFUNCTION("GOOGLETRANSLATE(B1036:B5064,""en"",""fr"")"),"geler")</f>
        <v>geler</v>
      </c>
    </row>
    <row r="1037" ht="19.5" customHeight="1">
      <c r="A1037" s="26" t="s">
        <v>2797</v>
      </c>
      <c r="B1037" s="27" t="s">
        <v>2798</v>
      </c>
      <c r="C1037" s="28" t="s">
        <v>134</v>
      </c>
      <c r="D1037" s="29">
        <v>368.0</v>
      </c>
      <c r="E1037" s="28" t="s">
        <v>2798</v>
      </c>
      <c r="F1037" s="7" t="str">
        <f>IFERROR(__xludf.DUMMYFUNCTION("GOOGLETRANSLATE(B1037:B5064,""en"",""fr"")"),"sexuel")</f>
        <v>sexuel</v>
      </c>
    </row>
    <row r="1038" ht="19.5" customHeight="1">
      <c r="A1038" s="26" t="s">
        <v>2799</v>
      </c>
      <c r="B1038" s="27" t="s">
        <v>2800</v>
      </c>
      <c r="C1038" s="28" t="s">
        <v>178</v>
      </c>
      <c r="D1038" s="29">
        <v>367.0</v>
      </c>
      <c r="E1038" s="28" t="s">
        <v>2801</v>
      </c>
      <c r="F1038" s="7" t="str">
        <f>IFERROR(__xludf.DUMMYFUNCTION("GOOGLETRANSLATE(B1038:B5064,""en"",""fr"")"),"code")</f>
        <v>code</v>
      </c>
    </row>
    <row r="1039" ht="19.5" customHeight="1">
      <c r="A1039" s="26" t="s">
        <v>2802</v>
      </c>
      <c r="B1039" s="27" t="s">
        <v>2803</v>
      </c>
      <c r="C1039" s="28" t="s">
        <v>32</v>
      </c>
      <c r="D1039" s="29">
        <v>366.0</v>
      </c>
      <c r="E1039" s="28" t="s">
        <v>2804</v>
      </c>
      <c r="F1039" s="7" t="str">
        <f>IFERROR(__xludf.DUMMYFUNCTION("GOOGLETRANSLATE(B1039:B5064,""en"",""fr"")"),"célébrer")</f>
        <v>célébrer</v>
      </c>
    </row>
    <row r="1040" ht="19.5" customHeight="1">
      <c r="A1040" s="26" t="s">
        <v>2805</v>
      </c>
      <c r="B1040" s="27" t="s">
        <v>2806</v>
      </c>
      <c r="C1040" s="28" t="s">
        <v>178</v>
      </c>
      <c r="D1040" s="29">
        <v>366.0</v>
      </c>
      <c r="E1040" s="28" t="s">
        <v>2807</v>
      </c>
      <c r="F1040" s="7" t="str">
        <f>IFERROR(__xludf.DUMMYFUNCTION("GOOGLETRANSLATE(B1040:B5064,""en"",""fr"")"),"canapé")</f>
        <v>canapé</v>
      </c>
    </row>
    <row r="1041" ht="19.5" customHeight="1">
      <c r="A1041" s="26" t="s">
        <v>2808</v>
      </c>
      <c r="B1041" s="27" t="s">
        <v>2321</v>
      </c>
      <c r="C1041" s="28" t="s">
        <v>36</v>
      </c>
      <c r="D1041" s="29">
        <v>366.0</v>
      </c>
      <c r="E1041" s="28" t="s">
        <v>2321</v>
      </c>
      <c r="F1041" s="7" t="str">
        <f>IFERROR(__xludf.DUMMYFUNCTION("GOOGLETRANSLATE(B1041:B5064,""en"",""fr"")"),"à l'intérieur")</f>
        <v>à l'intérieur</v>
      </c>
    </row>
    <row r="1042" ht="19.5" customHeight="1">
      <c r="A1042" s="26" t="s">
        <v>2809</v>
      </c>
      <c r="B1042" s="27" t="s">
        <v>2810</v>
      </c>
      <c r="C1042" s="28" t="s">
        <v>178</v>
      </c>
      <c r="D1042" s="29">
        <v>366.0</v>
      </c>
      <c r="E1042" s="28" t="s">
        <v>2811</v>
      </c>
      <c r="F1042" s="7" t="str">
        <f>IFERROR(__xludf.DUMMYFUNCTION("GOOGLETRANSLATE(B1042:B5064,""en"",""fr"")"),"prix")</f>
        <v>prix</v>
      </c>
    </row>
    <row r="1043" ht="19.5" customHeight="1">
      <c r="A1043" s="26" t="s">
        <v>2812</v>
      </c>
      <c r="B1043" s="27" t="s">
        <v>2813</v>
      </c>
      <c r="C1043" s="28" t="s">
        <v>32</v>
      </c>
      <c r="D1043" s="29">
        <v>365.0</v>
      </c>
      <c r="E1043" s="28" t="s">
        <v>2814</v>
      </c>
      <c r="F1043" s="7" t="str">
        <f>IFERROR(__xludf.DUMMYFUNCTION("GOOGLETRANSLATE(B1043:B5064,""en"",""fr"")"),"supposer")</f>
        <v>supposer</v>
      </c>
    </row>
    <row r="1044" ht="19.5" customHeight="1">
      <c r="A1044" s="26" t="s">
        <v>2815</v>
      </c>
      <c r="B1044" s="27" t="s">
        <v>2816</v>
      </c>
      <c r="C1044" s="28" t="s">
        <v>134</v>
      </c>
      <c r="D1044" s="29">
        <v>365.0</v>
      </c>
      <c r="E1044" s="28" t="s">
        <v>2816</v>
      </c>
      <c r="F1044" s="7" t="str">
        <f>IFERROR(__xludf.DUMMYFUNCTION("GOOGLETRANSLATE(B1044:B5064,""en"",""fr"")"),"délicieux")</f>
        <v>délicieux</v>
      </c>
    </row>
    <row r="1045" ht="19.5" customHeight="1">
      <c r="A1045" s="26" t="s">
        <v>2817</v>
      </c>
      <c r="B1045" s="27" t="s">
        <v>2818</v>
      </c>
      <c r="C1045" s="28" t="s">
        <v>150</v>
      </c>
      <c r="D1045" s="29">
        <v>365.0</v>
      </c>
      <c r="E1045" s="28" t="s">
        <v>2819</v>
      </c>
      <c r="F1045" s="7" t="str">
        <f>IFERROR(__xludf.DUMMYFUNCTION("GOOGLETRANSLATE(B1045:B5064,""en"",""fr"")"),"quarante")</f>
        <v>quarante</v>
      </c>
    </row>
    <row r="1046" ht="19.5" customHeight="1">
      <c r="A1046" s="26" t="s">
        <v>2820</v>
      </c>
      <c r="B1046" s="27" t="s">
        <v>2821</v>
      </c>
      <c r="C1046" s="28" t="s">
        <v>178</v>
      </c>
      <c r="D1046" s="29">
        <v>365.0</v>
      </c>
      <c r="E1046" s="28" t="s">
        <v>2822</v>
      </c>
      <c r="F1046" s="7" t="str">
        <f>IFERROR(__xludf.DUMMYFUNCTION("GOOGLETRANSLATE(B1046:B5064,""en"",""fr"")"),"joueur")</f>
        <v>joueur</v>
      </c>
    </row>
    <row r="1047" ht="19.5" customHeight="1">
      <c r="A1047" s="26" t="s">
        <v>2823</v>
      </c>
      <c r="B1047" s="27" t="s">
        <v>2824</v>
      </c>
      <c r="C1047" s="28" t="s">
        <v>178</v>
      </c>
      <c r="D1047" s="29">
        <v>365.0</v>
      </c>
      <c r="E1047" s="28" t="s">
        <v>2825</v>
      </c>
      <c r="F1047" s="7" t="str">
        <f>IFERROR(__xludf.DUMMYFUNCTION("GOOGLETRANSLATE(B1047:B5064,""en"",""fr"")"),"soupe")</f>
        <v>soupe</v>
      </c>
    </row>
    <row r="1048" ht="19.5" customHeight="1">
      <c r="A1048" s="26" t="s">
        <v>2826</v>
      </c>
      <c r="B1048" s="27" t="s">
        <v>2827</v>
      </c>
      <c r="C1048" s="28" t="s">
        <v>32</v>
      </c>
      <c r="D1048" s="29">
        <v>365.0</v>
      </c>
      <c r="E1048" s="28" t="s">
        <v>2828</v>
      </c>
      <c r="F1048" s="7" t="str">
        <f>IFERROR(__xludf.DUMMYFUNCTION("GOOGLETRANSLATE(B1048:B5064,""en"",""fr"")"),"déchets")</f>
        <v>déchets</v>
      </c>
    </row>
    <row r="1049" ht="19.5" customHeight="1">
      <c r="A1049" s="26" t="s">
        <v>2829</v>
      </c>
      <c r="B1049" s="27" t="s">
        <v>2830</v>
      </c>
      <c r="C1049" s="28" t="s">
        <v>178</v>
      </c>
      <c r="D1049" s="29">
        <v>364.0</v>
      </c>
      <c r="E1049" s="28" t="s">
        <v>2831</v>
      </c>
      <c r="F1049" s="7" t="str">
        <f>IFERROR(__xludf.DUMMYFUNCTION("GOOGLETRANSLATE(B1049:B5064,""en"",""fr"")"),"manteau")</f>
        <v>manteau</v>
      </c>
    </row>
    <row r="1050" ht="19.5" customHeight="1">
      <c r="A1050" s="26" t="s">
        <v>2832</v>
      </c>
      <c r="B1050" s="27" t="s">
        <v>2833</v>
      </c>
      <c r="C1050" s="28" t="s">
        <v>178</v>
      </c>
      <c r="D1050" s="29">
        <v>364.0</v>
      </c>
      <c r="E1050" s="28" t="s">
        <v>2834</v>
      </c>
      <c r="F1050" s="7" t="str">
        <f>IFERROR(__xludf.DUMMYFUNCTION("GOOGLETRANSLATE(B1050:B5064,""en"",""fr"")"),"poupée")</f>
        <v>poupée</v>
      </c>
    </row>
    <row r="1051" ht="19.5" customHeight="1">
      <c r="A1051" s="26" t="s">
        <v>2835</v>
      </c>
      <c r="B1051" s="27" t="s">
        <v>2836</v>
      </c>
      <c r="C1051" s="28" t="s">
        <v>178</v>
      </c>
      <c r="D1051" s="29">
        <v>364.0</v>
      </c>
      <c r="E1051" s="28" t="s">
        <v>2837</v>
      </c>
      <c r="F1051" s="7" t="str">
        <f>IFERROR(__xludf.DUMMYFUNCTION("GOOGLETRANSLATE(B1051:B5064,""en"",""fr"")"),"sécurité")</f>
        <v>sécurité</v>
      </c>
    </row>
    <row r="1052" ht="19.5" customHeight="1">
      <c r="A1052" s="26" t="s">
        <v>2838</v>
      </c>
      <c r="B1052" s="27" t="s">
        <v>2839</v>
      </c>
      <c r="C1052" s="28" t="s">
        <v>134</v>
      </c>
      <c r="D1052" s="29">
        <v>364.0</v>
      </c>
      <c r="E1052" s="28" t="s">
        <v>2840</v>
      </c>
      <c r="F1052" s="7" t="str">
        <f>IFERROR(__xludf.DUMMYFUNCTION("GOOGLETRANSLATE(B1052:B5064,""en"",""fr"")"),"chaud")</f>
        <v>chaud</v>
      </c>
    </row>
    <row r="1053" ht="19.5" customHeight="1">
      <c r="A1053" s="26" t="s">
        <v>2841</v>
      </c>
      <c r="B1053" s="27" t="s">
        <v>2842</v>
      </c>
      <c r="C1053" s="28" t="s">
        <v>178</v>
      </c>
      <c r="D1053" s="29">
        <v>363.0</v>
      </c>
      <c r="E1053" s="28" t="s">
        <v>2843</v>
      </c>
      <c r="F1053" s="7" t="str">
        <f>IFERROR(__xludf.DUMMYFUNCTION("GOOGLETRANSLATE(B1053:B5064,""en"",""fr"")"),"football")</f>
        <v>football</v>
      </c>
    </row>
    <row r="1054" ht="19.5" customHeight="1">
      <c r="A1054" s="26" t="s">
        <v>2844</v>
      </c>
      <c r="B1054" s="27" t="s">
        <v>2845</v>
      </c>
      <c r="C1054" s="28" t="s">
        <v>178</v>
      </c>
      <c r="D1054" s="29">
        <v>363.0</v>
      </c>
      <c r="E1054" s="28" t="s">
        <v>2846</v>
      </c>
      <c r="F1054" s="7" t="str">
        <f>IFERROR(__xludf.DUMMYFUNCTION("GOOGLETRANSLATE(B1054:B5064,""en"",""fr"")"),"modèle")</f>
        <v>modèle</v>
      </c>
    </row>
    <row r="1055" ht="19.5" customHeight="1">
      <c r="A1055" s="26" t="s">
        <v>2847</v>
      </c>
      <c r="B1055" s="27" t="s">
        <v>2848</v>
      </c>
      <c r="C1055" s="28" t="s">
        <v>36</v>
      </c>
      <c r="D1055" s="29">
        <v>363.0</v>
      </c>
      <c r="E1055" s="28" t="s">
        <v>2848</v>
      </c>
      <c r="F1055" s="7" t="str">
        <f>IFERROR(__xludf.DUMMYFUNCTION("GOOGLETRANSLATE(B1055:B5064,""en"",""fr"")"),"dont")</f>
        <v>dont</v>
      </c>
    </row>
    <row r="1056" ht="19.5" customHeight="1">
      <c r="A1056" s="26" t="s">
        <v>2849</v>
      </c>
      <c r="B1056" s="27" t="s">
        <v>2850</v>
      </c>
      <c r="C1056" s="28" t="s">
        <v>36</v>
      </c>
      <c r="D1056" s="29">
        <v>361.0</v>
      </c>
      <c r="E1056" s="28" t="s">
        <v>2850</v>
      </c>
      <c r="F1056" s="7" t="str">
        <f>IFERROR(__xludf.DUMMYFUNCTION("GOOGLETRANSLATE(B1056:B5064,""en"",""fr"")"),"en plus")</f>
        <v>en plus</v>
      </c>
    </row>
    <row r="1057" ht="19.5" customHeight="1">
      <c r="A1057" s="26" t="s">
        <v>2851</v>
      </c>
      <c r="B1057" s="27" t="s">
        <v>2852</v>
      </c>
      <c r="C1057" s="28" t="s">
        <v>178</v>
      </c>
      <c r="D1057" s="29">
        <v>361.0</v>
      </c>
      <c r="E1057" s="28" t="s">
        <v>2853</v>
      </c>
      <c r="F1057" s="7" t="str">
        <f>IFERROR(__xludf.DUMMYFUNCTION("GOOGLETRANSLATE(B1057:B5064,""en"",""fr"")"),"milieu")</f>
        <v>milieu</v>
      </c>
    </row>
    <row r="1058" ht="19.5" customHeight="1">
      <c r="A1058" s="26" t="s">
        <v>2854</v>
      </c>
      <c r="B1058" s="27" t="s">
        <v>2855</v>
      </c>
      <c r="C1058" s="28" t="s">
        <v>32</v>
      </c>
      <c r="D1058" s="29">
        <v>361.0</v>
      </c>
      <c r="E1058" s="28" t="s">
        <v>2856</v>
      </c>
      <c r="F1058" s="7" t="str">
        <f>IFERROR(__xludf.DUMMYFUNCTION("GOOGLETRANSLATE(B1058:B5064,""en"",""fr"")"),"boutique")</f>
        <v>boutique</v>
      </c>
    </row>
    <row r="1059" ht="19.5" customHeight="1">
      <c r="A1059" s="26" t="s">
        <v>2857</v>
      </c>
      <c r="B1059" s="27" t="s">
        <v>2858</v>
      </c>
      <c r="C1059" s="28" t="s">
        <v>178</v>
      </c>
      <c r="D1059" s="29">
        <v>360.0</v>
      </c>
      <c r="E1059" s="28" t="s">
        <v>2858</v>
      </c>
      <c r="F1059" s="7" t="str">
        <f>IFERROR(__xludf.DUMMYFUNCTION("GOOGLETRANSLATE(B1059:B5064,""en"",""fr"")"),"ordures")</f>
        <v>ordures</v>
      </c>
    </row>
    <row r="1060" ht="19.5" customHeight="1">
      <c r="A1060" s="26" t="s">
        <v>2859</v>
      </c>
      <c r="B1060" s="27" t="s">
        <v>2860</v>
      </c>
      <c r="C1060" s="28" t="s">
        <v>178</v>
      </c>
      <c r="D1060" s="29">
        <v>359.0</v>
      </c>
      <c r="E1060" s="28" t="s">
        <v>2861</v>
      </c>
      <c r="F1060" s="7" t="str">
        <f>IFERROR(__xludf.DUMMYFUNCTION("GOOGLETRANSLATE(B1060:B5064,""en"",""fr"")"),"client")</f>
        <v>client</v>
      </c>
    </row>
    <row r="1061" ht="19.5" customHeight="1">
      <c r="A1061" s="26" t="s">
        <v>2862</v>
      </c>
      <c r="B1061" s="27" t="s">
        <v>2863</v>
      </c>
      <c r="C1061" s="28" t="s">
        <v>178</v>
      </c>
      <c r="D1061" s="29">
        <v>359.0</v>
      </c>
      <c r="E1061" s="28" t="s">
        <v>2863</v>
      </c>
      <c r="F1061" s="7" t="str">
        <f>IFERROR(__xludf.DUMMYFUNCTION("GOOGLETRANSLATE(B1061:B5064,""en"",""fr"")"),"sol")</f>
        <v>sol</v>
      </c>
    </row>
    <row r="1062" ht="19.5" customHeight="1">
      <c r="A1062" s="26" t="s">
        <v>2864</v>
      </c>
      <c r="B1062" s="27" t="s">
        <v>2865</v>
      </c>
      <c r="C1062" s="28" t="s">
        <v>134</v>
      </c>
      <c r="D1062" s="29">
        <v>359.0</v>
      </c>
      <c r="E1062" s="28" t="s">
        <v>2866</v>
      </c>
      <c r="F1062" s="7" t="str">
        <f>IFERROR(__xludf.DUMMYFUNCTION("GOOGLETRANSLATE(B1062:B5064,""en"",""fr"")"),"boiteux")</f>
        <v>boiteux</v>
      </c>
    </row>
    <row r="1063" ht="19.5" customHeight="1">
      <c r="A1063" s="26" t="s">
        <v>2867</v>
      </c>
      <c r="B1063" s="27" t="s">
        <v>2868</v>
      </c>
      <c r="C1063" s="28" t="s">
        <v>178</v>
      </c>
      <c r="D1063" s="29">
        <v>359.0</v>
      </c>
      <c r="E1063" s="28" t="s">
        <v>2869</v>
      </c>
      <c r="F1063" s="7" t="str">
        <f>IFERROR(__xludf.DUMMYFUNCTION("GOOGLETRANSLATE(B1063:B5064,""en"",""fr"")"),"projet")</f>
        <v>projet</v>
      </c>
    </row>
    <row r="1064" ht="19.5" customHeight="1">
      <c r="A1064" s="26" t="s">
        <v>2870</v>
      </c>
      <c r="B1064" s="27" t="s">
        <v>2871</v>
      </c>
      <c r="C1064" s="28" t="s">
        <v>32</v>
      </c>
      <c r="D1064" s="29">
        <v>358.0</v>
      </c>
      <c r="E1064" s="28" t="s">
        <v>2872</v>
      </c>
      <c r="F1064" s="7" t="str">
        <f>IFERROR(__xludf.DUMMYFUNCTION("GOOGLETRANSLATE(B1064:B5064,""en"",""fr"")"),"oser")</f>
        <v>oser</v>
      </c>
    </row>
    <row r="1065" ht="19.5" customHeight="1">
      <c r="A1065" s="26" t="s">
        <v>2873</v>
      </c>
      <c r="B1065" s="27" t="s">
        <v>2855</v>
      </c>
      <c r="C1065" s="28" t="s">
        <v>178</v>
      </c>
      <c r="D1065" s="29">
        <v>358.0</v>
      </c>
      <c r="E1065" s="28" t="s">
        <v>2874</v>
      </c>
      <c r="F1065" s="7" t="str">
        <f>IFERROR(__xludf.DUMMYFUNCTION("GOOGLETRANSLATE(B1065:B5064,""en"",""fr"")"),"boutique")</f>
        <v>boutique</v>
      </c>
    </row>
    <row r="1066" ht="19.5" customHeight="1">
      <c r="A1066" s="26" t="s">
        <v>2875</v>
      </c>
      <c r="B1066" s="27" t="s">
        <v>2876</v>
      </c>
      <c r="C1066" s="28" t="s">
        <v>178</v>
      </c>
      <c r="D1066" s="29">
        <v>357.0</v>
      </c>
      <c r="E1066" s="28" t="s">
        <v>2877</v>
      </c>
      <c r="F1066" s="7" t="str">
        <f>IFERROR(__xludf.DUMMYFUNCTION("GOOGLETRANSLATE(B1066:B5064,""en"",""fr"")"),"épisode")</f>
        <v>épisode</v>
      </c>
    </row>
    <row r="1067" ht="19.5" customHeight="1">
      <c r="A1067" s="26" t="s">
        <v>2878</v>
      </c>
      <c r="B1067" s="27" t="s">
        <v>2879</v>
      </c>
      <c r="C1067" s="28" t="s">
        <v>178</v>
      </c>
      <c r="D1067" s="29">
        <v>357.0</v>
      </c>
      <c r="E1067" s="28" t="s">
        <v>2880</v>
      </c>
      <c r="F1067" s="7" t="str">
        <f>IFERROR(__xludf.DUMMYFUNCTION("GOOGLETRANSLATE(B1067:B5064,""en"",""fr"")"),"verre")</f>
        <v>verre</v>
      </c>
    </row>
    <row r="1068" ht="19.5" customHeight="1">
      <c r="A1068" s="26" t="s">
        <v>2881</v>
      </c>
      <c r="B1068" s="27" t="s">
        <v>2882</v>
      </c>
      <c r="C1068" s="28" t="s">
        <v>134</v>
      </c>
      <c r="D1068" s="29">
        <v>357.0</v>
      </c>
      <c r="E1068" s="28" t="s">
        <v>2883</v>
      </c>
      <c r="F1068" s="7" t="str">
        <f>IFERROR(__xludf.DUMMYFUNCTION("GOOGLETRANSLATE(B1068:B5064,""en"",""fr"")"),"vert")</f>
        <v>vert</v>
      </c>
    </row>
    <row r="1069" ht="19.5" customHeight="1">
      <c r="A1069" s="26" t="s">
        <v>2884</v>
      </c>
      <c r="B1069" s="27" t="s">
        <v>2885</v>
      </c>
      <c r="C1069" s="28" t="s">
        <v>32</v>
      </c>
      <c r="D1069" s="29">
        <v>357.0</v>
      </c>
      <c r="E1069" s="28" t="s">
        <v>2886</v>
      </c>
      <c r="F1069" s="7" t="str">
        <f>IFERROR(__xludf.DUMMYFUNCTION("GOOGLETRANSLATE(B1069:B5064,""en"",""fr"")"),"verrouillage")</f>
        <v>verrouillage</v>
      </c>
    </row>
    <row r="1070" ht="19.5" customHeight="1">
      <c r="A1070" s="26" t="s">
        <v>2887</v>
      </c>
      <c r="B1070" s="27" t="s">
        <v>2888</v>
      </c>
      <c r="C1070" s="28" t="s">
        <v>178</v>
      </c>
      <c r="D1070" s="29">
        <v>356.0</v>
      </c>
      <c r="E1070" s="28" t="s">
        <v>2889</v>
      </c>
      <c r="F1070" s="7" t="str">
        <f>IFERROR(__xludf.DUMMYFUNCTION("GOOGLETRANSLATE(B1070:B5064,""en"",""fr"")"),"prix")</f>
        <v>prix</v>
      </c>
    </row>
    <row r="1071" ht="19.5" customHeight="1">
      <c r="A1071" s="26" t="s">
        <v>2890</v>
      </c>
      <c r="B1071" s="27" t="s">
        <v>2891</v>
      </c>
      <c r="C1071" s="28" t="s">
        <v>134</v>
      </c>
      <c r="D1071" s="29">
        <v>356.0</v>
      </c>
      <c r="E1071" s="28" t="s">
        <v>2892</v>
      </c>
      <c r="F1071" s="7" t="str">
        <f>IFERROR(__xludf.DUMMYFUNCTION("GOOGLETRANSLATE(B1071:B5064,""en"",""fr"")"),"droit")</f>
        <v>droit</v>
      </c>
    </row>
    <row r="1072" ht="19.5" customHeight="1">
      <c r="A1072" s="26" t="s">
        <v>2893</v>
      </c>
      <c r="B1072" s="27" t="s">
        <v>2894</v>
      </c>
      <c r="C1072" s="28" t="s">
        <v>134</v>
      </c>
      <c r="D1072" s="29">
        <v>356.0</v>
      </c>
      <c r="E1072" s="28" t="s">
        <v>2894</v>
      </c>
      <c r="F1072" s="7" t="str">
        <f>IFERROR(__xludf.DUMMYFUNCTION("GOOGLETRANSLATE(B1072:B5064,""en"",""fr"")"),"incroyable")</f>
        <v>incroyable</v>
      </c>
    </row>
    <row r="1073" ht="19.5" customHeight="1">
      <c r="A1073" s="26" t="s">
        <v>2895</v>
      </c>
      <c r="B1073" s="27" t="s">
        <v>2896</v>
      </c>
      <c r="C1073" s="28" t="s">
        <v>178</v>
      </c>
      <c r="D1073" s="29">
        <v>355.0</v>
      </c>
      <c r="E1073" s="28" t="s">
        <v>2897</v>
      </c>
      <c r="F1073" s="7" t="str">
        <f>IFERROR(__xludf.DUMMYFUNCTION("GOOGLETRANSLATE(B1073:B5064,""en"",""fr"")"),"tribunal")</f>
        <v>tribunal</v>
      </c>
    </row>
    <row r="1074" ht="19.5" customHeight="1">
      <c r="A1074" s="26" t="s">
        <v>2898</v>
      </c>
      <c r="B1074" s="27" t="s">
        <v>2899</v>
      </c>
      <c r="C1074" s="28" t="s">
        <v>178</v>
      </c>
      <c r="D1074" s="29">
        <v>355.0</v>
      </c>
      <c r="E1074" s="28" t="s">
        <v>2900</v>
      </c>
      <c r="F1074" s="7" t="str">
        <f>IFERROR(__xludf.DUMMYFUNCTION("GOOGLETRANSLATE(B1074:B5064,""en"",""fr"")"),"expérience")</f>
        <v>expérience</v>
      </c>
    </row>
    <row r="1075" ht="19.5" customHeight="1">
      <c r="A1075" s="26" t="s">
        <v>2901</v>
      </c>
      <c r="B1075" s="27" t="s">
        <v>2902</v>
      </c>
      <c r="C1075" s="28" t="s">
        <v>134</v>
      </c>
      <c r="D1075" s="29">
        <v>355.0</v>
      </c>
      <c r="E1075" s="28" t="s">
        <v>2902</v>
      </c>
      <c r="F1075" s="7" t="str">
        <f>IFERROR(__xludf.DUMMYFUNCTION("GOOGLETRANSLATE(B1075:B5064,""en"",""fr"")"),"final")</f>
        <v>final</v>
      </c>
    </row>
    <row r="1076" ht="19.5" customHeight="1">
      <c r="A1076" s="26" t="s">
        <v>2903</v>
      </c>
      <c r="B1076" s="27" t="s">
        <v>2904</v>
      </c>
      <c r="C1076" s="28" t="s">
        <v>134</v>
      </c>
      <c r="D1076" s="29">
        <v>355.0</v>
      </c>
      <c r="E1076" s="28" t="s">
        <v>2905</v>
      </c>
      <c r="F1076" s="7" t="str">
        <f>IFERROR(__xludf.DUMMYFUNCTION("GOOGLETRANSLATE(B1076:B5064,""en"",""fr"")"),"grand")</f>
        <v>grand</v>
      </c>
    </row>
    <row r="1077" ht="19.5" customHeight="1">
      <c r="A1077" s="26" t="s">
        <v>2906</v>
      </c>
      <c r="B1077" s="27" t="s">
        <v>2907</v>
      </c>
      <c r="C1077" s="28" t="s">
        <v>178</v>
      </c>
      <c r="D1077" s="29">
        <v>355.0</v>
      </c>
      <c r="E1077" s="28" t="s">
        <v>2908</v>
      </c>
      <c r="F1077" s="7" t="str">
        <f>IFERROR(__xludf.DUMMYFUNCTION("GOOGLETRANSLATE(B1077:B5064,""en"",""fr"")"),"salade")</f>
        <v>salade</v>
      </c>
    </row>
    <row r="1078" ht="19.5" customHeight="1">
      <c r="A1078" s="26" t="s">
        <v>2909</v>
      </c>
      <c r="B1078" s="27" t="s">
        <v>2910</v>
      </c>
      <c r="C1078" s="28" t="s">
        <v>32</v>
      </c>
      <c r="D1078" s="29">
        <v>354.0</v>
      </c>
      <c r="E1078" s="28" t="s">
        <v>2911</v>
      </c>
      <c r="F1078" s="7" t="str">
        <f>IFERROR(__xludf.DUMMYFUNCTION("GOOGLETRANSLATE(B1078:B5064,""en"",""fr"")"),"appartenir")</f>
        <v>appartenir</v>
      </c>
    </row>
    <row r="1079" ht="19.5" customHeight="1">
      <c r="A1079" s="26" t="s">
        <v>2912</v>
      </c>
      <c r="B1079" s="27" t="s">
        <v>1114</v>
      </c>
      <c r="C1079" s="28" t="s">
        <v>178</v>
      </c>
      <c r="D1079" s="29">
        <v>354.0</v>
      </c>
      <c r="E1079" s="28" t="s">
        <v>2913</v>
      </c>
      <c r="F1079" s="7" t="str">
        <f>IFERROR(__xludf.DUMMYFUNCTION("GOOGLETRANSLATE(B1079:B5064,""en"",""fr"")"),"Putain")</f>
        <v>Putain</v>
      </c>
    </row>
    <row r="1080" ht="19.5" customHeight="1">
      <c r="A1080" s="26" t="s">
        <v>2914</v>
      </c>
      <c r="B1080" s="27" t="s">
        <v>2915</v>
      </c>
      <c r="C1080" s="28" t="s">
        <v>178</v>
      </c>
      <c r="D1080" s="29">
        <v>354.0</v>
      </c>
      <c r="E1080" s="28" t="s">
        <v>2916</v>
      </c>
      <c r="F1080" s="7" t="str">
        <f>IFERROR(__xludf.DUMMYFUNCTION("GOOGLETRANSLATE(B1080:B5064,""en"",""fr"")"),"gare")</f>
        <v>gare</v>
      </c>
    </row>
    <row r="1081" ht="19.5" customHeight="1">
      <c r="A1081" s="26" t="s">
        <v>2917</v>
      </c>
      <c r="B1081" s="27" t="s">
        <v>2918</v>
      </c>
      <c r="C1081" s="28" t="s">
        <v>178</v>
      </c>
      <c r="D1081" s="29">
        <v>353.0</v>
      </c>
      <c r="E1081" s="28" t="s">
        <v>2919</v>
      </c>
      <c r="F1081" s="7" t="str">
        <f>IFERROR(__xludf.DUMMYFUNCTION("GOOGLETRANSLATE(B1081:B5064,""en"",""fr"")"),"zone")</f>
        <v>zone</v>
      </c>
    </row>
    <row r="1082" ht="19.5" customHeight="1">
      <c r="A1082" s="26" t="s">
        <v>2920</v>
      </c>
      <c r="B1082" s="27" t="s">
        <v>2921</v>
      </c>
      <c r="C1082" s="28" t="s">
        <v>32</v>
      </c>
      <c r="D1082" s="29">
        <v>353.0</v>
      </c>
      <c r="E1082" s="28" t="s">
        <v>2922</v>
      </c>
      <c r="F1082" s="7" t="str">
        <f>IFERROR(__xludf.DUMMYFUNCTION("GOOGLETRANSLATE(B1082:B5064,""en"",""fr"")"),"vote")</f>
        <v>vote</v>
      </c>
    </row>
    <row r="1083" ht="19.5" customHeight="1">
      <c r="A1083" s="26" t="s">
        <v>2923</v>
      </c>
      <c r="B1083" s="27" t="s">
        <v>2924</v>
      </c>
      <c r="C1083" s="28" t="s">
        <v>178</v>
      </c>
      <c r="D1083" s="29">
        <v>352.0</v>
      </c>
      <c r="E1083" s="28" t="s">
        <v>2925</v>
      </c>
      <c r="F1083" s="7" t="str">
        <f>IFERROR(__xludf.DUMMYFUNCTION("GOOGLETRANSLATE(B1083:B5064,""en"",""fr"")"),"crime")</f>
        <v>crime</v>
      </c>
    </row>
    <row r="1084" ht="19.5" customHeight="1">
      <c r="A1084" s="26" t="s">
        <v>2926</v>
      </c>
      <c r="B1084" s="27" t="s">
        <v>2927</v>
      </c>
      <c r="C1084" s="28" t="s">
        <v>178</v>
      </c>
      <c r="D1084" s="29">
        <v>352.0</v>
      </c>
      <c r="E1084" s="28" t="s">
        <v>2928</v>
      </c>
      <c r="F1084" s="7" t="str">
        <f>IFERROR(__xludf.DUMMYFUNCTION("GOOGLETRANSLATE(B1084:B5064,""en"",""fr"")"),"viande")</f>
        <v>viande</v>
      </c>
    </row>
    <row r="1085" ht="19.5" customHeight="1">
      <c r="A1085" s="26" t="s">
        <v>2929</v>
      </c>
      <c r="B1085" s="27" t="s">
        <v>2930</v>
      </c>
      <c r="C1085" s="28" t="s">
        <v>134</v>
      </c>
      <c r="D1085" s="29">
        <v>352.0</v>
      </c>
      <c r="E1085" s="28" t="s">
        <v>2930</v>
      </c>
      <c r="F1085" s="7" t="str">
        <f>IFERROR(__xludf.DUMMYFUNCTION("GOOGLETRANSLATE(B1085:B5064,""en"",""fr"")"),"romantique")</f>
        <v>romantique</v>
      </c>
    </row>
    <row r="1086" ht="19.5" customHeight="1">
      <c r="A1086" s="26" t="s">
        <v>2931</v>
      </c>
      <c r="B1086" s="27" t="s">
        <v>2932</v>
      </c>
      <c r="C1086" s="28" t="s">
        <v>32</v>
      </c>
      <c r="D1086" s="29">
        <v>352.0</v>
      </c>
      <c r="E1086" s="28" t="s">
        <v>2933</v>
      </c>
      <c r="F1086" s="7" t="str">
        <f>IFERROR(__xludf.DUMMYFUNCTION("GOOGLETRANSLATE(B1086:B5064,""en"",""fr"")"),"traiter")</f>
        <v>traiter</v>
      </c>
    </row>
    <row r="1087" ht="19.5" customHeight="1">
      <c r="A1087" s="26" t="s">
        <v>2934</v>
      </c>
      <c r="B1087" s="27" t="s">
        <v>2935</v>
      </c>
      <c r="C1087" s="28" t="s">
        <v>100</v>
      </c>
      <c r="D1087" s="29">
        <v>351.0</v>
      </c>
      <c r="E1087" s="28" t="s">
        <v>2935</v>
      </c>
      <c r="F1087" s="7" t="str">
        <f>IFERROR(__xludf.DUMMYFUNCTION("GOOGLETRANSLATE(B1087:B5064,""en"",""fr"")"),"avant")</f>
        <v>avant</v>
      </c>
    </row>
    <row r="1088" ht="19.5" customHeight="1">
      <c r="A1088" s="26" t="s">
        <v>2936</v>
      </c>
      <c r="B1088" s="27" t="s">
        <v>2937</v>
      </c>
      <c r="C1088" s="28" t="s">
        <v>178</v>
      </c>
      <c r="D1088" s="29">
        <v>351.0</v>
      </c>
      <c r="E1088" s="28" t="s">
        <v>2937</v>
      </c>
      <c r="F1088" s="7" t="str">
        <f>IFERROR(__xludf.DUMMYFUNCTION("GOOGLETRANSLATE(B1088:B5064,""en"",""fr"")"),"lunettes")</f>
        <v>lunettes</v>
      </c>
    </row>
    <row r="1089" ht="19.5" customHeight="1">
      <c r="A1089" s="26" t="s">
        <v>2938</v>
      </c>
      <c r="B1089" s="27" t="s">
        <v>1017</v>
      </c>
      <c r="C1089" s="28" t="s">
        <v>178</v>
      </c>
      <c r="D1089" s="29">
        <v>351.0</v>
      </c>
      <c r="E1089" s="28" t="s">
        <v>2939</v>
      </c>
      <c r="F1089" s="7" t="str">
        <f>IFERROR(__xludf.DUMMYFUNCTION("GOOGLETRANSLATE(B1089:B5064,""en"",""fr"")"),"mensonge")</f>
        <v>mensonge</v>
      </c>
    </row>
    <row r="1090" ht="19.5" customHeight="1">
      <c r="A1090" s="26" t="s">
        <v>2940</v>
      </c>
      <c r="B1090" s="27" t="s">
        <v>2941</v>
      </c>
      <c r="C1090" s="28" t="s">
        <v>32</v>
      </c>
      <c r="D1090" s="29">
        <v>351.0</v>
      </c>
      <c r="E1090" s="28" t="s">
        <v>2942</v>
      </c>
      <c r="F1090" s="7" t="str">
        <f>IFERROR(__xludf.DUMMYFUNCTION("GOOGLETRANSLATE(B1090:B5064,""en"",""fr"")"),"goût")</f>
        <v>goût</v>
      </c>
    </row>
    <row r="1091" ht="19.5" customHeight="1">
      <c r="A1091" s="26" t="s">
        <v>2943</v>
      </c>
      <c r="B1091" s="27" t="s">
        <v>2944</v>
      </c>
      <c r="C1091" s="28" t="s">
        <v>178</v>
      </c>
      <c r="D1091" s="29">
        <v>351.0</v>
      </c>
      <c r="E1091" s="28" t="s">
        <v>2945</v>
      </c>
      <c r="F1091" s="7" t="str">
        <f>IFERROR(__xludf.DUMMYFUNCTION("GOOGLETRANSLATE(B1091:B5064,""en"",""fr"")"),"poids")</f>
        <v>poids</v>
      </c>
    </row>
    <row r="1092" ht="19.5" customHeight="1">
      <c r="A1092" s="26" t="s">
        <v>2946</v>
      </c>
      <c r="B1092" s="27" t="s">
        <v>2947</v>
      </c>
      <c r="C1092" s="28" t="s">
        <v>178</v>
      </c>
      <c r="D1092" s="29">
        <v>350.0</v>
      </c>
      <c r="E1092" s="28" t="s">
        <v>2948</v>
      </c>
      <c r="F1092" s="7" t="str">
        <f>IFERROR(__xludf.DUMMYFUNCTION("GOOGLETRANSLATE(B1092:B5064,""en"",""fr"")"),"mail")</f>
        <v>mail</v>
      </c>
    </row>
    <row r="1093" ht="19.5" customHeight="1">
      <c r="A1093" s="26" t="s">
        <v>2949</v>
      </c>
      <c r="B1093" s="27" t="s">
        <v>2950</v>
      </c>
      <c r="C1093" s="28" t="s">
        <v>178</v>
      </c>
      <c r="D1093" s="29">
        <v>348.0</v>
      </c>
      <c r="E1093" s="28" t="s">
        <v>2951</v>
      </c>
      <c r="F1093" s="7" t="str">
        <f>IFERROR(__xludf.DUMMYFUNCTION("GOOGLETRANSLATE(B1093:B5064,""en"",""fr"")"),"taxi")</f>
        <v>taxi</v>
      </c>
    </row>
    <row r="1094" ht="19.5" customHeight="1">
      <c r="A1094" s="26" t="s">
        <v>2952</v>
      </c>
      <c r="B1094" s="27" t="s">
        <v>2953</v>
      </c>
      <c r="C1094" s="28" t="s">
        <v>150</v>
      </c>
      <c r="D1094" s="29">
        <v>348.0</v>
      </c>
      <c r="E1094" s="28" t="s">
        <v>2953</v>
      </c>
      <c r="F1094" s="7" t="str">
        <f>IFERROR(__xludf.DUMMYFUNCTION("GOOGLETRANSLATE(B1094:B5064,""en"",""fr"")"),"deux cent")</f>
        <v>deux cent</v>
      </c>
    </row>
    <row r="1095" ht="19.5" customHeight="1">
      <c r="A1095" s="26" t="s">
        <v>2954</v>
      </c>
      <c r="B1095" s="27" t="s">
        <v>2955</v>
      </c>
      <c r="C1095" s="28" t="s">
        <v>134</v>
      </c>
      <c r="D1095" s="29">
        <v>348.0</v>
      </c>
      <c r="E1095" s="28" t="s">
        <v>2955</v>
      </c>
      <c r="F1095" s="7" t="str">
        <f>IFERROR(__xludf.DUMMYFUNCTION("GOOGLETRANSLATE(B1095:B5064,""en"",""fr"")"),"ennuyeux")</f>
        <v>ennuyeux</v>
      </c>
    </row>
    <row r="1096" ht="19.5" customHeight="1">
      <c r="A1096" s="26" t="s">
        <v>2956</v>
      </c>
      <c r="B1096" s="27" t="s">
        <v>2957</v>
      </c>
      <c r="C1096" s="28" t="s">
        <v>178</v>
      </c>
      <c r="D1096" s="29">
        <v>347.0</v>
      </c>
      <c r="E1096" s="28" t="s">
        <v>2957</v>
      </c>
      <c r="F1096" s="7" t="str">
        <f>IFERROR(__xludf.DUMMYFUNCTION("GOOGLETRANSLATE(B1096:B5064,""en"",""fr"")"),"information")</f>
        <v>information</v>
      </c>
    </row>
    <row r="1097" ht="19.5" customHeight="1">
      <c r="A1097" s="26" t="s">
        <v>2958</v>
      </c>
      <c r="B1097" s="27" t="s">
        <v>2959</v>
      </c>
      <c r="C1097" s="28" t="s">
        <v>134</v>
      </c>
      <c r="D1097" s="29">
        <v>347.0</v>
      </c>
      <c r="E1097" s="28" t="s">
        <v>2959</v>
      </c>
      <c r="F1097" s="7" t="str">
        <f>IFERROR(__xludf.DUMMYFUNCTION("GOOGLETRANSLATE(B1097:B5064,""en"",""fr"")"),"total")</f>
        <v>total</v>
      </c>
    </row>
    <row r="1098" ht="19.5" customHeight="1">
      <c r="A1098" s="26" t="s">
        <v>2960</v>
      </c>
      <c r="B1098" s="27" t="s">
        <v>2961</v>
      </c>
      <c r="C1098" s="28" t="s">
        <v>178</v>
      </c>
      <c r="D1098" s="29">
        <v>346.0</v>
      </c>
      <c r="E1098" s="28" t="s">
        <v>2962</v>
      </c>
      <c r="F1098" s="7" t="str">
        <f>IFERROR(__xludf.DUMMYFUNCTION("GOOGLETRANSLATE(B1098:B5064,""en"",""fr"")"),"canal")</f>
        <v>canal</v>
      </c>
    </row>
    <row r="1099" ht="19.5" customHeight="1">
      <c r="A1099" s="26" t="s">
        <v>2963</v>
      </c>
      <c r="B1099" s="27" t="s">
        <v>2964</v>
      </c>
      <c r="C1099" s="28" t="s">
        <v>178</v>
      </c>
      <c r="D1099" s="29">
        <v>346.0</v>
      </c>
      <c r="E1099" s="28" t="s">
        <v>2965</v>
      </c>
      <c r="F1099" s="7" t="str">
        <f>IFERROR(__xludf.DUMMYFUNCTION("GOOGLETRANSLATE(B1099:B5064,""en"",""fr"")"),"page")</f>
        <v>page</v>
      </c>
    </row>
    <row r="1100" ht="19.5" customHeight="1">
      <c r="A1100" s="26" t="s">
        <v>2966</v>
      </c>
      <c r="B1100" s="27" t="s">
        <v>2967</v>
      </c>
      <c r="C1100" s="28" t="s">
        <v>100</v>
      </c>
      <c r="D1100" s="29">
        <v>346.0</v>
      </c>
      <c r="E1100" s="28" t="s">
        <v>2967</v>
      </c>
      <c r="F1100" s="7" t="str">
        <f>IFERROR(__xludf.DUMMYFUNCTION("GOOGLETRANSLATE(B1100:B5064,""en"",""fr"")"),"soudainement")</f>
        <v>soudainement</v>
      </c>
    </row>
    <row r="1101" ht="19.5" customHeight="1">
      <c r="A1101" s="26" t="s">
        <v>2968</v>
      </c>
      <c r="B1101" s="27" t="s">
        <v>2969</v>
      </c>
      <c r="C1101" s="28" t="s">
        <v>178</v>
      </c>
      <c r="D1101" s="29">
        <v>345.0</v>
      </c>
      <c r="E1101" s="28" t="s">
        <v>2970</v>
      </c>
      <c r="F1101" s="7" t="str">
        <f>IFERROR(__xludf.DUMMYFUNCTION("GOOGLETRANSLATE(B1101:B5064,""en"",""fr"")"),"saké")</f>
        <v>saké</v>
      </c>
    </row>
    <row r="1102" ht="19.5" customHeight="1">
      <c r="A1102" s="26" t="s">
        <v>2971</v>
      </c>
      <c r="B1102" s="27" t="s">
        <v>2972</v>
      </c>
      <c r="C1102" s="28" t="s">
        <v>728</v>
      </c>
      <c r="D1102" s="29">
        <v>345.0</v>
      </c>
      <c r="E1102" s="28" t="s">
        <v>2973</v>
      </c>
      <c r="F1102" s="7" t="str">
        <f>IFERROR(__xludf.DUMMYFUNCTION("GOOGLETRANSLATE(B1102:B5064,""en"",""fr"")"),"Action de grâces")</f>
        <v>Action de grâces</v>
      </c>
    </row>
    <row r="1103" ht="19.5" customHeight="1">
      <c r="A1103" s="26" t="s">
        <v>2974</v>
      </c>
      <c r="B1103" s="27" t="s">
        <v>2975</v>
      </c>
      <c r="C1103" s="28" t="s">
        <v>134</v>
      </c>
      <c r="D1103" s="29">
        <v>344.0</v>
      </c>
      <c r="E1103" s="28" t="s">
        <v>2975</v>
      </c>
      <c r="F1103" s="7" t="str">
        <f>IFERROR(__xludf.DUMMYFUNCTION("GOOGLETRANSLATE(B1103:B5064,""en"",""fr"")"),"privé")</f>
        <v>privé</v>
      </c>
    </row>
    <row r="1104" ht="19.5" customHeight="1">
      <c r="A1104" s="26" t="s">
        <v>2976</v>
      </c>
      <c r="B1104" s="27" t="s">
        <v>29</v>
      </c>
      <c r="C1104" s="28" t="s">
        <v>728</v>
      </c>
      <c r="D1104" s="29">
        <v>343.0</v>
      </c>
      <c r="E1104" s="28" t="s">
        <v>29</v>
      </c>
      <c r="F1104" s="7" t="str">
        <f>IFERROR(__xludf.DUMMYFUNCTION("GOOGLETRANSLATE(B1104:B5064,""en"",""fr"")"),"Français")</f>
        <v>Français</v>
      </c>
    </row>
    <row r="1105" ht="19.5" customHeight="1">
      <c r="A1105" s="26" t="s">
        <v>2977</v>
      </c>
      <c r="B1105" s="27" t="s">
        <v>2978</v>
      </c>
      <c r="C1105" s="28" t="s">
        <v>178</v>
      </c>
      <c r="D1105" s="29">
        <v>343.0</v>
      </c>
      <c r="E1105" s="28" t="s">
        <v>2979</v>
      </c>
      <c r="F1105" s="7" t="str">
        <f>IFERROR(__xludf.DUMMYFUNCTION("GOOGLETRANSLATE(B1105:B5064,""en"",""fr"")"),"gagnant")</f>
        <v>gagnant</v>
      </c>
    </row>
    <row r="1106" ht="19.5" customHeight="1">
      <c r="A1106" s="26" t="s">
        <v>2980</v>
      </c>
      <c r="B1106" s="27" t="s">
        <v>2981</v>
      </c>
      <c r="C1106" s="28" t="s">
        <v>178</v>
      </c>
      <c r="D1106" s="29">
        <v>342.0</v>
      </c>
      <c r="E1106" s="28" t="s">
        <v>2982</v>
      </c>
      <c r="F1106" s="7" t="str">
        <f>IFERROR(__xludf.DUMMYFUNCTION("GOOGLETRANSLATE(B1106:B5064,""en"",""fr"")"),"passé")</f>
        <v>passé</v>
      </c>
    </row>
    <row r="1107" ht="19.5" customHeight="1">
      <c r="A1107" s="26" t="s">
        <v>2983</v>
      </c>
      <c r="B1107" s="27" t="s">
        <v>2984</v>
      </c>
      <c r="C1107" s="28" t="s">
        <v>178</v>
      </c>
      <c r="D1107" s="29">
        <v>342.0</v>
      </c>
      <c r="E1107" s="28" t="s">
        <v>2985</v>
      </c>
      <c r="F1107" s="7" t="str">
        <f>IFERROR(__xludf.DUMMYFUNCTION("GOOGLETRANSLATE(B1107:B5064,""en"",""fr"")"),"stylo")</f>
        <v>stylo</v>
      </c>
    </row>
    <row r="1108" ht="19.5" customHeight="1">
      <c r="A1108" s="26" t="s">
        <v>2986</v>
      </c>
      <c r="B1108" s="27" t="s">
        <v>2987</v>
      </c>
      <c r="C1108" s="28" t="s">
        <v>100</v>
      </c>
      <c r="D1108" s="29">
        <v>341.0</v>
      </c>
      <c r="E1108" s="28" t="s">
        <v>2987</v>
      </c>
      <c r="F1108" s="7" t="str">
        <f>IFERROR(__xludf.DUMMYFUNCTION("GOOGLETRANSLATE(B1108:B5064,""en"",""fr"")"),"deux fois")</f>
        <v>deux fois</v>
      </c>
    </row>
    <row r="1109" ht="19.5" customHeight="1">
      <c r="A1109" s="26" t="s">
        <v>2988</v>
      </c>
      <c r="B1109" s="27" t="s">
        <v>2989</v>
      </c>
      <c r="C1109" s="28" t="s">
        <v>178</v>
      </c>
      <c r="D1109" s="29">
        <v>340.0</v>
      </c>
      <c r="E1109" s="28" t="s">
        <v>2990</v>
      </c>
      <c r="F1109" s="7" t="str">
        <f>IFERROR(__xludf.DUMMYFUNCTION("GOOGLETRANSLATE(B1109:B5064,""en"",""fr"")"),"cousin")</f>
        <v>cousin</v>
      </c>
    </row>
    <row r="1110" ht="19.5" customHeight="1">
      <c r="A1110" s="26" t="s">
        <v>2991</v>
      </c>
      <c r="B1110" s="27" t="s">
        <v>2992</v>
      </c>
      <c r="C1110" s="28" t="s">
        <v>134</v>
      </c>
      <c r="D1110" s="29">
        <v>340.0</v>
      </c>
      <c r="E1110" s="28" t="s">
        <v>2992</v>
      </c>
      <c r="F1110" s="7" t="str">
        <f>IFERROR(__xludf.DUMMYFUNCTION("GOOGLETRANSLATE(B1110:B5064,""en"",""fr"")"),"jaloux")</f>
        <v>jaloux</v>
      </c>
    </row>
    <row r="1111" ht="19.5" customHeight="1">
      <c r="A1111" s="26" t="s">
        <v>2993</v>
      </c>
      <c r="B1111" s="27" t="s">
        <v>2994</v>
      </c>
      <c r="C1111" s="28" t="s">
        <v>32</v>
      </c>
      <c r="D1111" s="29">
        <v>340.0</v>
      </c>
      <c r="E1111" s="28" t="s">
        <v>2995</v>
      </c>
      <c r="F1111" s="7" t="str">
        <f>IFERROR(__xludf.DUMMYFUNCTION("GOOGLETRANSLATE(B1111:B5064,""en"",""fr"")"),"désordre")</f>
        <v>désordre</v>
      </c>
    </row>
    <row r="1112" ht="19.5" customHeight="1">
      <c r="A1112" s="26" t="s">
        <v>2996</v>
      </c>
      <c r="B1112" s="27" t="s">
        <v>2997</v>
      </c>
      <c r="C1112" s="28" t="s">
        <v>178</v>
      </c>
      <c r="D1112" s="29">
        <v>340.0</v>
      </c>
      <c r="E1112" s="28" t="s">
        <v>2998</v>
      </c>
      <c r="F1112" s="7" t="str">
        <f>IFERROR(__xludf.DUMMYFUNCTION("GOOGLETRANSLATE(B1112:B5064,""en"",""fr"")"),"planète")</f>
        <v>planète</v>
      </c>
    </row>
    <row r="1113" ht="19.5" customHeight="1">
      <c r="A1113" s="26" t="s">
        <v>2999</v>
      </c>
      <c r="B1113" s="27" t="s">
        <v>3000</v>
      </c>
      <c r="C1113" s="28" t="s">
        <v>134</v>
      </c>
      <c r="D1113" s="29">
        <v>340.0</v>
      </c>
      <c r="E1113" s="28" t="s">
        <v>3001</v>
      </c>
      <c r="F1113" s="7" t="str">
        <f>IFERROR(__xludf.DUMMYFUNCTION("GOOGLETRANSLATE(B1113:B5064,""en"",""fr"")"),"effrayant")</f>
        <v>effrayant</v>
      </c>
    </row>
    <row r="1114" ht="19.5" customHeight="1">
      <c r="A1114" s="26" t="s">
        <v>3002</v>
      </c>
      <c r="B1114" s="27" t="s">
        <v>3003</v>
      </c>
      <c r="C1114" s="28" t="s">
        <v>178</v>
      </c>
      <c r="D1114" s="29">
        <v>340.0</v>
      </c>
      <c r="E1114" s="28" t="s">
        <v>3004</v>
      </c>
      <c r="F1114" s="7" t="str">
        <f>IFERROR(__xludf.DUMMYFUNCTION("GOOGLETRANSLATE(B1114:B5064,""en"",""fr"")"),"univers")</f>
        <v>univers</v>
      </c>
    </row>
    <row r="1115" ht="19.5" customHeight="1">
      <c r="A1115" s="26" t="s">
        <v>3005</v>
      </c>
      <c r="B1115" s="27" t="s">
        <v>3006</v>
      </c>
      <c r="C1115" s="28" t="s">
        <v>100</v>
      </c>
      <c r="D1115" s="29">
        <v>340.0</v>
      </c>
      <c r="E1115" s="28" t="s">
        <v>3006</v>
      </c>
      <c r="F1115" s="7" t="str">
        <f>IFERROR(__xludf.DUMMYFUNCTION("GOOGLETRANSLATE(B1115:B5064,""en"",""fr"")"),"à l'étage")</f>
        <v>à l'étage</v>
      </c>
    </row>
    <row r="1116" ht="19.5" customHeight="1">
      <c r="A1116" s="26" t="s">
        <v>3007</v>
      </c>
      <c r="B1116" s="27" t="s">
        <v>3008</v>
      </c>
      <c r="C1116" s="28" t="s">
        <v>178</v>
      </c>
      <c r="D1116" s="29">
        <v>339.0</v>
      </c>
      <c r="E1116" s="28" t="s">
        <v>3009</v>
      </c>
      <c r="F1116" s="7" t="str">
        <f>IFERROR(__xludf.DUMMYFUNCTION("GOOGLETRANSLATE(B1116:B5064,""en"",""fr"")"),"génie")</f>
        <v>génie</v>
      </c>
    </row>
    <row r="1117" ht="19.5" customHeight="1">
      <c r="A1117" s="26" t="s">
        <v>3010</v>
      </c>
      <c r="B1117" s="27" t="s">
        <v>3011</v>
      </c>
      <c r="C1117" s="28" t="s">
        <v>134</v>
      </c>
      <c r="D1117" s="29">
        <v>338.0</v>
      </c>
      <c r="E1117" s="28" t="s">
        <v>3011</v>
      </c>
      <c r="F1117" s="7" t="str">
        <f>IFERROR(__xludf.DUMMYFUNCTION("GOOGLETRANSLATE(B1117:B5064,""en"",""fr"")"),"dangereux")</f>
        <v>dangereux</v>
      </c>
    </row>
    <row r="1118" ht="19.5" customHeight="1">
      <c r="A1118" s="26" t="s">
        <v>3012</v>
      </c>
      <c r="B1118" s="27" t="s">
        <v>3013</v>
      </c>
      <c r="C1118" s="28" t="s">
        <v>134</v>
      </c>
      <c r="D1118" s="29">
        <v>337.0</v>
      </c>
      <c r="E1118" s="28" t="s">
        <v>3013</v>
      </c>
      <c r="F1118" s="7" t="str">
        <f>IFERROR(__xludf.DUMMYFUNCTION("GOOGLETRANSLATE(B1118:B5064,""en"",""fr"")"),"des noisettes")</f>
        <v>des noisettes</v>
      </c>
    </row>
    <row r="1119" ht="19.5" customHeight="1">
      <c r="A1119" s="26" t="s">
        <v>3014</v>
      </c>
      <c r="B1119" s="27" t="s">
        <v>3015</v>
      </c>
      <c r="C1119" s="28" t="s">
        <v>36</v>
      </c>
      <c r="D1119" s="29">
        <v>337.0</v>
      </c>
      <c r="E1119" s="28" t="s">
        <v>3015</v>
      </c>
      <c r="F1119" s="7" t="str">
        <f>IFERROR(__xludf.DUMMYFUNCTION("GOOGLETRANSLATE(B1119:B5064,""en"",""fr"")"),"nous-mêmes")</f>
        <v>nous-mêmes</v>
      </c>
    </row>
    <row r="1120" ht="19.5" customHeight="1">
      <c r="A1120" s="26" t="s">
        <v>3016</v>
      </c>
      <c r="B1120" s="27" t="s">
        <v>3017</v>
      </c>
      <c r="C1120" s="28" t="s">
        <v>178</v>
      </c>
      <c r="D1120" s="29">
        <v>336.0</v>
      </c>
      <c r="E1120" s="28" t="s">
        <v>3018</v>
      </c>
      <c r="F1120" s="7" t="str">
        <f>IFERROR(__xludf.DUMMYFUNCTION("GOOGLETRANSLATE(B1120:B5064,""en"",""fr"")"),"course")</f>
        <v>course</v>
      </c>
    </row>
    <row r="1121" ht="19.5" customHeight="1">
      <c r="A1121" s="26" t="s">
        <v>3019</v>
      </c>
      <c r="B1121" s="27" t="s">
        <v>3020</v>
      </c>
      <c r="C1121" s="28" t="s">
        <v>32</v>
      </c>
      <c r="D1121" s="29">
        <v>336.0</v>
      </c>
      <c r="E1121" s="28" t="s">
        <v>3021</v>
      </c>
      <c r="F1121" s="7" t="str">
        <f>IFERROR(__xludf.DUMMYFUNCTION("GOOGLETRANSLATE(B1121:B5064,""en"",""fr"")"),"suggérer")</f>
        <v>suggérer</v>
      </c>
    </row>
    <row r="1122" ht="19.5" customHeight="1">
      <c r="A1122" s="26" t="s">
        <v>3022</v>
      </c>
      <c r="B1122" s="27" t="s">
        <v>584</v>
      </c>
      <c r="C1122" s="28" t="s">
        <v>178</v>
      </c>
      <c r="D1122" s="29">
        <v>336.0</v>
      </c>
      <c r="E1122" s="28" t="s">
        <v>3023</v>
      </c>
      <c r="F1122" s="7" t="str">
        <f>IFERROR(__xludf.DUMMYFUNCTION("GOOGLETRANSLATE(B1122:B5064,""en"",""fr"")"),"tourner")</f>
        <v>tourner</v>
      </c>
    </row>
    <row r="1123" ht="19.5" customHeight="1">
      <c r="A1123" s="26" t="s">
        <v>3024</v>
      </c>
      <c r="B1123" s="27" t="s">
        <v>3025</v>
      </c>
      <c r="C1123" s="28" t="s">
        <v>178</v>
      </c>
      <c r="D1123" s="29">
        <v>335.0</v>
      </c>
      <c r="E1123" s="28" t="s">
        <v>3026</v>
      </c>
      <c r="F1123" s="7" t="str">
        <f>IFERROR(__xludf.DUMMYFUNCTION("GOOGLETRANSLATE(B1123:B5064,""en"",""fr"")"),"mer")</f>
        <v>mer</v>
      </c>
    </row>
    <row r="1124" ht="19.5" customHeight="1">
      <c r="A1124" s="26" t="s">
        <v>3027</v>
      </c>
      <c r="B1124" s="27" t="s">
        <v>3028</v>
      </c>
      <c r="C1124" s="28" t="s">
        <v>178</v>
      </c>
      <c r="D1124" s="29">
        <v>334.0</v>
      </c>
      <c r="E1124" s="28" t="s">
        <v>3029</v>
      </c>
      <c r="F1124" s="7" t="str">
        <f>IFERROR(__xludf.DUMMYFUNCTION("GOOGLETRANSLATE(B1124:B5064,""en"",""fr"")"),"officier")</f>
        <v>officier</v>
      </c>
    </row>
    <row r="1125" ht="19.5" customHeight="1">
      <c r="A1125" s="26" t="s">
        <v>3030</v>
      </c>
      <c r="B1125" s="27" t="s">
        <v>3031</v>
      </c>
      <c r="C1125" s="28" t="s">
        <v>178</v>
      </c>
      <c r="D1125" s="29">
        <v>333.0</v>
      </c>
      <c r="E1125" s="28" t="s">
        <v>3032</v>
      </c>
      <c r="F1125" s="7" t="str">
        <f>IFERROR(__xludf.DUMMYFUNCTION("GOOGLETRANSLATE(B1125:B5064,""en"",""fr"")"),"repas")</f>
        <v>repas</v>
      </c>
    </row>
    <row r="1126" ht="19.5" customHeight="1">
      <c r="A1126" s="26" t="s">
        <v>3033</v>
      </c>
      <c r="B1126" s="27" t="s">
        <v>3034</v>
      </c>
      <c r="C1126" s="28" t="s">
        <v>134</v>
      </c>
      <c r="D1126" s="29">
        <v>333.0</v>
      </c>
      <c r="E1126" s="28" t="s">
        <v>3034</v>
      </c>
      <c r="F1126" s="7" t="str">
        <f>IFERROR(__xludf.DUMMYFUNCTION("GOOGLETRANSLATE(B1126:B5064,""en"",""fr"")"),"populaire")</f>
        <v>populaire</v>
      </c>
    </row>
    <row r="1127" ht="19.5" customHeight="1">
      <c r="A1127" s="26" t="s">
        <v>3035</v>
      </c>
      <c r="B1127" s="27" t="s">
        <v>3036</v>
      </c>
      <c r="C1127" s="28" t="s">
        <v>178</v>
      </c>
      <c r="D1127" s="29">
        <v>333.0</v>
      </c>
      <c r="E1127" s="28" t="s">
        <v>3037</v>
      </c>
      <c r="F1127" s="7" t="str">
        <f>IFERROR(__xludf.DUMMYFUNCTION("GOOGLETRANSLATE(B1127:B5064,""en"",""fr"")"),"rapport")</f>
        <v>rapport</v>
      </c>
    </row>
    <row r="1128" ht="19.5" customHeight="1">
      <c r="A1128" s="26" t="s">
        <v>3038</v>
      </c>
      <c r="B1128" s="27" t="s">
        <v>1462</v>
      </c>
      <c r="C1128" s="28" t="s">
        <v>85</v>
      </c>
      <c r="D1128" s="29">
        <v>333.0</v>
      </c>
      <c r="E1128" s="28" t="s">
        <v>1462</v>
      </c>
      <c r="F1128" s="7" t="str">
        <f>IFERROR(__xludf.DUMMYFUNCTION("GOOGLETRANSLATE(B1128:B5064,""en"",""fr"")"),"accueillir")</f>
        <v>accueillir</v>
      </c>
    </row>
    <row r="1129" ht="19.5" customHeight="1">
      <c r="A1129" s="26" t="s">
        <v>3039</v>
      </c>
      <c r="B1129" s="27" t="s">
        <v>3040</v>
      </c>
      <c r="C1129" s="28" t="s">
        <v>178</v>
      </c>
      <c r="D1129" s="29">
        <v>332.0</v>
      </c>
      <c r="E1129" s="28" t="s">
        <v>3041</v>
      </c>
      <c r="F1129" s="7" t="str">
        <f>IFERROR(__xludf.DUMMYFUNCTION("GOOGLETRANSLATE(B1129:B5064,""en"",""fr"")"),"vol")</f>
        <v>vol</v>
      </c>
    </row>
    <row r="1130" ht="19.5" customHeight="1">
      <c r="A1130" s="26" t="s">
        <v>3042</v>
      </c>
      <c r="B1130" s="27" t="s">
        <v>762</v>
      </c>
      <c r="C1130" s="28" t="s">
        <v>178</v>
      </c>
      <c r="D1130" s="29">
        <v>331.0</v>
      </c>
      <c r="E1130" s="28" t="s">
        <v>3043</v>
      </c>
      <c r="F1130" s="7" t="str">
        <f>IFERROR(__xludf.DUMMYFUNCTION("GOOGLETRANSLATE(B1130:B5064,""en"",""fr"")"),"changement")</f>
        <v>changement</v>
      </c>
    </row>
    <row r="1131" ht="19.5" customHeight="1">
      <c r="A1131" s="26" t="s">
        <v>3044</v>
      </c>
      <c r="B1131" s="27" t="s">
        <v>3045</v>
      </c>
      <c r="C1131" s="28" t="s">
        <v>178</v>
      </c>
      <c r="D1131" s="29">
        <v>331.0</v>
      </c>
      <c r="E1131" s="28" t="s">
        <v>3046</v>
      </c>
      <c r="F1131" s="7" t="str">
        <f>IFERROR(__xludf.DUMMYFUNCTION("GOOGLETRANSLATE(B1131:B5064,""en"",""fr"")"),"conducteur")</f>
        <v>conducteur</v>
      </c>
    </row>
    <row r="1132" ht="19.5" customHeight="1">
      <c r="A1132" s="26" t="s">
        <v>3047</v>
      </c>
      <c r="B1132" s="27" t="s">
        <v>3048</v>
      </c>
      <c r="C1132" s="28" t="s">
        <v>178</v>
      </c>
      <c r="D1132" s="29">
        <v>331.0</v>
      </c>
      <c r="E1132" s="28" t="s">
        <v>3049</v>
      </c>
      <c r="F1132" s="7" t="str">
        <f>IFERROR(__xludf.DUMMYFUNCTION("GOOGLETRANSLATE(B1132:B5064,""en"",""fr"")"),"roue")</f>
        <v>roue</v>
      </c>
    </row>
    <row r="1133" ht="19.5" customHeight="1">
      <c r="A1133" s="26" t="s">
        <v>3050</v>
      </c>
      <c r="B1133" s="27" t="s">
        <v>3051</v>
      </c>
      <c r="C1133" s="28" t="s">
        <v>32</v>
      </c>
      <c r="D1133" s="29">
        <v>329.0</v>
      </c>
      <c r="E1133" s="28" t="s">
        <v>3052</v>
      </c>
      <c r="F1133" s="7" t="str">
        <f>IFERROR(__xludf.DUMMYFUNCTION("GOOGLETRANSLATE(B1133:B5064,""en"",""fr"")"),"décharge")</f>
        <v>décharge</v>
      </c>
    </row>
    <row r="1134" ht="19.5" customHeight="1">
      <c r="A1134" s="26" t="s">
        <v>3053</v>
      </c>
      <c r="B1134" s="27" t="s">
        <v>3054</v>
      </c>
      <c r="C1134" s="28" t="s">
        <v>150</v>
      </c>
      <c r="D1134" s="29">
        <v>329.0</v>
      </c>
      <c r="E1134" s="28" t="s">
        <v>3054</v>
      </c>
      <c r="F1134" s="7" t="str">
        <f>IFERROR(__xludf.DUMMYFUNCTION("GOOGLETRANSLATE(B1134:B5064,""en"",""fr"")"),"cinq cents")</f>
        <v>cinq cents</v>
      </c>
    </row>
    <row r="1135" ht="19.5" customHeight="1">
      <c r="A1135" s="26" t="s">
        <v>3055</v>
      </c>
      <c r="B1135" s="27" t="s">
        <v>3056</v>
      </c>
      <c r="C1135" s="28" t="s">
        <v>178</v>
      </c>
      <c r="D1135" s="29">
        <v>329.0</v>
      </c>
      <c r="E1135" s="28" t="s">
        <v>3057</v>
      </c>
      <c r="F1135" s="7" t="str">
        <f>IFERROR(__xludf.DUMMYFUNCTION("GOOGLETRANSLATE(B1135:B5064,""en"",""fr"")"),"membre")</f>
        <v>membre</v>
      </c>
    </row>
    <row r="1136" ht="19.5" customHeight="1">
      <c r="A1136" s="26" t="s">
        <v>3058</v>
      </c>
      <c r="B1136" s="27" t="s">
        <v>3059</v>
      </c>
      <c r="C1136" s="28" t="s">
        <v>85</v>
      </c>
      <c r="D1136" s="29">
        <v>329.0</v>
      </c>
      <c r="E1136" s="28" t="s">
        <v>3059</v>
      </c>
      <c r="F1136" s="7" t="str">
        <f>IFERROR(__xludf.DUMMYFUNCTION("GOOGLETRANSLATE(B1136:B5064,""en"",""fr"")"),"toi")</f>
        <v>toi</v>
      </c>
    </row>
    <row r="1137" ht="19.5" customHeight="1">
      <c r="A1137" s="26" t="s">
        <v>3060</v>
      </c>
      <c r="B1137" s="27" t="s">
        <v>3061</v>
      </c>
      <c r="C1137" s="28" t="s">
        <v>32</v>
      </c>
      <c r="D1137" s="29">
        <v>328.0</v>
      </c>
      <c r="E1137" s="28" t="s">
        <v>3062</v>
      </c>
      <c r="F1137" s="7" t="str">
        <f>IFERROR(__xludf.DUMMYFUNCTION("GOOGLETRANSLATE(B1137:B5064,""en"",""fr"")"),"ajouter")</f>
        <v>ajouter</v>
      </c>
    </row>
    <row r="1138" ht="19.5" customHeight="1">
      <c r="A1138" s="26" t="s">
        <v>3063</v>
      </c>
      <c r="B1138" s="27" t="s">
        <v>3064</v>
      </c>
      <c r="C1138" s="28" t="s">
        <v>32</v>
      </c>
      <c r="D1138" s="29">
        <v>328.0</v>
      </c>
      <c r="E1138" s="28" t="s">
        <v>3065</v>
      </c>
      <c r="F1138" s="7" t="str">
        <f>IFERROR(__xludf.DUMMYFUNCTION("GOOGLETRANSLATE(B1138:B5064,""en"",""fr"")"),"embrouiller")</f>
        <v>embrouiller</v>
      </c>
    </row>
    <row r="1139" ht="19.5" customHeight="1">
      <c r="A1139" s="26" t="s">
        <v>3066</v>
      </c>
      <c r="B1139" s="27" t="s">
        <v>3067</v>
      </c>
      <c r="C1139" s="28" t="s">
        <v>178</v>
      </c>
      <c r="D1139" s="29">
        <v>328.0</v>
      </c>
      <c r="E1139" s="28" t="s">
        <v>3068</v>
      </c>
      <c r="F1139" s="7" t="str">
        <f>IFERROR(__xludf.DUMMYFUNCTION("GOOGLETRANSLATE(B1139:B5064,""en"",""fr"")"),"formulaire")</f>
        <v>formulaire</v>
      </c>
    </row>
    <row r="1140" ht="19.5" customHeight="1">
      <c r="A1140" s="26" t="s">
        <v>3069</v>
      </c>
      <c r="B1140" s="27" t="s">
        <v>3070</v>
      </c>
      <c r="C1140" s="28" t="s">
        <v>178</v>
      </c>
      <c r="D1140" s="29">
        <v>328.0</v>
      </c>
      <c r="E1140" s="28" t="s">
        <v>3071</v>
      </c>
      <c r="F1140" s="7" t="str">
        <f>IFERROR(__xludf.DUMMYFUNCTION("GOOGLETRANSLATE(B1140:B5064,""en"",""fr"")"),"gouvernement")</f>
        <v>gouvernement</v>
      </c>
    </row>
    <row r="1141" ht="19.5" customHeight="1">
      <c r="A1141" s="26" t="s">
        <v>3072</v>
      </c>
      <c r="B1141" s="27" t="s">
        <v>3073</v>
      </c>
      <c r="C1141" s="28" t="s">
        <v>728</v>
      </c>
      <c r="D1141" s="29">
        <v>328.0</v>
      </c>
      <c r="E1141" s="28" t="s">
        <v>3074</v>
      </c>
      <c r="F1141" s="7" t="str">
        <f>IFERROR(__xludf.DUMMYFUNCTION("GOOGLETRANSLATE(B1141:B5064,""en"",""fr"")"),"Dimanche")</f>
        <v>Dimanche</v>
      </c>
    </row>
    <row r="1142" ht="19.5" customHeight="1">
      <c r="A1142" s="26" t="s">
        <v>3075</v>
      </c>
      <c r="B1142" s="27" t="s">
        <v>1393</v>
      </c>
      <c r="C1142" s="28" t="s">
        <v>178</v>
      </c>
      <c r="D1142" s="29">
        <v>327.0</v>
      </c>
      <c r="E1142" s="28" t="s">
        <v>3076</v>
      </c>
      <c r="F1142" s="7" t="str">
        <f>IFERROR(__xludf.DUMMYFUNCTION("GOOGLETRANSLATE(B1142:B5064,""en"",""fr"")"),"commande")</f>
        <v>commande</v>
      </c>
    </row>
    <row r="1143" ht="19.5" customHeight="1">
      <c r="A1143" s="26" t="s">
        <v>3077</v>
      </c>
      <c r="B1143" s="27" t="s">
        <v>3078</v>
      </c>
      <c r="C1143" s="28" t="s">
        <v>32</v>
      </c>
      <c r="D1143" s="29">
        <v>326.0</v>
      </c>
      <c r="E1143" s="28" t="s">
        <v>3079</v>
      </c>
      <c r="F1143" s="7" t="str">
        <f>IFERROR(__xludf.DUMMYFUNCTION("GOOGLETRANSLATE(B1143:B5064,""en"",""fr"")"),"continuer")</f>
        <v>continuer</v>
      </c>
    </row>
    <row r="1144" ht="19.5" customHeight="1">
      <c r="A1144" s="26" t="s">
        <v>3080</v>
      </c>
      <c r="B1144" s="27" t="s">
        <v>3081</v>
      </c>
      <c r="C1144" s="28" t="s">
        <v>178</v>
      </c>
      <c r="D1144" s="29">
        <v>326.0</v>
      </c>
      <c r="E1144" s="28" t="s">
        <v>3082</v>
      </c>
      <c r="F1144" s="7" t="str">
        <f>IFERROR(__xludf.DUMMYFUNCTION("GOOGLETRANSLATE(B1144:B5064,""en"",""fr"")"),"événement")</f>
        <v>événement</v>
      </c>
    </row>
    <row r="1145" ht="19.5" customHeight="1">
      <c r="A1145" s="26" t="s">
        <v>3083</v>
      </c>
      <c r="B1145" s="27" t="s">
        <v>3084</v>
      </c>
      <c r="C1145" s="28" t="s">
        <v>134</v>
      </c>
      <c r="D1145" s="29">
        <v>326.0</v>
      </c>
      <c r="E1145" s="28" t="s">
        <v>3085</v>
      </c>
      <c r="F1145" s="7" t="str">
        <f>IFERROR(__xludf.DUMMYFUNCTION("GOOGLETRANSLATE(B1145:B5064,""en"",""fr"")"),"calme")</f>
        <v>calme</v>
      </c>
    </row>
    <row r="1146" ht="19.5" customHeight="1">
      <c r="A1146" s="26" t="s">
        <v>3086</v>
      </c>
      <c r="B1146" s="27" t="s">
        <v>3087</v>
      </c>
      <c r="C1146" s="28" t="s">
        <v>134</v>
      </c>
      <c r="D1146" s="29">
        <v>326.0</v>
      </c>
      <c r="E1146" s="28" t="s">
        <v>3088</v>
      </c>
      <c r="F1146" s="7" t="str">
        <f>IFERROR(__xludf.DUMMYFUNCTION("GOOGLETRANSLATE(B1146:B5064,""en"",""fr"")"),"faible")</f>
        <v>faible</v>
      </c>
    </row>
    <row r="1147" ht="19.5" customHeight="1">
      <c r="A1147" s="26" t="s">
        <v>3089</v>
      </c>
      <c r="B1147" s="27" t="s">
        <v>3090</v>
      </c>
      <c r="C1147" s="28" t="s">
        <v>178</v>
      </c>
      <c r="D1147" s="29">
        <v>325.0</v>
      </c>
      <c r="E1147" s="28" t="s">
        <v>3091</v>
      </c>
      <c r="F1147" s="7" t="str">
        <f>IFERROR(__xludf.DUMMYFUNCTION("GOOGLETRANSLATE(B1147:B5064,""en"",""fr"")"),"couleur")</f>
        <v>couleur</v>
      </c>
    </row>
    <row r="1148" ht="19.5" customHeight="1">
      <c r="A1148" s="26" t="s">
        <v>3092</v>
      </c>
      <c r="B1148" s="27" t="s">
        <v>3093</v>
      </c>
      <c r="C1148" s="28" t="s">
        <v>728</v>
      </c>
      <c r="D1148" s="29">
        <v>325.0</v>
      </c>
      <c r="E1148" s="28" t="s">
        <v>3093</v>
      </c>
      <c r="F1148" s="7" t="str">
        <f>IFERROR(__xludf.DUMMYFUNCTION("GOOGLETRANSLATE(B1148:B5064,""en"",""fr"")"),"juif")</f>
        <v>juif</v>
      </c>
    </row>
    <row r="1149" ht="19.5" customHeight="1">
      <c r="A1149" s="26" t="s">
        <v>3094</v>
      </c>
      <c r="B1149" s="27" t="s">
        <v>3095</v>
      </c>
      <c r="C1149" s="28" t="s">
        <v>85</v>
      </c>
      <c r="D1149" s="29">
        <v>323.0</v>
      </c>
      <c r="E1149" s="28" t="s">
        <v>3095</v>
      </c>
      <c r="F1149" s="7" t="str">
        <f>IFERROR(__xludf.DUMMYFUNCTION("GOOGLETRANSLATE(B1149:B5064,""en"",""fr"")"),"non")</f>
        <v>non</v>
      </c>
    </row>
    <row r="1150" ht="19.5" customHeight="1">
      <c r="A1150" s="26" t="s">
        <v>3096</v>
      </c>
      <c r="B1150" s="27" t="s">
        <v>3097</v>
      </c>
      <c r="C1150" s="28" t="s">
        <v>178</v>
      </c>
      <c r="D1150" s="29">
        <v>323.0</v>
      </c>
      <c r="E1150" s="28" t="s">
        <v>3098</v>
      </c>
      <c r="F1150" s="7" t="str">
        <f>IFERROR(__xludf.DUMMYFUNCTION("GOOGLETRANSLATE(B1150:B5064,""en"",""fr"")"),"sein")</f>
        <v>sein</v>
      </c>
    </row>
    <row r="1151" ht="19.5" customHeight="1">
      <c r="A1151" s="26" t="s">
        <v>3099</v>
      </c>
      <c r="B1151" s="27" t="s">
        <v>3100</v>
      </c>
      <c r="C1151" s="28" t="s">
        <v>178</v>
      </c>
      <c r="D1151" s="29">
        <v>322.0</v>
      </c>
      <c r="E1151" s="28" t="s">
        <v>3101</v>
      </c>
      <c r="F1151" s="7" t="str">
        <f>IFERROR(__xludf.DUMMYFUNCTION("GOOGLETRANSLATE(B1151:B5064,""en"",""fr"")"),"banque")</f>
        <v>banque</v>
      </c>
    </row>
    <row r="1152" ht="19.5" customHeight="1">
      <c r="A1152" s="26" t="s">
        <v>3102</v>
      </c>
      <c r="B1152" s="27" t="s">
        <v>3103</v>
      </c>
      <c r="C1152" s="28" t="s">
        <v>178</v>
      </c>
      <c r="D1152" s="29">
        <v>322.0</v>
      </c>
      <c r="E1152" s="28" t="s">
        <v>3104</v>
      </c>
      <c r="F1152" s="7" t="str">
        <f>IFERROR(__xludf.DUMMYFUNCTION("GOOGLETRANSLATE(B1152:B5064,""en"",""fr"")"),"parking")</f>
        <v>parking</v>
      </c>
    </row>
    <row r="1153" ht="19.5" customHeight="1">
      <c r="A1153" s="26" t="s">
        <v>3105</v>
      </c>
      <c r="B1153" s="27" t="s">
        <v>1588</v>
      </c>
      <c r="C1153" s="28" t="s">
        <v>178</v>
      </c>
      <c r="D1153" s="29">
        <v>322.0</v>
      </c>
      <c r="E1153" s="28" t="s">
        <v>3106</v>
      </c>
      <c r="F1153" s="7" t="str">
        <f>IFERROR(__xludf.DUMMYFUNCTION("GOOGLETRANSLATE(B1153:B5064,""en"",""fr"")"),"monter")</f>
        <v>monter</v>
      </c>
    </row>
    <row r="1154" ht="19.5" customHeight="1">
      <c r="A1154" s="26" t="s">
        <v>3107</v>
      </c>
      <c r="B1154" s="27" t="s">
        <v>3108</v>
      </c>
      <c r="C1154" s="28" t="s">
        <v>134</v>
      </c>
      <c r="D1154" s="29">
        <v>322.0</v>
      </c>
      <c r="E1154" s="28" t="s">
        <v>3109</v>
      </c>
      <c r="F1154" s="7" t="str">
        <f>IFERROR(__xludf.DUMMYFUNCTION("GOOGLETRANSLATE(B1154:B5064,""en"",""fr"")"),"sauvage")</f>
        <v>sauvage</v>
      </c>
    </row>
    <row r="1155" ht="19.5" customHeight="1">
      <c r="A1155" s="26" t="s">
        <v>3110</v>
      </c>
      <c r="B1155" s="27" t="s">
        <v>3111</v>
      </c>
      <c r="C1155" s="28" t="s">
        <v>178</v>
      </c>
      <c r="D1155" s="29">
        <v>321.0</v>
      </c>
      <c r="E1155" s="28" t="s">
        <v>3112</v>
      </c>
      <c r="F1155" s="7" t="str">
        <f>IFERROR(__xludf.DUMMYFUNCTION("GOOGLETRANSLATE(B1155:B5064,""en"",""fr"")"),"dinde")</f>
        <v>dinde</v>
      </c>
    </row>
    <row r="1156" ht="19.5" customHeight="1">
      <c r="A1156" s="26" t="s">
        <v>3113</v>
      </c>
      <c r="B1156" s="27" t="s">
        <v>3114</v>
      </c>
      <c r="C1156" s="28" t="s">
        <v>85</v>
      </c>
      <c r="D1156" s="29">
        <v>319.0</v>
      </c>
      <c r="E1156" s="28" t="s">
        <v>3114</v>
      </c>
      <c r="F1156" s="7" t="str">
        <f>IFERROR(__xludf.DUMMYFUNCTION("GOOGLETRANSLATE(B1156:B5064,""en"",""fr"")"),"blabla")</f>
        <v>blabla</v>
      </c>
    </row>
    <row r="1157" ht="19.5" customHeight="1">
      <c r="A1157" s="26" t="s">
        <v>3115</v>
      </c>
      <c r="B1157" s="27" t="s">
        <v>3116</v>
      </c>
      <c r="C1157" s="28" t="s">
        <v>178</v>
      </c>
      <c r="D1157" s="29">
        <v>319.0</v>
      </c>
      <c r="E1157" s="28" t="s">
        <v>3117</v>
      </c>
      <c r="F1157" s="7" t="str">
        <f>IFERROR(__xludf.DUMMYFUNCTION("GOOGLETRANSLATE(B1157:B5064,""en"",""fr"")"),"pensée")</f>
        <v>pensée</v>
      </c>
    </row>
    <row r="1158" ht="19.5" customHeight="1">
      <c r="A1158" s="26" t="s">
        <v>3118</v>
      </c>
      <c r="B1158" s="27" t="s">
        <v>3119</v>
      </c>
      <c r="C1158" s="28" t="s">
        <v>134</v>
      </c>
      <c r="D1158" s="29">
        <v>318.0</v>
      </c>
      <c r="E1158" s="28" t="s">
        <v>3119</v>
      </c>
      <c r="F1158" s="7" t="str">
        <f>IFERROR(__xludf.DUMMYFUNCTION("GOOGLETRANSLATE(B1158:B5064,""en"",""fr"")"),"célèbre")</f>
        <v>célèbre</v>
      </c>
    </row>
    <row r="1159" ht="19.5" customHeight="1">
      <c r="A1159" s="26" t="s">
        <v>3120</v>
      </c>
      <c r="B1159" s="27" t="s">
        <v>3121</v>
      </c>
      <c r="C1159" s="28" t="s">
        <v>178</v>
      </c>
      <c r="D1159" s="29">
        <v>318.0</v>
      </c>
      <c r="E1159" s="28" t="s">
        <v>3122</v>
      </c>
      <c r="F1159" s="7" t="str">
        <f>IFERROR(__xludf.DUMMYFUNCTION("GOOGLETRANSLATE(B1159:B5064,""en"",""fr"")"),"or")</f>
        <v>or</v>
      </c>
    </row>
    <row r="1160" ht="19.5" customHeight="1">
      <c r="A1160" s="26" t="s">
        <v>3123</v>
      </c>
      <c r="B1160" s="27" t="s">
        <v>3124</v>
      </c>
      <c r="C1160" s="28" t="s">
        <v>178</v>
      </c>
      <c r="D1160" s="29">
        <v>318.0</v>
      </c>
      <c r="E1160" s="28" t="s">
        <v>3125</v>
      </c>
      <c r="F1160" s="7" t="str">
        <f>IFERROR(__xludf.DUMMYFUNCTION("GOOGLETRANSLATE(B1160:B5064,""en"",""fr"")"),"livre")</f>
        <v>livre</v>
      </c>
    </row>
    <row r="1161" ht="19.5" customHeight="1">
      <c r="A1161" s="26" t="s">
        <v>3126</v>
      </c>
      <c r="B1161" s="27" t="s">
        <v>3127</v>
      </c>
      <c r="C1161" s="28" t="s">
        <v>178</v>
      </c>
      <c r="D1161" s="29">
        <v>318.0</v>
      </c>
      <c r="E1161" s="28" t="s">
        <v>3128</v>
      </c>
      <c r="F1161" s="7" t="str">
        <f>IFERROR(__xludf.DUMMYFUNCTION("GOOGLETRANSLATE(B1161:B5064,""en"",""fr"")"),"peau")</f>
        <v>peau</v>
      </c>
    </row>
    <row r="1162" ht="19.5" customHeight="1">
      <c r="A1162" s="26" t="s">
        <v>3129</v>
      </c>
      <c r="B1162" s="27" t="s">
        <v>3130</v>
      </c>
      <c r="C1162" s="28" t="s">
        <v>150</v>
      </c>
      <c r="D1162" s="29">
        <v>317.0</v>
      </c>
      <c r="E1162" s="28" t="s">
        <v>3130</v>
      </c>
      <c r="F1162" s="7" t="str">
        <f>IFERROR(__xludf.DUMMYFUNCTION("GOOGLETRANSLATE(B1162:B5064,""en"",""fr"")"),"cent")</f>
        <v>cent</v>
      </c>
    </row>
    <row r="1163" ht="19.5" customHeight="1">
      <c r="A1163" s="26" t="s">
        <v>3131</v>
      </c>
      <c r="B1163" s="27" t="s">
        <v>3132</v>
      </c>
      <c r="C1163" s="28" t="s">
        <v>178</v>
      </c>
      <c r="D1163" s="29">
        <v>317.0</v>
      </c>
      <c r="E1163" s="28" t="s">
        <v>3133</v>
      </c>
      <c r="F1163" s="7" t="str">
        <f>IFERROR(__xludf.DUMMYFUNCTION("GOOGLETRANSLATE(B1163:B5064,""en"",""fr"")"),"rat")</f>
        <v>rat</v>
      </c>
    </row>
    <row r="1164" ht="19.5" customHeight="1">
      <c r="A1164" s="26" t="s">
        <v>3134</v>
      </c>
      <c r="B1164" s="27" t="s">
        <v>3135</v>
      </c>
      <c r="C1164" s="28" t="s">
        <v>32</v>
      </c>
      <c r="D1164" s="29">
        <v>317.0</v>
      </c>
      <c r="E1164" s="28" t="s">
        <v>3136</v>
      </c>
      <c r="F1164" s="7" t="str">
        <f>IFERROR(__xludf.DUMMYFUNCTION("GOOGLETRANSLATE(B1164:B5064,""en"",""fr"")"),"changer")</f>
        <v>changer</v>
      </c>
    </row>
    <row r="1165" ht="19.5" customHeight="1">
      <c r="A1165" s="26" t="s">
        <v>3137</v>
      </c>
      <c r="B1165" s="27" t="s">
        <v>3138</v>
      </c>
      <c r="C1165" s="28" t="s">
        <v>178</v>
      </c>
      <c r="D1165" s="29">
        <v>317.0</v>
      </c>
      <c r="E1165" s="28" t="s">
        <v>3139</v>
      </c>
      <c r="F1165" s="7" t="str">
        <f>IFERROR(__xludf.DUMMYFUNCTION("GOOGLETRANSLATE(B1165:B5064,""en"",""fr"")"),"cravate")</f>
        <v>cravate</v>
      </c>
    </row>
    <row r="1166" ht="19.5" customHeight="1">
      <c r="A1166" s="26" t="s">
        <v>3140</v>
      </c>
      <c r="B1166" s="27" t="s">
        <v>3141</v>
      </c>
      <c r="C1166" s="28" t="s">
        <v>178</v>
      </c>
      <c r="D1166" s="29">
        <v>316.0</v>
      </c>
      <c r="E1166" s="28" t="s">
        <v>3142</v>
      </c>
      <c r="F1166" s="7" t="str">
        <f>IFERROR(__xludf.DUMMYFUNCTION("GOOGLETRANSLATE(B1166:B5064,""en"",""fr"")"),"carrière")</f>
        <v>carrière</v>
      </c>
    </row>
    <row r="1167" ht="19.5" customHeight="1">
      <c r="A1167" s="26" t="s">
        <v>3143</v>
      </c>
      <c r="B1167" s="27" t="s">
        <v>3144</v>
      </c>
      <c r="C1167" s="28" t="s">
        <v>178</v>
      </c>
      <c r="D1167" s="29">
        <v>316.0</v>
      </c>
      <c r="E1167" s="28" t="s">
        <v>3145</v>
      </c>
      <c r="F1167" s="7" t="str">
        <f>IFERROR(__xludf.DUMMYFUNCTION("GOOGLETRANSLATE(B1167:B5064,""en"",""fr"")"),"jus")</f>
        <v>jus</v>
      </c>
    </row>
    <row r="1168" ht="19.5" customHeight="1">
      <c r="A1168" s="26" t="s">
        <v>3146</v>
      </c>
      <c r="B1168" s="27" t="s">
        <v>164</v>
      </c>
      <c r="C1168" s="28" t="s">
        <v>36</v>
      </c>
      <c r="D1168" s="29">
        <v>316.0</v>
      </c>
      <c r="E1168" s="28" t="s">
        <v>164</v>
      </c>
      <c r="F1168" s="7" t="str">
        <f>IFERROR(__xludf.DUMMYFUNCTION("GOOGLETRANSLATE(B1168:B5064,""en"",""fr"")"),"comme")</f>
        <v>comme</v>
      </c>
    </row>
    <row r="1169" ht="19.5" customHeight="1">
      <c r="A1169" s="26" t="s">
        <v>3147</v>
      </c>
      <c r="B1169" s="27" t="s">
        <v>3148</v>
      </c>
      <c r="C1169" s="28" t="s">
        <v>32</v>
      </c>
      <c r="D1169" s="29">
        <v>316.0</v>
      </c>
      <c r="E1169" s="28" t="s">
        <v>3149</v>
      </c>
      <c r="F1169" s="7" t="str">
        <f>IFERROR(__xludf.DUMMYFUNCTION("GOOGLETRANSLATE(B1169:B5064,""en"",""fr"")"),"protéger")</f>
        <v>protéger</v>
      </c>
    </row>
    <row r="1170" ht="19.5" customHeight="1">
      <c r="A1170" s="26" t="s">
        <v>3150</v>
      </c>
      <c r="B1170" s="27" t="s">
        <v>3151</v>
      </c>
      <c r="C1170" s="28" t="s">
        <v>178</v>
      </c>
      <c r="D1170" s="29">
        <v>316.0</v>
      </c>
      <c r="E1170" s="28" t="s">
        <v>3152</v>
      </c>
      <c r="F1170" s="7" t="str">
        <f>IFERROR(__xludf.DUMMYFUNCTION("GOOGLETRANSLATE(B1170:B5064,""en"",""fr"")"),"honte")</f>
        <v>honte</v>
      </c>
    </row>
    <row r="1171" ht="19.5" customHeight="1">
      <c r="A1171" s="26" t="s">
        <v>3153</v>
      </c>
      <c r="B1171" s="27" t="s">
        <v>3154</v>
      </c>
      <c r="C1171" s="28" t="s">
        <v>178</v>
      </c>
      <c r="D1171" s="29">
        <v>315.0</v>
      </c>
      <c r="E1171" s="28" t="s">
        <v>3155</v>
      </c>
      <c r="F1171" s="7" t="str">
        <f>IFERROR(__xludf.DUMMYFUNCTION("GOOGLETRANSLATE(B1171:B5064,""en"",""fr"")"),"bas")</f>
        <v>bas</v>
      </c>
    </row>
    <row r="1172" ht="19.5" customHeight="1">
      <c r="A1172" s="26" t="s">
        <v>3156</v>
      </c>
      <c r="B1172" s="27" t="s">
        <v>3157</v>
      </c>
      <c r="C1172" s="28" t="s">
        <v>32</v>
      </c>
      <c r="D1172" s="29">
        <v>315.0</v>
      </c>
      <c r="E1172" s="28" t="s">
        <v>3158</v>
      </c>
      <c r="F1172" s="7" t="str">
        <f>IFERROR(__xludf.DUMMYFUNCTION("GOOGLETRANSLATE(B1172:B5064,""en"",""fr"")"),"respect")</f>
        <v>respect</v>
      </c>
    </row>
    <row r="1173" ht="19.5" customHeight="1">
      <c r="A1173" s="26" t="s">
        <v>3159</v>
      </c>
      <c r="B1173" s="27" t="s">
        <v>3160</v>
      </c>
      <c r="C1173" s="28" t="s">
        <v>178</v>
      </c>
      <c r="D1173" s="29">
        <v>315.0</v>
      </c>
      <c r="E1173" s="28" t="s">
        <v>3161</v>
      </c>
      <c r="F1173" s="7" t="str">
        <f>IFERROR(__xludf.DUMMYFUNCTION("GOOGLETRANSLATE(B1173:B5064,""en"",""fr"")"),"sous-vêtement")</f>
        <v>sous-vêtement</v>
      </c>
    </row>
    <row r="1174" ht="19.5" customHeight="1">
      <c r="A1174" s="26" t="s">
        <v>3162</v>
      </c>
      <c r="B1174" s="27" t="s">
        <v>3163</v>
      </c>
      <c r="C1174" s="28" t="s">
        <v>728</v>
      </c>
      <c r="D1174" s="29">
        <v>315.0</v>
      </c>
      <c r="E1174" s="28" t="s">
        <v>3163</v>
      </c>
      <c r="F1174" s="7" t="str">
        <f>IFERROR(__xludf.DUMMYFUNCTION("GOOGLETRANSLATE(B1174:B5064,""en"",""fr"")"),"Indien")</f>
        <v>Indien</v>
      </c>
    </row>
    <row r="1175" ht="19.5" customHeight="1">
      <c r="A1175" s="26" t="s">
        <v>3164</v>
      </c>
      <c r="B1175" s="27" t="s">
        <v>3165</v>
      </c>
      <c r="C1175" s="28" t="s">
        <v>178</v>
      </c>
      <c r="D1175" s="29">
        <v>312.0</v>
      </c>
      <c r="E1175" s="28" t="s">
        <v>3166</v>
      </c>
      <c r="F1175" s="7" t="str">
        <f>IFERROR(__xludf.DUMMYFUNCTION("GOOGLETRANSLATE(B1175:B5064,""en"",""fr"")"),"placard")</f>
        <v>placard</v>
      </c>
    </row>
    <row r="1176" ht="19.5" customHeight="1">
      <c r="A1176" s="26" t="s">
        <v>3167</v>
      </c>
      <c r="B1176" s="27" t="s">
        <v>3168</v>
      </c>
      <c r="C1176" s="28" t="s">
        <v>178</v>
      </c>
      <c r="D1176" s="29">
        <v>312.0</v>
      </c>
      <c r="E1176" s="28" t="s">
        <v>3169</v>
      </c>
      <c r="F1176" s="7" t="str">
        <f>IFERROR(__xludf.DUMMYFUNCTION("GOOGLETRANSLATE(B1176:B5064,""en"",""fr"")"),"réunion")</f>
        <v>réunion</v>
      </c>
    </row>
    <row r="1177" ht="19.5" customHeight="1">
      <c r="A1177" s="26" t="s">
        <v>3170</v>
      </c>
      <c r="B1177" s="27" t="s">
        <v>3171</v>
      </c>
      <c r="C1177" s="28" t="s">
        <v>178</v>
      </c>
      <c r="D1177" s="29">
        <v>312.0</v>
      </c>
      <c r="E1177" s="28" t="s">
        <v>3172</v>
      </c>
      <c r="F1177" s="7" t="str">
        <f>IFERROR(__xludf.DUMMYFUNCTION("GOOGLETRANSLATE(B1177:B5064,""en"",""fr"")"),"soleil")</f>
        <v>soleil</v>
      </c>
    </row>
    <row r="1178" ht="19.5" customHeight="1">
      <c r="A1178" s="26" t="s">
        <v>3173</v>
      </c>
      <c r="B1178" s="27" t="s">
        <v>3174</v>
      </c>
      <c r="C1178" s="28" t="s">
        <v>32</v>
      </c>
      <c r="D1178" s="29">
        <v>311.0</v>
      </c>
      <c r="E1178" s="28" t="s">
        <v>3175</v>
      </c>
      <c r="F1178" s="7" t="str">
        <f>IFERROR(__xludf.DUMMYFUNCTION("GOOGLETRANSLATE(B1178:B5064,""en"",""fr"")"),"permettre")</f>
        <v>permettre</v>
      </c>
    </row>
    <row r="1179" ht="19.5" customHeight="1">
      <c r="A1179" s="26" t="s">
        <v>3176</v>
      </c>
      <c r="B1179" s="27" t="s">
        <v>3177</v>
      </c>
      <c r="C1179" s="28" t="s">
        <v>134</v>
      </c>
      <c r="D1179" s="29">
        <v>311.0</v>
      </c>
      <c r="E1179" s="28" t="s">
        <v>3178</v>
      </c>
      <c r="F1179" s="7" t="str">
        <f>IFERROR(__xludf.DUMMYFUNCTION("GOOGLETRANSLATE(B1179:B5064,""en"",""fr"")"),"chauve")</f>
        <v>chauve</v>
      </c>
    </row>
    <row r="1180" ht="19.5" customHeight="1">
      <c r="A1180" s="26" t="s">
        <v>3179</v>
      </c>
      <c r="B1180" s="27" t="s">
        <v>3180</v>
      </c>
      <c r="C1180" s="28" t="s">
        <v>32</v>
      </c>
      <c r="D1180" s="29">
        <v>311.0</v>
      </c>
      <c r="E1180" s="28" t="s">
        <v>3181</v>
      </c>
      <c r="F1180" s="7" t="str">
        <f>IFERROR(__xludf.DUMMYFUNCTION("GOOGLETRANSLATE(B1180:B5064,""en"",""fr"")"),"s'engager")</f>
        <v>s'engager</v>
      </c>
    </row>
    <row r="1181" ht="19.5" customHeight="1">
      <c r="A1181" s="26" t="s">
        <v>3182</v>
      </c>
      <c r="B1181" s="27" t="s">
        <v>3183</v>
      </c>
      <c r="C1181" s="28" t="s">
        <v>178</v>
      </c>
      <c r="D1181" s="29">
        <v>311.0</v>
      </c>
      <c r="E1181" s="28" t="s">
        <v>3184</v>
      </c>
      <c r="F1181" s="7" t="str">
        <f>IFERROR(__xludf.DUMMYFUNCTION("GOOGLETRANSLATE(B1181:B5064,""en"",""fr"")"),"usine")</f>
        <v>usine</v>
      </c>
    </row>
    <row r="1182" ht="19.5" customHeight="1">
      <c r="A1182" s="26" t="s">
        <v>3185</v>
      </c>
      <c r="B1182" s="27" t="s">
        <v>3186</v>
      </c>
      <c r="C1182" s="28" t="s">
        <v>178</v>
      </c>
      <c r="D1182" s="29">
        <v>311.0</v>
      </c>
      <c r="E1182" s="28" t="s">
        <v>3187</v>
      </c>
      <c r="F1182" s="7" t="str">
        <f>IFERROR(__xludf.DUMMYFUNCTION("GOOGLETRANSLATE(B1182:B5064,""en"",""fr"")"),"serviette")</f>
        <v>serviette</v>
      </c>
    </row>
    <row r="1183" ht="19.5" customHeight="1">
      <c r="A1183" s="26" t="s">
        <v>3188</v>
      </c>
      <c r="B1183" s="27" t="s">
        <v>3189</v>
      </c>
      <c r="C1183" s="28" t="s">
        <v>178</v>
      </c>
      <c r="D1183" s="29">
        <v>310.0</v>
      </c>
      <c r="E1183" s="28" t="s">
        <v>3190</v>
      </c>
      <c r="F1183" s="7" t="str">
        <f>IFERROR(__xludf.DUMMYFUNCTION("GOOGLETRANSLATE(B1183:B5064,""en"",""fr"")"),"centre commercial")</f>
        <v>centre commercial</v>
      </c>
    </row>
    <row r="1184" ht="19.5" customHeight="1">
      <c r="A1184" s="26" t="s">
        <v>3191</v>
      </c>
      <c r="B1184" s="27" t="s">
        <v>3192</v>
      </c>
      <c r="C1184" s="28" t="s">
        <v>134</v>
      </c>
      <c r="D1184" s="29">
        <v>310.0</v>
      </c>
      <c r="E1184" s="28" t="s">
        <v>3192</v>
      </c>
      <c r="F1184" s="7" t="str">
        <f>IFERROR(__xludf.DUMMYFUNCTION("GOOGLETRANSLATE(B1184:B5064,""en"",""fr"")"),"régulier")</f>
        <v>régulier</v>
      </c>
    </row>
    <row r="1185" ht="19.5" customHeight="1">
      <c r="A1185" s="26" t="s">
        <v>3193</v>
      </c>
      <c r="B1185" s="27" t="s">
        <v>3194</v>
      </c>
      <c r="C1185" s="28" t="s">
        <v>178</v>
      </c>
      <c r="D1185" s="29">
        <v>310.0</v>
      </c>
      <c r="E1185" s="28" t="s">
        <v>3195</v>
      </c>
      <c r="F1185" s="7" t="str">
        <f>IFERROR(__xludf.DUMMYFUNCTION("GOOGLETRANSLATE(B1185:B5064,""en"",""fr"")"),"os")</f>
        <v>os</v>
      </c>
    </row>
    <row r="1186" ht="19.5" customHeight="1">
      <c r="A1186" s="26" t="s">
        <v>3196</v>
      </c>
      <c r="B1186" s="27" t="s">
        <v>3197</v>
      </c>
      <c r="C1186" s="28" t="s">
        <v>32</v>
      </c>
      <c r="D1186" s="29">
        <v>308.0</v>
      </c>
      <c r="E1186" s="28" t="s">
        <v>3198</v>
      </c>
      <c r="F1186" s="7" t="str">
        <f>IFERROR(__xludf.DUMMYFUNCTION("GOOGLETRANSLATE(B1186:B5064,""en"",""fr"")"),"creuser")</f>
        <v>creuser</v>
      </c>
    </row>
    <row r="1187" ht="19.5" customHeight="1">
      <c r="A1187" s="26" t="s">
        <v>3199</v>
      </c>
      <c r="B1187" s="27" t="s">
        <v>3200</v>
      </c>
      <c r="C1187" s="28" t="s">
        <v>178</v>
      </c>
      <c r="D1187" s="29">
        <v>308.0</v>
      </c>
      <c r="E1187" s="28" t="s">
        <v>3201</v>
      </c>
      <c r="F1187" s="7" t="str">
        <f>IFERROR(__xludf.DUMMYFUNCTION("GOOGLETRANSLATE(B1187:B5064,""en"",""fr"")"),"peur")</f>
        <v>peur</v>
      </c>
    </row>
    <row r="1188" ht="19.5" customHeight="1">
      <c r="A1188" s="26" t="s">
        <v>3202</v>
      </c>
      <c r="B1188" s="27" t="s">
        <v>3203</v>
      </c>
      <c r="C1188" s="28" t="s">
        <v>178</v>
      </c>
      <c r="D1188" s="29">
        <v>306.0</v>
      </c>
      <c r="E1188" s="28" t="s">
        <v>3204</v>
      </c>
      <c r="F1188" s="7" t="str">
        <f>IFERROR(__xludf.DUMMYFUNCTION("GOOGLETRANSLATE(B1188:B5064,""en"",""fr"")"),"cancer")</f>
        <v>cancer</v>
      </c>
    </row>
    <row r="1189" ht="19.5" customHeight="1">
      <c r="A1189" s="26" t="s">
        <v>3205</v>
      </c>
      <c r="B1189" s="27" t="s">
        <v>3206</v>
      </c>
      <c r="C1189" s="28" t="s">
        <v>32</v>
      </c>
      <c r="D1189" s="29">
        <v>306.0</v>
      </c>
      <c r="E1189" s="28" t="s">
        <v>3207</v>
      </c>
      <c r="F1189" s="7" t="str">
        <f>IFERROR(__xludf.DUMMYFUNCTION("GOOGLETRANSLATE(B1189:B5064,""en"",""fr"")"),"discuter")</f>
        <v>discuter</v>
      </c>
    </row>
    <row r="1190" ht="19.5" customHeight="1">
      <c r="A1190" s="26" t="s">
        <v>3208</v>
      </c>
      <c r="B1190" s="27" t="s">
        <v>3209</v>
      </c>
      <c r="C1190" s="28" t="s">
        <v>134</v>
      </c>
      <c r="D1190" s="29">
        <v>306.0</v>
      </c>
      <c r="E1190" s="28" t="s">
        <v>3210</v>
      </c>
      <c r="F1190" s="7" t="str">
        <f>IFERROR(__xludf.DUMMYFUNCTION("GOOGLETRANSLATE(B1190:B5064,""en"",""fr"")"),"fantaisie")</f>
        <v>fantaisie</v>
      </c>
    </row>
    <row r="1191" ht="19.5" customHeight="1">
      <c r="A1191" s="26" t="s">
        <v>3211</v>
      </c>
      <c r="B1191" s="27" t="s">
        <v>2657</v>
      </c>
      <c r="C1191" s="28" t="s">
        <v>32</v>
      </c>
      <c r="D1191" s="29">
        <v>305.0</v>
      </c>
      <c r="E1191" s="28" t="s">
        <v>3212</v>
      </c>
      <c r="F1191" s="7" t="str">
        <f>IFERROR(__xludf.DUMMYFUNCTION("GOOGLETRANSLATE(B1191:B5064,""en"",""fr"")"),"contrôle")</f>
        <v>contrôle</v>
      </c>
    </row>
    <row r="1192" ht="19.5" customHeight="1">
      <c r="A1192" s="26" t="s">
        <v>3213</v>
      </c>
      <c r="B1192" s="27" t="s">
        <v>3214</v>
      </c>
      <c r="C1192" s="28" t="s">
        <v>178</v>
      </c>
      <c r="D1192" s="29">
        <v>305.0</v>
      </c>
      <c r="E1192" s="28" t="s">
        <v>3214</v>
      </c>
      <c r="F1192" s="7" t="str">
        <f>IFERROR(__xludf.DUMMYFUNCTION("GOOGLETRANSLATE(B1192:B5064,""en"",""fr"")"),"conseil")</f>
        <v>conseil</v>
      </c>
    </row>
    <row r="1193" ht="19.5" customHeight="1">
      <c r="A1193" s="26" t="s">
        <v>3215</v>
      </c>
      <c r="B1193" s="27" t="s">
        <v>3216</v>
      </c>
      <c r="C1193" s="28" t="s">
        <v>178</v>
      </c>
      <c r="D1193" s="29">
        <v>305.0</v>
      </c>
      <c r="E1193" s="28" t="s">
        <v>3217</v>
      </c>
      <c r="F1193" s="7" t="str">
        <f>IFERROR(__xludf.DUMMYFUNCTION("GOOGLETRANSLATE(B1193:B5064,""en"",""fr"")"),"centre")</f>
        <v>centre</v>
      </c>
    </row>
    <row r="1194" ht="19.5" customHeight="1">
      <c r="A1194" s="26" t="s">
        <v>3218</v>
      </c>
      <c r="B1194" s="27" t="s">
        <v>3219</v>
      </c>
      <c r="C1194" s="28" t="s">
        <v>178</v>
      </c>
      <c r="D1194" s="29">
        <v>304.0</v>
      </c>
      <c r="E1194" s="28" t="s">
        <v>3220</v>
      </c>
      <c r="F1194" s="7" t="str">
        <f>IFERROR(__xludf.DUMMYFUNCTION("GOOGLETRANSLATE(B1194:B5064,""en"",""fr"")"),"pomme")</f>
        <v>pomme</v>
      </c>
    </row>
    <row r="1195" ht="19.5" customHeight="1">
      <c r="A1195" s="26" t="s">
        <v>3221</v>
      </c>
      <c r="B1195" s="27" t="s">
        <v>3222</v>
      </c>
      <c r="C1195" s="28" t="s">
        <v>100</v>
      </c>
      <c r="D1195" s="29">
        <v>304.0</v>
      </c>
      <c r="E1195" s="28" t="s">
        <v>3222</v>
      </c>
      <c r="F1195" s="7" t="str">
        <f>IFERROR(__xludf.DUMMYFUNCTION("GOOGLETRANSLATE(B1195:B5064,""en"",""fr"")"),"partout")</f>
        <v>partout</v>
      </c>
    </row>
    <row r="1196" ht="19.5" customHeight="1">
      <c r="A1196" s="26" t="s">
        <v>3223</v>
      </c>
      <c r="B1196" s="27" t="s">
        <v>3224</v>
      </c>
      <c r="C1196" s="28" t="s">
        <v>178</v>
      </c>
      <c r="D1196" s="29">
        <v>304.0</v>
      </c>
      <c r="E1196" s="28" t="s">
        <v>3225</v>
      </c>
      <c r="F1196" s="7" t="str">
        <f>IFERROR(__xludf.DUMMYFUNCTION("GOOGLETRANSLATE(B1196:B5064,""en"",""fr"")"),"vacances")</f>
        <v>vacances</v>
      </c>
    </row>
    <row r="1197" ht="19.5" customHeight="1">
      <c r="A1197" s="26" t="s">
        <v>3226</v>
      </c>
      <c r="B1197" s="27" t="s">
        <v>3227</v>
      </c>
      <c r="C1197" s="28" t="s">
        <v>178</v>
      </c>
      <c r="D1197" s="29">
        <v>303.0</v>
      </c>
      <c r="E1197" s="28" t="s">
        <v>3227</v>
      </c>
      <c r="F1197" s="7" t="str">
        <f>IFERROR(__xludf.DUMMYFUNCTION("GOOGLETRANSLATE(B1197:B5064,""en"",""fr"")"),"espèces")</f>
        <v>espèces</v>
      </c>
    </row>
    <row r="1198" ht="19.5" customHeight="1">
      <c r="A1198" s="26" t="s">
        <v>3228</v>
      </c>
      <c r="B1198" s="27" t="s">
        <v>3229</v>
      </c>
      <c r="C1198" s="28" t="s">
        <v>134</v>
      </c>
      <c r="D1198" s="29">
        <v>303.0</v>
      </c>
      <c r="E1198" s="28" t="s">
        <v>3230</v>
      </c>
      <c r="F1198" s="7" t="str">
        <f>IFERROR(__xludf.DUMMYFUNCTION("GOOGLETRANSLATE(B1198:B5064,""en"",""fr"")"),"commun")</f>
        <v>commun</v>
      </c>
    </row>
    <row r="1199" ht="19.5" customHeight="1">
      <c r="A1199" s="26" t="s">
        <v>3231</v>
      </c>
      <c r="B1199" s="27" t="s">
        <v>3232</v>
      </c>
      <c r="C1199" s="28" t="s">
        <v>178</v>
      </c>
      <c r="D1199" s="29">
        <v>303.0</v>
      </c>
      <c r="E1199" s="28" t="s">
        <v>3233</v>
      </c>
      <c r="F1199" s="7" t="str">
        <f>IFERROR(__xludf.DUMMYFUNCTION("GOOGLETRANSLATE(B1199:B5064,""en"",""fr"")"),"écraser")</f>
        <v>écraser</v>
      </c>
    </row>
    <row r="1200" ht="19.5" customHeight="1">
      <c r="A1200" s="26" t="s">
        <v>3234</v>
      </c>
      <c r="B1200" s="27" t="s">
        <v>2994</v>
      </c>
      <c r="C1200" s="28" t="s">
        <v>178</v>
      </c>
      <c r="D1200" s="29">
        <v>303.0</v>
      </c>
      <c r="E1200" s="28" t="s">
        <v>3235</v>
      </c>
      <c r="F1200" s="7" t="str">
        <f>IFERROR(__xludf.DUMMYFUNCTION("GOOGLETRANSLATE(B1200:B5064,""en"",""fr"")"),"désordre")</f>
        <v>désordre</v>
      </c>
    </row>
    <row r="1201" ht="19.5" customHeight="1">
      <c r="A1201" s="26" t="s">
        <v>3236</v>
      </c>
      <c r="B1201" s="27" t="s">
        <v>3237</v>
      </c>
      <c r="C1201" s="28" t="s">
        <v>178</v>
      </c>
      <c r="D1201" s="29">
        <v>303.0</v>
      </c>
      <c r="E1201" s="28" t="s">
        <v>3237</v>
      </c>
      <c r="F1201" s="7" t="str">
        <f>IFERROR(__xludf.DUMMYFUNCTION("GOOGLETRANSLATE(B1201:B5064,""en"",""fr"")"),"paix")</f>
        <v>paix</v>
      </c>
    </row>
    <row r="1202" ht="19.5" customHeight="1">
      <c r="A1202" s="26" t="s">
        <v>3238</v>
      </c>
      <c r="B1202" s="27" t="s">
        <v>3239</v>
      </c>
      <c r="C1202" s="28" t="s">
        <v>32</v>
      </c>
      <c r="D1202" s="29">
        <v>303.0</v>
      </c>
      <c r="E1202" s="28" t="s">
        <v>3240</v>
      </c>
      <c r="F1202" s="7" t="str">
        <f>IFERROR(__xludf.DUMMYFUNCTION("GOOGLETRANSLATE(B1202:B5064,""en"",""fr"")"),"avertir")</f>
        <v>avertir</v>
      </c>
    </row>
    <row r="1203" ht="19.5" customHeight="1">
      <c r="A1203" s="26" t="s">
        <v>3241</v>
      </c>
      <c r="B1203" s="27" t="s">
        <v>1462</v>
      </c>
      <c r="C1203" s="28" t="s">
        <v>32</v>
      </c>
      <c r="D1203" s="29">
        <v>303.0</v>
      </c>
      <c r="E1203" s="28" t="s">
        <v>3242</v>
      </c>
      <c r="F1203" s="7" t="str">
        <f>IFERROR(__xludf.DUMMYFUNCTION("GOOGLETRANSLATE(B1203:B5064,""en"",""fr"")"),"accueillir")</f>
        <v>accueillir</v>
      </c>
    </row>
    <row r="1204" ht="19.5" customHeight="1">
      <c r="A1204" s="26" t="s">
        <v>3243</v>
      </c>
      <c r="B1204" s="27" t="s">
        <v>3244</v>
      </c>
      <c r="C1204" s="28" t="s">
        <v>178</v>
      </c>
      <c r="D1204" s="29">
        <v>302.0</v>
      </c>
      <c r="E1204" s="28" t="s">
        <v>3245</v>
      </c>
      <c r="F1204" s="7" t="str">
        <f>IFERROR(__xludf.DUMMYFUNCTION("GOOGLETRANSLATE(B1204:B5064,""en"",""fr"")"),"adulte")</f>
        <v>adulte</v>
      </c>
    </row>
    <row r="1205" ht="19.5" customHeight="1">
      <c r="A1205" s="26" t="s">
        <v>3246</v>
      </c>
      <c r="B1205" s="27" t="s">
        <v>3247</v>
      </c>
      <c r="C1205" s="28" t="s">
        <v>178</v>
      </c>
      <c r="D1205" s="29">
        <v>302.0</v>
      </c>
      <c r="E1205" s="28" t="s">
        <v>3248</v>
      </c>
      <c r="F1205" s="7" t="str">
        <f>IFERROR(__xludf.DUMMYFUNCTION("GOOGLETRANSLATE(B1205:B5064,""en"",""fr"")"),"bruit")</f>
        <v>bruit</v>
      </c>
    </row>
    <row r="1206" ht="19.5" customHeight="1">
      <c r="A1206" s="26" t="s">
        <v>3249</v>
      </c>
      <c r="B1206" s="27" t="s">
        <v>2614</v>
      </c>
      <c r="C1206" s="28" t="s">
        <v>32</v>
      </c>
      <c r="D1206" s="29">
        <v>302.0</v>
      </c>
      <c r="E1206" s="28" t="s">
        <v>3250</v>
      </c>
      <c r="F1206" s="7" t="str">
        <f>IFERROR(__xludf.DUMMYFUNCTION("GOOGLETRANSLATE(B1206:B5064,""en"",""fr"")"),"rocher")</f>
        <v>rocher</v>
      </c>
    </row>
    <row r="1207" ht="19.5" customHeight="1">
      <c r="A1207" s="26" t="s">
        <v>3251</v>
      </c>
      <c r="B1207" s="27" t="s">
        <v>3252</v>
      </c>
      <c r="C1207" s="28" t="s">
        <v>100</v>
      </c>
      <c r="D1207" s="29">
        <v>302.0</v>
      </c>
      <c r="E1207" s="28" t="s">
        <v>3252</v>
      </c>
      <c r="F1207" s="7" t="str">
        <f>IFERROR(__xludf.DUMMYFUNCTION("GOOGLETRANSLATE(B1207:B5064,""en"",""fr"")"),"super")</f>
        <v>super</v>
      </c>
    </row>
    <row r="1208" ht="19.5" customHeight="1">
      <c r="A1208" s="26" t="s">
        <v>3253</v>
      </c>
      <c r="B1208" s="27" t="s">
        <v>3254</v>
      </c>
      <c r="C1208" s="28" t="s">
        <v>178</v>
      </c>
      <c r="D1208" s="29">
        <v>301.0</v>
      </c>
      <c r="E1208" s="28" t="s">
        <v>3255</v>
      </c>
      <c r="F1208" s="7" t="str">
        <f>IFERROR(__xludf.DUMMYFUNCTION("GOOGLETRANSLATE(B1208:B5064,""en"",""fr"")"),"pain")</f>
        <v>pain</v>
      </c>
    </row>
    <row r="1209" ht="19.5" customHeight="1">
      <c r="A1209" s="26" t="s">
        <v>3256</v>
      </c>
      <c r="B1209" s="27" t="s">
        <v>3257</v>
      </c>
      <c r="C1209" s="28" t="s">
        <v>100</v>
      </c>
      <c r="D1209" s="29">
        <v>301.0</v>
      </c>
      <c r="E1209" s="28" t="s">
        <v>3257</v>
      </c>
      <c r="F1209" s="7" t="str">
        <f>IFERROR(__xludf.DUMMYFUNCTION("GOOGLETRANSLATE(B1209:B5064,""en"",""fr"")"),"putain de")</f>
        <v>putain de</v>
      </c>
    </row>
    <row r="1210" ht="19.5" customHeight="1">
      <c r="A1210" s="26" t="s">
        <v>3258</v>
      </c>
      <c r="B1210" s="27" t="s">
        <v>3259</v>
      </c>
      <c r="C1210" s="28" t="s">
        <v>178</v>
      </c>
      <c r="D1210" s="29">
        <v>301.0</v>
      </c>
      <c r="E1210" s="28" t="s">
        <v>3260</v>
      </c>
      <c r="F1210" s="7" t="str">
        <f>IFERROR(__xludf.DUMMYFUNCTION("GOOGLETRANSLATE(B1210:B5064,""en"",""fr"")"),"porno")</f>
        <v>porno</v>
      </c>
    </row>
    <row r="1211" ht="19.5" customHeight="1">
      <c r="A1211" s="26" t="s">
        <v>3261</v>
      </c>
      <c r="B1211" s="27" t="s">
        <v>3262</v>
      </c>
      <c r="C1211" s="28" t="s">
        <v>150</v>
      </c>
      <c r="D1211" s="29">
        <v>301.0</v>
      </c>
      <c r="E1211" s="28" t="s">
        <v>3262</v>
      </c>
      <c r="F1211" s="7" t="str">
        <f>IFERROR(__xludf.DUMMYFUNCTION("GOOGLETRANSLATE(B1211:B5064,""en"",""fr"")"),"trois cents")</f>
        <v>trois cents</v>
      </c>
    </row>
    <row r="1212" ht="19.5" customHeight="1">
      <c r="A1212" s="26" t="s">
        <v>3263</v>
      </c>
      <c r="B1212" s="27" t="s">
        <v>3264</v>
      </c>
      <c r="C1212" s="28" t="s">
        <v>178</v>
      </c>
      <c r="D1212" s="29">
        <v>301.0</v>
      </c>
      <c r="E1212" s="28" t="s">
        <v>3265</v>
      </c>
      <c r="F1212" s="7" t="str">
        <f>IFERROR(__xludf.DUMMYFUNCTION("GOOGLETRANSLATE(B1212:B5064,""en"",""fr"")"),"taper")</f>
        <v>taper</v>
      </c>
    </row>
    <row r="1213" ht="19.5" customHeight="1">
      <c r="A1213" s="26" t="s">
        <v>3266</v>
      </c>
      <c r="B1213" s="27" t="s">
        <v>3267</v>
      </c>
      <c r="C1213" s="28" t="s">
        <v>32</v>
      </c>
      <c r="D1213" s="29">
        <v>300.0</v>
      </c>
      <c r="E1213" s="28" t="s">
        <v>3268</v>
      </c>
      <c r="F1213" s="7" t="str">
        <f>IFERROR(__xludf.DUMMYFUNCTION("GOOGLETRANSLATE(B1213:B5064,""en"",""fr"")"),"emprunter")</f>
        <v>emprunter</v>
      </c>
    </row>
    <row r="1214" ht="19.5" customHeight="1">
      <c r="A1214" s="26" t="s">
        <v>3269</v>
      </c>
      <c r="B1214" s="27" t="s">
        <v>3270</v>
      </c>
      <c r="C1214" s="28" t="s">
        <v>178</v>
      </c>
      <c r="D1214" s="29">
        <v>300.0</v>
      </c>
      <c r="E1214" s="28" t="s">
        <v>3271</v>
      </c>
      <c r="F1214" s="7" t="str">
        <f>IFERROR(__xludf.DUMMYFUNCTION("GOOGLETRANSLATE(B1214:B5064,""en"",""fr"")"),"département")</f>
        <v>département</v>
      </c>
    </row>
    <row r="1215" ht="19.5" customHeight="1">
      <c r="A1215" s="26" t="s">
        <v>3272</v>
      </c>
      <c r="B1215" s="27" t="s">
        <v>3273</v>
      </c>
      <c r="C1215" s="28" t="s">
        <v>178</v>
      </c>
      <c r="D1215" s="29">
        <v>300.0</v>
      </c>
      <c r="E1215" s="28" t="s">
        <v>3274</v>
      </c>
      <c r="F1215" s="7" t="str">
        <f>IFERROR(__xludf.DUMMYFUNCTION("GOOGLETRANSLATE(B1215:B5064,""en"",""fr"")"),"plaque")</f>
        <v>plaque</v>
      </c>
    </row>
    <row r="1216" ht="19.5" customHeight="1">
      <c r="A1216" s="26" t="s">
        <v>3275</v>
      </c>
      <c r="B1216" s="27" t="s">
        <v>3276</v>
      </c>
      <c r="C1216" s="28" t="s">
        <v>32</v>
      </c>
      <c r="D1216" s="29">
        <v>299.0</v>
      </c>
      <c r="E1216" s="28" t="s">
        <v>3277</v>
      </c>
      <c r="F1216" s="7" t="str">
        <f>IFERROR(__xludf.DUMMYFUNCTION("GOOGLETRANSLATE(B1216:B5064,""en"",""fr"")"),"respirer")</f>
        <v>respirer</v>
      </c>
    </row>
    <row r="1217" ht="19.5" customHeight="1">
      <c r="A1217" s="26" t="s">
        <v>3278</v>
      </c>
      <c r="B1217" s="27" t="s">
        <v>3279</v>
      </c>
      <c r="C1217" s="28" t="s">
        <v>134</v>
      </c>
      <c r="D1217" s="29">
        <v>299.0</v>
      </c>
      <c r="E1217" s="28" t="s">
        <v>3279</v>
      </c>
      <c r="F1217" s="7" t="str">
        <f>IFERROR(__xludf.DUMMYFUNCTION("GOOGLETRANSLATE(B1217:B5064,""en"",""fr"")"),"classique")</f>
        <v>classique</v>
      </c>
    </row>
    <row r="1218" ht="19.5" customHeight="1">
      <c r="A1218" s="26" t="s">
        <v>3280</v>
      </c>
      <c r="B1218" s="27" t="s">
        <v>3281</v>
      </c>
      <c r="C1218" s="28" t="s">
        <v>178</v>
      </c>
      <c r="D1218" s="29">
        <v>299.0</v>
      </c>
      <c r="E1218" s="28" t="s">
        <v>3282</v>
      </c>
      <c r="F1218" s="7" t="str">
        <f>IFERROR(__xludf.DUMMYFUNCTION("GOOGLETRANSLATE(B1218:B5064,""en"",""fr"")"),"ferme")</f>
        <v>ferme</v>
      </c>
    </row>
    <row r="1219" ht="19.5" customHeight="1">
      <c r="A1219" s="26" t="s">
        <v>3283</v>
      </c>
      <c r="B1219" s="27" t="s">
        <v>3284</v>
      </c>
      <c r="C1219" s="28" t="s">
        <v>134</v>
      </c>
      <c r="D1219" s="29">
        <v>298.0</v>
      </c>
      <c r="E1219" s="28" t="s">
        <v>3284</v>
      </c>
      <c r="F1219" s="7" t="str">
        <f>IFERROR(__xludf.DUMMYFUNCTION("GOOGLETRANSLATE(B1219:B5064,""en"",""fr"")"),"dégoûtant")</f>
        <v>dégoûtant</v>
      </c>
    </row>
    <row r="1220" ht="19.5" customHeight="1">
      <c r="A1220" s="26" t="s">
        <v>3285</v>
      </c>
      <c r="B1220" s="27" t="s">
        <v>3286</v>
      </c>
      <c r="C1220" s="28" t="s">
        <v>134</v>
      </c>
      <c r="D1220" s="29">
        <v>298.0</v>
      </c>
      <c r="E1220" s="28" t="s">
        <v>3287</v>
      </c>
      <c r="F1220" s="7" t="str">
        <f>IFERROR(__xludf.DUMMYFUNCTION("GOOGLETRANSLATE(B1220:B5064,""en"",""fr"")"),"grand")</f>
        <v>grand</v>
      </c>
    </row>
    <row r="1221" ht="19.5" customHeight="1">
      <c r="A1221" s="26" t="s">
        <v>3288</v>
      </c>
      <c r="B1221" s="27" t="s">
        <v>2941</v>
      </c>
      <c r="C1221" s="28" t="s">
        <v>178</v>
      </c>
      <c r="D1221" s="29">
        <v>298.0</v>
      </c>
      <c r="E1221" s="28" t="s">
        <v>3289</v>
      </c>
      <c r="F1221" s="7" t="str">
        <f>IFERROR(__xludf.DUMMYFUNCTION("GOOGLETRANSLATE(B1221:B5064,""en"",""fr"")"),"goût")</f>
        <v>goût</v>
      </c>
    </row>
    <row r="1222" ht="19.5" customHeight="1">
      <c r="A1222" s="26" t="s">
        <v>3290</v>
      </c>
      <c r="B1222" s="27" t="s">
        <v>3291</v>
      </c>
      <c r="C1222" s="28" t="s">
        <v>32</v>
      </c>
      <c r="D1222" s="29">
        <v>297.0</v>
      </c>
      <c r="E1222" s="28" t="s">
        <v>3292</v>
      </c>
      <c r="F1222" s="7" t="str">
        <f>IFERROR(__xludf.DUMMYFUNCTION("GOOGLETRANSLATE(B1222:B5064,""en"",""fr"")"),"remplacer")</f>
        <v>remplacer</v>
      </c>
    </row>
    <row r="1223" ht="19.5" customHeight="1">
      <c r="A1223" s="26" t="s">
        <v>3293</v>
      </c>
      <c r="B1223" s="27" t="s">
        <v>3294</v>
      </c>
      <c r="C1223" s="28" t="s">
        <v>100</v>
      </c>
      <c r="D1223" s="29">
        <v>297.0</v>
      </c>
      <c r="E1223" s="28" t="s">
        <v>3294</v>
      </c>
      <c r="F1223" s="7" t="str">
        <f>IFERROR(__xludf.DUMMYFUNCTION("GOOGLETRANSLATE(B1223:B5064,""en"",""fr"")"),"d'une manière ou d'une autre")</f>
        <v>d'une manière ou d'une autre</v>
      </c>
    </row>
    <row r="1224" ht="19.5" customHeight="1">
      <c r="A1224" s="26" t="s">
        <v>3295</v>
      </c>
      <c r="B1224" s="27" t="s">
        <v>3296</v>
      </c>
      <c r="C1224" s="28" t="s">
        <v>178</v>
      </c>
      <c r="D1224" s="29">
        <v>297.0</v>
      </c>
      <c r="E1224" s="28" t="s">
        <v>3297</v>
      </c>
      <c r="F1224" s="7" t="str">
        <f>IFERROR(__xludf.DUMMYFUNCTION("GOOGLETRANSLATE(B1224:B5064,""en"",""fr"")"),"théâtre")</f>
        <v>théâtre</v>
      </c>
    </row>
    <row r="1225" ht="19.5" customHeight="1">
      <c r="A1225" s="26" t="s">
        <v>3298</v>
      </c>
      <c r="B1225" s="27" t="s">
        <v>3299</v>
      </c>
      <c r="C1225" s="28" t="s">
        <v>32</v>
      </c>
      <c r="D1225" s="29">
        <v>296.0</v>
      </c>
      <c r="E1225" s="28" t="s">
        <v>3300</v>
      </c>
      <c r="F1225" s="7" t="str">
        <f>IFERROR(__xludf.DUMMYFUNCTION("GOOGLETRANSLATE(B1225:B5064,""en"",""fr"")"),"découvrir")</f>
        <v>découvrir</v>
      </c>
    </row>
    <row r="1226" ht="19.5" customHeight="1">
      <c r="A1226" s="26" t="s">
        <v>3301</v>
      </c>
      <c r="B1226" s="27" t="s">
        <v>3302</v>
      </c>
      <c r="C1226" s="28" t="s">
        <v>134</v>
      </c>
      <c r="D1226" s="29">
        <v>296.0</v>
      </c>
      <c r="E1226" s="28" t="s">
        <v>3302</v>
      </c>
      <c r="F1226" s="7" t="str">
        <f>IFERROR(__xludf.DUMMYFUNCTION("GOOGLETRANSLATE(B1226:B5064,""en"",""fr"")"),"incroyable")</f>
        <v>incroyable</v>
      </c>
    </row>
    <row r="1227" ht="19.5" customHeight="1">
      <c r="A1227" s="26" t="s">
        <v>3303</v>
      </c>
      <c r="B1227" s="27" t="s">
        <v>3304</v>
      </c>
      <c r="C1227" s="28" t="s">
        <v>178</v>
      </c>
      <c r="D1227" s="29">
        <v>295.0</v>
      </c>
      <c r="E1227" s="28" t="s">
        <v>3305</v>
      </c>
      <c r="F1227" s="7" t="str">
        <f>IFERROR(__xludf.DUMMYFUNCTION("GOOGLETRANSLATE(B1227:B5064,""en"",""fr"")"),"beaucoup")</f>
        <v>beaucoup</v>
      </c>
    </row>
    <row r="1228" ht="19.5" customHeight="1">
      <c r="A1228" s="26" t="s">
        <v>3306</v>
      </c>
      <c r="B1228" s="27" t="s">
        <v>3307</v>
      </c>
      <c r="C1228" s="28" t="s">
        <v>178</v>
      </c>
      <c r="D1228" s="29">
        <v>294.0</v>
      </c>
      <c r="E1228" s="28" t="s">
        <v>3308</v>
      </c>
      <c r="F1228" s="7" t="str">
        <f>IFERROR(__xludf.DUMMYFUNCTION("GOOGLETRANSLATE(B1228:B5064,""en"",""fr"")"),"base-ball")</f>
        <v>base-ball</v>
      </c>
    </row>
    <row r="1229" ht="19.5" customHeight="1">
      <c r="A1229" s="26" t="s">
        <v>3309</v>
      </c>
      <c r="B1229" s="27" t="s">
        <v>3310</v>
      </c>
      <c r="C1229" s="28" t="s">
        <v>178</v>
      </c>
      <c r="D1229" s="29">
        <v>294.0</v>
      </c>
      <c r="E1229" s="28" t="s">
        <v>3311</v>
      </c>
      <c r="F1229" s="7" t="str">
        <f>IFERROR(__xludf.DUMMYFUNCTION("GOOGLETRANSLATE(B1229:B5064,""en"",""fr"")"),"comédie")</f>
        <v>comédie</v>
      </c>
    </row>
    <row r="1230" ht="19.5" customHeight="1">
      <c r="A1230" s="26" t="s">
        <v>3312</v>
      </c>
      <c r="B1230" s="27" t="s">
        <v>3313</v>
      </c>
      <c r="C1230" s="28" t="s">
        <v>32</v>
      </c>
      <c r="D1230" s="29">
        <v>294.0</v>
      </c>
      <c r="E1230" s="28" t="s">
        <v>3314</v>
      </c>
      <c r="F1230" s="7" t="str">
        <f>IFERROR(__xludf.DUMMYFUNCTION("GOOGLETRANSLATE(B1230:B5064,""en"",""fr"")"),"entrer")</f>
        <v>entrer</v>
      </c>
    </row>
    <row r="1231" ht="19.5" customHeight="1">
      <c r="A1231" s="26" t="s">
        <v>3315</v>
      </c>
      <c r="B1231" s="27" t="s">
        <v>3316</v>
      </c>
      <c r="C1231" s="28" t="s">
        <v>32</v>
      </c>
      <c r="D1231" s="29">
        <v>294.0</v>
      </c>
      <c r="E1231" s="28" t="s">
        <v>3317</v>
      </c>
      <c r="F1231" s="7" t="str">
        <f>IFERROR(__xludf.DUMMYFUNCTION("GOOGLETRANSLATE(B1231:B5064,""en"",""fr"")"),"introduire")</f>
        <v>introduire</v>
      </c>
    </row>
    <row r="1232" ht="19.5" customHeight="1">
      <c r="A1232" s="26" t="s">
        <v>3318</v>
      </c>
      <c r="B1232" s="27" t="s">
        <v>3319</v>
      </c>
      <c r="C1232" s="28" t="s">
        <v>36</v>
      </c>
      <c r="D1232" s="29">
        <v>294.0</v>
      </c>
      <c r="E1232" s="28" t="s">
        <v>3319</v>
      </c>
      <c r="F1232" s="7" t="str">
        <f>IFERROR(__xludf.DUMMYFUNCTION("GOOGLETRANSLATE(B1232:B5064,""en"",""fr"")"),"chaque fois que")</f>
        <v>chaque fois que</v>
      </c>
    </row>
    <row r="1233" ht="19.5" customHeight="1">
      <c r="A1233" s="26" t="s">
        <v>3320</v>
      </c>
      <c r="B1233" s="27" t="s">
        <v>3321</v>
      </c>
      <c r="C1233" s="28" t="s">
        <v>178</v>
      </c>
      <c r="D1233" s="29">
        <v>293.0</v>
      </c>
      <c r="E1233" s="28" t="s">
        <v>3321</v>
      </c>
      <c r="F1233" s="7" t="str">
        <f>IFERROR(__xludf.DUMMYFUNCTION("GOOGLETRANSLATE(B1233:B5064,""en"",""fr"")"),"beurre")</f>
        <v>beurre</v>
      </c>
    </row>
    <row r="1234" ht="19.5" customHeight="1">
      <c r="A1234" s="26" t="s">
        <v>3322</v>
      </c>
      <c r="B1234" s="27" t="s">
        <v>3323</v>
      </c>
      <c r="C1234" s="28" t="s">
        <v>100</v>
      </c>
      <c r="D1234" s="29">
        <v>293.0</v>
      </c>
      <c r="E1234" s="28" t="s">
        <v>3323</v>
      </c>
      <c r="F1234" s="7" t="str">
        <f>IFERROR(__xludf.DUMMYFUNCTION("GOOGLETRANSLATE(B1234:B5064,""en"",""fr"")"),"peut-être")</f>
        <v>peut-être</v>
      </c>
    </row>
    <row r="1235" ht="19.5" customHeight="1">
      <c r="A1235" s="26" t="s">
        <v>3324</v>
      </c>
      <c r="B1235" s="27" t="s">
        <v>3325</v>
      </c>
      <c r="C1235" s="28" t="s">
        <v>178</v>
      </c>
      <c r="D1235" s="29">
        <v>293.0</v>
      </c>
      <c r="E1235" s="28" t="s">
        <v>3326</v>
      </c>
      <c r="F1235" s="7" t="str">
        <f>IFERROR(__xludf.DUMMYFUNCTION("GOOGLETRANSLATE(B1235:B5064,""en"",""fr"")"),"chérie")</f>
        <v>chérie</v>
      </c>
    </row>
    <row r="1236" ht="19.5" customHeight="1">
      <c r="A1236" s="26" t="s">
        <v>3327</v>
      </c>
      <c r="B1236" s="27" t="s">
        <v>3328</v>
      </c>
      <c r="C1236" s="28" t="s">
        <v>178</v>
      </c>
      <c r="D1236" s="29">
        <v>292.0</v>
      </c>
      <c r="E1236" s="28" t="s">
        <v>3329</v>
      </c>
      <c r="F1236" s="7" t="str">
        <f>IFERROR(__xludf.DUMMYFUNCTION("GOOGLETRANSLATE(B1236:B5064,""en"",""fr"")"),"prison")</f>
        <v>prison</v>
      </c>
    </row>
    <row r="1237" ht="19.5" customHeight="1">
      <c r="A1237" s="26" t="s">
        <v>3330</v>
      </c>
      <c r="B1237" s="27" t="s">
        <v>3331</v>
      </c>
      <c r="C1237" s="28" t="s">
        <v>178</v>
      </c>
      <c r="D1237" s="29">
        <v>292.0</v>
      </c>
      <c r="E1237" s="28" t="s">
        <v>3332</v>
      </c>
      <c r="F1237" s="7" t="str">
        <f>IFERROR(__xludf.DUMMYFUNCTION("GOOGLETRANSLATE(B1237:B5064,""en"",""fr"")"),"saison")</f>
        <v>saison</v>
      </c>
    </row>
    <row r="1238" ht="19.5" customHeight="1">
      <c r="A1238" s="26" t="s">
        <v>3333</v>
      </c>
      <c r="B1238" s="27" t="s">
        <v>3334</v>
      </c>
      <c r="C1238" s="28" t="s">
        <v>32</v>
      </c>
      <c r="D1238" s="29">
        <v>292.0</v>
      </c>
      <c r="E1238" s="28" t="s">
        <v>3335</v>
      </c>
      <c r="F1238" s="7" t="str">
        <f>IFERROR(__xludf.DUMMYFUNCTION("GOOGLETRANSLATE(B1238:B5064,""en"",""fr"")"),"étude")</f>
        <v>étude</v>
      </c>
    </row>
    <row r="1239" ht="19.5" customHeight="1">
      <c r="A1239" s="26" t="s">
        <v>3336</v>
      </c>
      <c r="B1239" s="27" t="s">
        <v>3337</v>
      </c>
      <c r="C1239" s="28" t="s">
        <v>178</v>
      </c>
      <c r="D1239" s="29">
        <v>290.0</v>
      </c>
      <c r="E1239" s="28" t="s">
        <v>3338</v>
      </c>
      <c r="F1239" s="7" t="str">
        <f>IFERROR(__xludf.DUMMYFUNCTION("GOOGLETRANSLATE(B1239:B5064,""en"",""fr"")"),"miracle")</f>
        <v>miracle</v>
      </c>
    </row>
    <row r="1240" ht="19.5" customHeight="1">
      <c r="A1240" s="26" t="s">
        <v>3339</v>
      </c>
      <c r="B1240" s="27" t="s">
        <v>3340</v>
      </c>
      <c r="C1240" s="28" t="s">
        <v>134</v>
      </c>
      <c r="D1240" s="29">
        <v>289.0</v>
      </c>
      <c r="E1240" s="28" t="s">
        <v>3341</v>
      </c>
      <c r="F1240" s="7" t="str">
        <f>IFERROR(__xludf.DUMMYFUNCTION("GOOGLETRANSLATE(B1240:B5064,""en"",""fr"")"),"complet")</f>
        <v>complet</v>
      </c>
    </row>
    <row r="1241" ht="19.5" customHeight="1">
      <c r="A1241" s="26" t="s">
        <v>3342</v>
      </c>
      <c r="B1241" s="27" t="s">
        <v>3343</v>
      </c>
      <c r="C1241" s="28" t="s">
        <v>178</v>
      </c>
      <c r="D1241" s="29">
        <v>289.0</v>
      </c>
      <c r="E1241" s="28" t="s">
        <v>3343</v>
      </c>
      <c r="F1241" s="7" t="str">
        <f>IFERROR(__xludf.DUMMYFUNCTION("GOOGLETRANSLATE(B1241:B5064,""en"",""fr"")"),"le golf")</f>
        <v>le golf</v>
      </c>
    </row>
    <row r="1242" ht="19.5" customHeight="1">
      <c r="A1242" s="26" t="s">
        <v>3344</v>
      </c>
      <c r="B1242" s="27" t="s">
        <v>3345</v>
      </c>
      <c r="C1242" s="28" t="s">
        <v>32</v>
      </c>
      <c r="D1242" s="29">
        <v>289.0</v>
      </c>
      <c r="E1242" s="28" t="s">
        <v>3346</v>
      </c>
      <c r="F1242" s="7" t="str">
        <f>IFERROR(__xludf.DUMMYFUNCTION("GOOGLETRANSLATE(B1242:B5064,""en"",""fr"")"),"crochet")</f>
        <v>crochet</v>
      </c>
    </row>
    <row r="1243" ht="19.5" customHeight="1">
      <c r="A1243" s="26" t="s">
        <v>3347</v>
      </c>
      <c r="B1243" s="27" t="s">
        <v>3348</v>
      </c>
      <c r="C1243" s="28" t="s">
        <v>100</v>
      </c>
      <c r="D1243" s="29">
        <v>289.0</v>
      </c>
      <c r="E1243" s="28" t="s">
        <v>3348</v>
      </c>
      <c r="F1243" s="7" t="str">
        <f>IFERROR(__xludf.DUMMYFUNCTION("GOOGLETRANSLATE(B1243:B5064,""en"",""fr"")"),"à la perfection")</f>
        <v>à la perfection</v>
      </c>
    </row>
    <row r="1244" ht="19.5" customHeight="1">
      <c r="A1244" s="26" t="s">
        <v>3349</v>
      </c>
      <c r="B1244" s="27" t="s">
        <v>3350</v>
      </c>
      <c r="C1244" s="28" t="s">
        <v>32</v>
      </c>
      <c r="D1244" s="29">
        <v>289.0</v>
      </c>
      <c r="E1244" s="28" t="s">
        <v>3351</v>
      </c>
      <c r="F1244" s="7" t="str">
        <f>IFERROR(__xludf.DUMMYFUNCTION("GOOGLETRANSLATE(B1244:B5064,""en"",""fr"")"),"regard")</f>
        <v>regard</v>
      </c>
    </row>
    <row r="1245" ht="19.5" customHeight="1">
      <c r="A1245" s="26" t="s">
        <v>3352</v>
      </c>
      <c r="B1245" s="27" t="s">
        <v>3353</v>
      </c>
      <c r="C1245" s="28" t="s">
        <v>178</v>
      </c>
      <c r="D1245" s="29">
        <v>288.0</v>
      </c>
      <c r="E1245" s="28" t="s">
        <v>3354</v>
      </c>
      <c r="F1245" s="7" t="str">
        <f>IFERROR(__xludf.DUMMYFUNCTION("GOOGLETRANSLATE(B1245:B5064,""en"",""fr"")"),"drapeau")</f>
        <v>drapeau</v>
      </c>
    </row>
    <row r="1246" ht="19.5" customHeight="1">
      <c r="A1246" s="26" t="s">
        <v>3355</v>
      </c>
      <c r="B1246" s="27" t="s">
        <v>3356</v>
      </c>
      <c r="C1246" s="28" t="s">
        <v>85</v>
      </c>
      <c r="D1246" s="29">
        <v>288.0</v>
      </c>
      <c r="E1246" s="28" t="s">
        <v>3357</v>
      </c>
      <c r="F1246" s="7" t="str">
        <f>IFERROR(__xludf.DUMMYFUNCTION("GOOGLETRANSLATE(B1246:B5064,""en"",""fr"")"),"bonder")</f>
        <v>bonder</v>
      </c>
    </row>
    <row r="1247" ht="19.5" customHeight="1">
      <c r="A1247" s="26" t="s">
        <v>3358</v>
      </c>
      <c r="B1247" s="27" t="s">
        <v>3359</v>
      </c>
      <c r="C1247" s="28" t="s">
        <v>178</v>
      </c>
      <c r="D1247" s="29">
        <v>288.0</v>
      </c>
      <c r="E1247" s="28" t="s">
        <v>3360</v>
      </c>
      <c r="F1247" s="7" t="str">
        <f>IFERROR(__xludf.DUMMYFUNCTION("GOOGLETRANSLATE(B1247:B5064,""en"",""fr"")"),"colocataire")</f>
        <v>colocataire</v>
      </c>
    </row>
    <row r="1248" ht="19.5" customHeight="1">
      <c r="A1248" s="26" t="s">
        <v>3361</v>
      </c>
      <c r="B1248" s="27" t="s">
        <v>3362</v>
      </c>
      <c r="C1248" s="28" t="s">
        <v>178</v>
      </c>
      <c r="D1248" s="29">
        <v>288.0</v>
      </c>
      <c r="E1248" s="28" t="s">
        <v>3363</v>
      </c>
      <c r="F1248" s="7" t="str">
        <f>IFERROR(__xludf.DUMMYFUNCTION("GOOGLETRANSLATE(B1248:B5064,""en"",""fr"")"),"bateau")</f>
        <v>bateau</v>
      </c>
    </row>
    <row r="1249" ht="19.5" customHeight="1">
      <c r="A1249" s="26" t="s">
        <v>3364</v>
      </c>
      <c r="B1249" s="27" t="s">
        <v>3365</v>
      </c>
      <c r="C1249" s="28" t="s">
        <v>178</v>
      </c>
      <c r="D1249" s="29">
        <v>288.0</v>
      </c>
      <c r="E1249" s="28" t="s">
        <v>3366</v>
      </c>
      <c r="F1249" s="7" t="str">
        <f>IFERROR(__xludf.DUMMYFUNCTION("GOOGLETRANSLATE(B1249:B5064,""en"",""fr"")"),"bois")</f>
        <v>bois</v>
      </c>
    </row>
    <row r="1250" ht="19.5" customHeight="1">
      <c r="A1250" s="26" t="s">
        <v>3367</v>
      </c>
      <c r="B1250" s="27" t="s">
        <v>3368</v>
      </c>
      <c r="C1250" s="28" t="s">
        <v>178</v>
      </c>
      <c r="D1250" s="29">
        <v>287.0</v>
      </c>
      <c r="E1250" s="28" t="s">
        <v>3369</v>
      </c>
      <c r="F1250" s="7" t="str">
        <f>IFERROR(__xludf.DUMMYFUNCTION("GOOGLETRANSLATE(B1250:B5064,""en"",""fr"")"),"acteur")</f>
        <v>acteur</v>
      </c>
    </row>
    <row r="1251" ht="19.5" customHeight="1">
      <c r="A1251" s="26" t="s">
        <v>3370</v>
      </c>
      <c r="B1251" s="27" t="s">
        <v>605</v>
      </c>
      <c r="C1251" s="28" t="s">
        <v>178</v>
      </c>
      <c r="D1251" s="29">
        <v>286.0</v>
      </c>
      <c r="E1251" s="28" t="s">
        <v>3371</v>
      </c>
      <c r="F1251" s="7" t="str">
        <f>IFERROR(__xludf.DUMMYFUNCTION("GOOGLETRANSLATE(B1251:B5064,""en"",""fr"")"),"casser")</f>
        <v>casser</v>
      </c>
    </row>
    <row r="1252" ht="19.5" customHeight="1">
      <c r="A1252" s="26" t="s">
        <v>3372</v>
      </c>
      <c r="B1252" s="27" t="s">
        <v>3373</v>
      </c>
      <c r="C1252" s="28" t="s">
        <v>178</v>
      </c>
      <c r="D1252" s="29">
        <v>286.0</v>
      </c>
      <c r="E1252" s="28" t="s">
        <v>3374</v>
      </c>
      <c r="F1252" s="7" t="str">
        <f>IFERROR(__xludf.DUMMYFUNCTION("GOOGLETRANSLATE(B1252:B5064,""en"",""fr"")"),"prix")</f>
        <v>prix</v>
      </c>
    </row>
    <row r="1253" ht="19.5" customHeight="1">
      <c r="A1253" s="26" t="s">
        <v>3375</v>
      </c>
      <c r="B1253" s="27" t="s">
        <v>504</v>
      </c>
      <c r="C1253" s="28" t="s">
        <v>36</v>
      </c>
      <c r="D1253" s="29">
        <v>286.0</v>
      </c>
      <c r="E1253" s="28" t="s">
        <v>504</v>
      </c>
      <c r="F1253" s="7" t="str">
        <f>IFERROR(__xludf.DUMMYFUNCTION("GOOGLETRANSLATE(B1253:B5064,""en"",""fr"")"),"merci")</f>
        <v>merci</v>
      </c>
    </row>
    <row r="1254" ht="19.5" customHeight="1">
      <c r="A1254" s="26" t="s">
        <v>3376</v>
      </c>
      <c r="B1254" s="27" t="s">
        <v>3377</v>
      </c>
      <c r="C1254" s="28" t="s">
        <v>178</v>
      </c>
      <c r="D1254" s="29">
        <v>285.0</v>
      </c>
      <c r="E1254" s="28" t="s">
        <v>3378</v>
      </c>
      <c r="F1254" s="7" t="str">
        <f>IFERROR(__xludf.DUMMYFUNCTION("GOOGLETRANSLATE(B1254:B5064,""en"",""fr"")"),"coin")</f>
        <v>coin</v>
      </c>
    </row>
    <row r="1255" ht="19.5" customHeight="1">
      <c r="A1255" s="26" t="s">
        <v>3379</v>
      </c>
      <c r="B1255" s="27" t="s">
        <v>3380</v>
      </c>
      <c r="C1255" s="28" t="s">
        <v>150</v>
      </c>
      <c r="D1255" s="29">
        <v>285.0</v>
      </c>
      <c r="E1255" s="28" t="s">
        <v>3381</v>
      </c>
      <c r="F1255" s="7" t="str">
        <f>IFERROR(__xludf.DUMMYFUNCTION("GOOGLETRANSLATE(B1255:B5064,""en"",""fr"")"),"quatrième")</f>
        <v>quatrième</v>
      </c>
    </row>
    <row r="1256" ht="19.5" customHeight="1">
      <c r="A1256" s="26" t="s">
        <v>3382</v>
      </c>
      <c r="B1256" s="27" t="s">
        <v>3383</v>
      </c>
      <c r="C1256" s="28" t="s">
        <v>32</v>
      </c>
      <c r="D1256" s="29">
        <v>285.0</v>
      </c>
      <c r="E1256" s="28" t="s">
        <v>3384</v>
      </c>
      <c r="F1256" s="7" t="str">
        <f>IFERROR(__xludf.DUMMYFUNCTION("GOOGLETRANSLATE(B1256:B5064,""en"",""fr"")"),"se faufiler")</f>
        <v>se faufiler</v>
      </c>
    </row>
    <row r="1257" ht="19.5" customHeight="1">
      <c r="A1257" s="26" t="s">
        <v>3385</v>
      </c>
      <c r="B1257" s="27" t="s">
        <v>3386</v>
      </c>
      <c r="C1257" s="28" t="s">
        <v>32</v>
      </c>
      <c r="D1257" s="29">
        <v>284.0</v>
      </c>
      <c r="E1257" s="28" t="s">
        <v>3387</v>
      </c>
      <c r="F1257" s="7" t="str">
        <f>IFERROR(__xludf.DUMMYFUNCTION("GOOGLETRANSLATE(B1257:B5064,""en"",""fr"")"),"pisse")</f>
        <v>pisse</v>
      </c>
    </row>
    <row r="1258" ht="19.5" customHeight="1">
      <c r="A1258" s="26" t="s">
        <v>3388</v>
      </c>
      <c r="B1258" s="27" t="s">
        <v>3389</v>
      </c>
      <c r="C1258" s="28" t="s">
        <v>178</v>
      </c>
      <c r="D1258" s="29">
        <v>284.0</v>
      </c>
      <c r="E1258" s="28" t="s">
        <v>3390</v>
      </c>
      <c r="F1258" s="7" t="str">
        <f>IFERROR(__xludf.DUMMYFUNCTION("GOOGLETRANSLATE(B1258:B5064,""en"",""fr"")"),"poche")</f>
        <v>poche</v>
      </c>
    </row>
    <row r="1259" ht="19.5" customHeight="1">
      <c r="A1259" s="26" t="s">
        <v>3391</v>
      </c>
      <c r="B1259" s="27" t="s">
        <v>3392</v>
      </c>
      <c r="C1259" s="28" t="s">
        <v>178</v>
      </c>
      <c r="D1259" s="29">
        <v>284.0</v>
      </c>
      <c r="E1259" s="28" t="s">
        <v>3393</v>
      </c>
      <c r="F1259" s="7" t="str">
        <f>IFERROR(__xludf.DUMMYFUNCTION("GOOGLETRANSLATE(B1259:B5064,""en"",""fr"")"),"conseil")</f>
        <v>conseil</v>
      </c>
    </row>
    <row r="1260" ht="19.5" customHeight="1">
      <c r="A1260" s="26" t="s">
        <v>3394</v>
      </c>
      <c r="B1260" s="27" t="s">
        <v>1407</v>
      </c>
      <c r="C1260" s="28" t="s">
        <v>100</v>
      </c>
      <c r="D1260" s="29">
        <v>283.0</v>
      </c>
      <c r="E1260" s="28" t="s">
        <v>1407</v>
      </c>
      <c r="F1260" s="7" t="str">
        <f>IFERROR(__xludf.DUMMYFUNCTION("GOOGLETRANSLATE(B1260:B5064,""en"",""fr"")"),"seul")</f>
        <v>seul</v>
      </c>
    </row>
    <row r="1261" ht="19.5" customHeight="1">
      <c r="A1261" s="26" t="s">
        <v>3395</v>
      </c>
      <c r="B1261" s="27" t="s">
        <v>3396</v>
      </c>
      <c r="C1261" s="28" t="s">
        <v>100</v>
      </c>
      <c r="D1261" s="29">
        <v>283.0</v>
      </c>
      <c r="E1261" s="28" t="s">
        <v>3396</v>
      </c>
      <c r="F1261" s="7" t="str">
        <f>IFERROR(__xludf.DUMMYFUNCTION("GOOGLETRANSLATE(B1261:B5064,""en"",""fr"")"),"dernièrement")</f>
        <v>dernièrement</v>
      </c>
    </row>
    <row r="1262" ht="19.5" customHeight="1">
      <c r="A1262" s="26" t="s">
        <v>3397</v>
      </c>
      <c r="B1262" s="27" t="s">
        <v>3398</v>
      </c>
      <c r="C1262" s="28" t="s">
        <v>178</v>
      </c>
      <c r="D1262" s="29">
        <v>283.0</v>
      </c>
      <c r="E1262" s="28" t="s">
        <v>3399</v>
      </c>
      <c r="F1262" s="7" t="str">
        <f>IFERROR(__xludf.DUMMYFUNCTION("GOOGLETRANSLATE(B1262:B5064,""en"",""fr"")"),"reine")</f>
        <v>reine</v>
      </c>
    </row>
    <row r="1263" ht="19.5" customHeight="1">
      <c r="A1263" s="26" t="s">
        <v>3400</v>
      </c>
      <c r="B1263" s="27" t="s">
        <v>3401</v>
      </c>
      <c r="C1263" s="28" t="s">
        <v>32</v>
      </c>
      <c r="D1263" s="29">
        <v>283.0</v>
      </c>
      <c r="E1263" s="28" t="s">
        <v>3402</v>
      </c>
      <c r="F1263" s="7" t="str">
        <f>IFERROR(__xludf.DUMMYFUNCTION("GOOGLETRANSLATE(B1263:B5064,""en"",""fr"")"),"larme")</f>
        <v>larme</v>
      </c>
    </row>
    <row r="1264" ht="19.5" customHeight="1">
      <c r="A1264" s="26" t="s">
        <v>3403</v>
      </c>
      <c r="B1264" s="27" t="s">
        <v>3404</v>
      </c>
      <c r="C1264" s="28" t="s">
        <v>100</v>
      </c>
      <c r="D1264" s="29">
        <v>282.0</v>
      </c>
      <c r="E1264" s="28" t="s">
        <v>3404</v>
      </c>
      <c r="F1264" s="7" t="str">
        <f>IFERROR(__xludf.DUMMYFUNCTION("GOOGLETRANSLATE(B1264:B5064,""en"",""fr"")"),"en particulier")</f>
        <v>en particulier</v>
      </c>
    </row>
    <row r="1265" ht="19.5" customHeight="1">
      <c r="A1265" s="26" t="s">
        <v>3405</v>
      </c>
      <c r="B1265" s="27" t="s">
        <v>3406</v>
      </c>
      <c r="C1265" s="28" t="s">
        <v>32</v>
      </c>
      <c r="D1265" s="29">
        <v>282.0</v>
      </c>
      <c r="E1265" s="28" t="s">
        <v>3407</v>
      </c>
      <c r="F1265" s="7" t="str">
        <f>IFERROR(__xludf.DUMMYFUNCTION("GOOGLETRANSLATE(B1265:B5064,""en"",""fr"")"),"poser")</f>
        <v>poser</v>
      </c>
    </row>
    <row r="1266" ht="19.5" customHeight="1">
      <c r="A1266" s="26" t="s">
        <v>3408</v>
      </c>
      <c r="B1266" s="27" t="s">
        <v>3409</v>
      </c>
      <c r="C1266" s="28" t="s">
        <v>178</v>
      </c>
      <c r="D1266" s="29">
        <v>282.0</v>
      </c>
      <c r="E1266" s="28" t="s">
        <v>3410</v>
      </c>
      <c r="F1266" s="7" t="str">
        <f>IFERROR(__xludf.DUMMYFUNCTION("GOOGLETRANSLATE(B1266:B5064,""en"",""fr"")"),"pression")</f>
        <v>pression</v>
      </c>
    </row>
    <row r="1267" ht="19.5" customHeight="1">
      <c r="A1267" s="26" t="s">
        <v>3411</v>
      </c>
      <c r="B1267" s="27" t="s">
        <v>3412</v>
      </c>
      <c r="C1267" s="28" t="s">
        <v>32</v>
      </c>
      <c r="D1267" s="29">
        <v>282.0</v>
      </c>
      <c r="E1267" s="28" t="s">
        <v>3413</v>
      </c>
      <c r="F1267" s="7" t="str">
        <f>IFERROR(__xludf.DUMMYFUNCTION("GOOGLETRANSLATE(B1267:B5064,""en"",""fr"")"),"déchirer")</f>
        <v>déchirer</v>
      </c>
    </row>
    <row r="1268" ht="19.5" customHeight="1">
      <c r="A1268" s="26" t="s">
        <v>3414</v>
      </c>
      <c r="B1268" s="27" t="s">
        <v>3415</v>
      </c>
      <c r="C1268" s="28" t="s">
        <v>178</v>
      </c>
      <c r="D1268" s="29">
        <v>281.0</v>
      </c>
      <c r="E1268" s="28" t="s">
        <v>3416</v>
      </c>
      <c r="F1268" s="7" t="str">
        <f>IFERROR(__xludf.DUMMYFUNCTION("GOOGLETRANSLATE(B1268:B5064,""en"",""fr"")"),"assistant")</f>
        <v>assistant</v>
      </c>
    </row>
    <row r="1269" ht="19.5" customHeight="1">
      <c r="A1269" s="26" t="s">
        <v>3417</v>
      </c>
      <c r="B1269" s="27" t="s">
        <v>3418</v>
      </c>
      <c r="C1269" s="28" t="s">
        <v>178</v>
      </c>
      <c r="D1269" s="29">
        <v>281.0</v>
      </c>
      <c r="E1269" s="28" t="s">
        <v>3419</v>
      </c>
      <c r="F1269" s="7" t="str">
        <f>IFERROR(__xludf.DUMMYFUNCTION("GOOGLETRANSLATE(B1269:B5064,""en"",""fr"")"),"camp")</f>
        <v>camp</v>
      </c>
    </row>
    <row r="1270" ht="19.5" customHeight="1">
      <c r="A1270" s="26" t="s">
        <v>3420</v>
      </c>
      <c r="B1270" s="27" t="s">
        <v>3421</v>
      </c>
      <c r="C1270" s="28" t="s">
        <v>178</v>
      </c>
      <c r="D1270" s="29">
        <v>281.0</v>
      </c>
      <c r="E1270" s="28" t="s">
        <v>3422</v>
      </c>
      <c r="F1270" s="7" t="str">
        <f>IFERROR(__xludf.DUMMYFUNCTION("GOOGLETRANSLATE(B1270:B5064,""en"",""fr"")"),"juge")</f>
        <v>juge</v>
      </c>
    </row>
    <row r="1271" ht="19.5" customHeight="1">
      <c r="A1271" s="26" t="s">
        <v>3423</v>
      </c>
      <c r="B1271" s="27" t="s">
        <v>3424</v>
      </c>
      <c r="C1271" s="28" t="s">
        <v>178</v>
      </c>
      <c r="D1271" s="29">
        <v>281.0</v>
      </c>
      <c r="E1271" s="28" t="s">
        <v>3425</v>
      </c>
      <c r="F1271" s="7" t="str">
        <f>IFERROR(__xludf.DUMMYFUNCTION("GOOGLETRANSLATE(B1271:B5064,""en"",""fr"")"),"Nord")</f>
        <v>Nord</v>
      </c>
    </row>
    <row r="1272" ht="19.5" customHeight="1">
      <c r="A1272" s="26" t="s">
        <v>3426</v>
      </c>
      <c r="B1272" s="27" t="s">
        <v>3427</v>
      </c>
      <c r="C1272" s="28" t="s">
        <v>100</v>
      </c>
      <c r="D1272" s="29">
        <v>281.0</v>
      </c>
      <c r="E1272" s="28" t="s">
        <v>3428</v>
      </c>
      <c r="F1272" s="7" t="str">
        <f>IFERROR(__xludf.DUMMYFUNCTION("GOOGLETRANSLATE(B1272:B5064,""en"",""fr"")"),"souvent")</f>
        <v>souvent</v>
      </c>
    </row>
    <row r="1273" ht="19.5" customHeight="1">
      <c r="A1273" s="26" t="s">
        <v>3429</v>
      </c>
      <c r="B1273" s="27" t="s">
        <v>3430</v>
      </c>
      <c r="C1273" s="28" t="s">
        <v>728</v>
      </c>
      <c r="D1273" s="29">
        <v>280.0</v>
      </c>
      <c r="E1273" s="28" t="s">
        <v>3431</v>
      </c>
      <c r="F1273" s="7" t="str">
        <f>IFERROR(__xludf.DUMMYFUNCTION("GOOGLETRANSLATE(B1273:B5064,""en"",""fr"")"),"Halloween")</f>
        <v>Halloween</v>
      </c>
    </row>
    <row r="1274" ht="19.5" customHeight="1">
      <c r="A1274" s="26" t="s">
        <v>3432</v>
      </c>
      <c r="B1274" s="27" t="s">
        <v>3433</v>
      </c>
      <c r="C1274" s="28" t="s">
        <v>178</v>
      </c>
      <c r="D1274" s="29">
        <v>280.0</v>
      </c>
      <c r="E1274" s="28" t="s">
        <v>3434</v>
      </c>
      <c r="F1274" s="7" t="str">
        <f>IFERROR(__xludf.DUMMYFUNCTION("GOOGLETRANSLATE(B1274:B5064,""en"",""fr"")"),"vacances")</f>
        <v>vacances</v>
      </c>
    </row>
    <row r="1275" ht="19.5" customHeight="1">
      <c r="A1275" s="26" t="s">
        <v>3435</v>
      </c>
      <c r="B1275" s="27" t="s">
        <v>3436</v>
      </c>
      <c r="C1275" s="28" t="s">
        <v>134</v>
      </c>
      <c r="D1275" s="29">
        <v>279.0</v>
      </c>
      <c r="E1275" s="28" t="s">
        <v>3436</v>
      </c>
      <c r="F1275" s="7" t="str">
        <f>IFERROR(__xludf.DUMMYFUNCTION("GOOGLETRANSLATE(B1275:B5064,""en"",""fr"")"),"impossible")</f>
        <v>impossible</v>
      </c>
    </row>
    <row r="1276" ht="19.5" customHeight="1">
      <c r="A1276" s="26" t="s">
        <v>3437</v>
      </c>
      <c r="B1276" s="27" t="s">
        <v>3438</v>
      </c>
      <c r="C1276" s="28" t="s">
        <v>178</v>
      </c>
      <c r="D1276" s="29">
        <v>279.0</v>
      </c>
      <c r="E1276" s="28" t="s">
        <v>3439</v>
      </c>
      <c r="F1276" s="7" t="str">
        <f>IFERROR(__xludf.DUMMYFUNCTION("GOOGLETRANSLATE(B1276:B5064,""en"",""fr"")"),"carré")</f>
        <v>carré</v>
      </c>
    </row>
    <row r="1277" ht="19.5" customHeight="1">
      <c r="A1277" s="26" t="s">
        <v>3440</v>
      </c>
      <c r="B1277" s="27" t="s">
        <v>3441</v>
      </c>
      <c r="C1277" s="28" t="s">
        <v>178</v>
      </c>
      <c r="D1277" s="29">
        <v>278.0</v>
      </c>
      <c r="E1277" s="28" t="s">
        <v>3442</v>
      </c>
      <c r="F1277" s="7" t="str">
        <f>IFERROR(__xludf.DUMMYFUNCTION("GOOGLETRANSLATE(B1277:B5064,""en"",""fr"")"),"gauche")</f>
        <v>gauche</v>
      </c>
    </row>
    <row r="1278" ht="19.5" customHeight="1">
      <c r="A1278" s="26" t="s">
        <v>3443</v>
      </c>
      <c r="B1278" s="27" t="s">
        <v>3444</v>
      </c>
      <c r="C1278" s="28" t="s">
        <v>178</v>
      </c>
      <c r="D1278" s="29">
        <v>278.0</v>
      </c>
      <c r="E1278" s="28" t="s">
        <v>3445</v>
      </c>
      <c r="F1278" s="7" t="str">
        <f>IFERROR(__xludf.DUMMYFUNCTION("GOOGLETRANSLATE(B1278:B5064,""en"",""fr"")"),"grand-mère")</f>
        <v>grand-mère</v>
      </c>
    </row>
    <row r="1279" ht="19.5" customHeight="1">
      <c r="A1279" s="26" t="s">
        <v>3446</v>
      </c>
      <c r="B1279" s="27" t="s">
        <v>3447</v>
      </c>
      <c r="C1279" s="28" t="s">
        <v>134</v>
      </c>
      <c r="D1279" s="29">
        <v>278.0</v>
      </c>
      <c r="E1279" s="28" t="s">
        <v>3448</v>
      </c>
      <c r="F1279" s="7" t="str">
        <f>IFERROR(__xludf.DUMMYFUNCTION("GOOGLETRANSLATE(B1279:B5064,""en"",""fr"")"),"brut")</f>
        <v>brut</v>
      </c>
    </row>
    <row r="1280" ht="19.5" customHeight="1">
      <c r="A1280" s="26" t="s">
        <v>3449</v>
      </c>
      <c r="B1280" s="27" t="s">
        <v>3450</v>
      </c>
      <c r="C1280" s="28" t="s">
        <v>178</v>
      </c>
      <c r="D1280" s="29">
        <v>278.0</v>
      </c>
      <c r="E1280" s="28" t="s">
        <v>3451</v>
      </c>
      <c r="F1280" s="7" t="str">
        <f>IFERROR(__xludf.DUMMYFUNCTION("GOOGLETRANSLATE(B1280:B5064,""en"",""fr"")"),"copain")</f>
        <v>copain</v>
      </c>
    </row>
    <row r="1281" ht="19.5" customHeight="1">
      <c r="A1281" s="26" t="s">
        <v>3452</v>
      </c>
      <c r="B1281" s="27" t="s">
        <v>3453</v>
      </c>
      <c r="C1281" s="28" t="s">
        <v>32</v>
      </c>
      <c r="D1281" s="29">
        <v>278.0</v>
      </c>
      <c r="E1281" s="28" t="s">
        <v>3454</v>
      </c>
      <c r="F1281" s="7" t="str">
        <f>IFERROR(__xludf.DUMMYFUNCTION("GOOGLETRANSLATE(B1281:B5064,""en"",""fr"")"),"sourire")</f>
        <v>sourire</v>
      </c>
    </row>
    <row r="1282" ht="19.5" customHeight="1">
      <c r="A1282" s="26" t="s">
        <v>3455</v>
      </c>
      <c r="B1282" s="27" t="s">
        <v>3456</v>
      </c>
      <c r="C1282" s="28" t="s">
        <v>178</v>
      </c>
      <c r="D1282" s="29">
        <v>278.0</v>
      </c>
      <c r="E1282" s="28" t="s">
        <v>3457</v>
      </c>
      <c r="F1282" s="7" t="str">
        <f>IFERROR(__xludf.DUMMYFUNCTION("GOOGLETRANSLATE(B1282:B5064,""en"",""fr"")"),"discours")</f>
        <v>discours</v>
      </c>
    </row>
    <row r="1283" ht="19.5" customHeight="1">
      <c r="A1283" s="26" t="s">
        <v>3458</v>
      </c>
      <c r="B1283" s="27" t="s">
        <v>3459</v>
      </c>
      <c r="C1283" s="28" t="s">
        <v>32</v>
      </c>
      <c r="D1283" s="29">
        <v>277.0</v>
      </c>
      <c r="E1283" s="28" t="s">
        <v>3460</v>
      </c>
      <c r="F1283" s="7" t="str">
        <f>IFERROR(__xludf.DUMMYFUNCTION("GOOGLETRANSLATE(B1283:B5064,""en"",""fr"")"),"bousiller")</f>
        <v>bousiller</v>
      </c>
    </row>
    <row r="1284" ht="19.5" customHeight="1">
      <c r="A1284" s="26" t="s">
        <v>3461</v>
      </c>
      <c r="B1284" s="27" t="s">
        <v>3462</v>
      </c>
      <c r="C1284" s="28" t="s">
        <v>85</v>
      </c>
      <c r="D1284" s="29">
        <v>277.0</v>
      </c>
      <c r="E1284" s="28" t="s">
        <v>3462</v>
      </c>
      <c r="F1284" s="7" t="str">
        <f>IFERROR(__xludf.DUMMYFUNCTION("GOOGLETRANSLATE(B1284:B5064,""en"",""fr"")"),"goder")</f>
        <v>goder</v>
      </c>
    </row>
    <row r="1285" ht="19.5" customHeight="1">
      <c r="A1285" s="26" t="s">
        <v>3463</v>
      </c>
      <c r="B1285" s="27" t="s">
        <v>3464</v>
      </c>
      <c r="C1285" s="28" t="s">
        <v>134</v>
      </c>
      <c r="D1285" s="29">
        <v>277.0</v>
      </c>
      <c r="E1285" s="28" t="s">
        <v>3465</v>
      </c>
      <c r="F1285" s="7" t="str">
        <f>IFERROR(__xludf.DUMMYFUNCTION("GOOGLETRANSLATE(B1285:B5064,""en"",""fr"")"),"beau")</f>
        <v>beau</v>
      </c>
    </row>
    <row r="1286" ht="19.5" customHeight="1">
      <c r="A1286" s="26" t="s">
        <v>3466</v>
      </c>
      <c r="B1286" s="27" t="s">
        <v>3467</v>
      </c>
      <c r="C1286" s="28" t="s">
        <v>178</v>
      </c>
      <c r="D1286" s="29">
        <v>277.0</v>
      </c>
      <c r="E1286" s="28" t="s">
        <v>3468</v>
      </c>
      <c r="F1286" s="7" t="str">
        <f>IFERROR(__xludf.DUMMYFUNCTION("GOOGLETRANSLATE(B1286:B5064,""en"",""fr"")"),"sécurité")</f>
        <v>sécurité</v>
      </c>
    </row>
    <row r="1287" ht="19.5" customHeight="1">
      <c r="A1287" s="26" t="s">
        <v>3469</v>
      </c>
      <c r="B1287" s="27" t="s">
        <v>2267</v>
      </c>
      <c r="C1287" s="28" t="s">
        <v>32</v>
      </c>
      <c r="D1287" s="29">
        <v>277.0</v>
      </c>
      <c r="E1287" s="28" t="s">
        <v>3470</v>
      </c>
      <c r="F1287" s="7" t="str">
        <f>IFERROR(__xludf.DUMMYFUNCTION("GOOGLETRANSLATE(B1287:B5064,""en"",""fr"")"),"test")</f>
        <v>test</v>
      </c>
    </row>
    <row r="1288" ht="19.5" customHeight="1">
      <c r="A1288" s="26" t="s">
        <v>3471</v>
      </c>
      <c r="B1288" s="27" t="s">
        <v>3472</v>
      </c>
      <c r="C1288" s="28" t="s">
        <v>178</v>
      </c>
      <c r="D1288" s="29">
        <v>277.0</v>
      </c>
      <c r="E1288" s="28" t="s">
        <v>3473</v>
      </c>
      <c r="F1288" s="7" t="str">
        <f>IFERROR(__xludf.DUMMYFUNCTION("GOOGLETRANSLATE(B1288:B5064,""en"",""fr"")"),"communauté")</f>
        <v>communauté</v>
      </c>
    </row>
    <row r="1289" ht="19.5" customHeight="1">
      <c r="A1289" s="26" t="s">
        <v>3474</v>
      </c>
      <c r="B1289" s="27" t="s">
        <v>3475</v>
      </c>
      <c r="C1289" s="28" t="s">
        <v>178</v>
      </c>
      <c r="D1289" s="29">
        <v>277.0</v>
      </c>
      <c r="E1289" s="28" t="s">
        <v>3476</v>
      </c>
      <c r="F1289" s="7" t="str">
        <f>IFERROR(__xludf.DUMMYFUNCTION("GOOGLETRANSLATE(B1289:B5064,""en"",""fr"")"),"plage")</f>
        <v>plage</v>
      </c>
    </row>
    <row r="1290" ht="19.5" customHeight="1">
      <c r="A1290" s="26" t="s">
        <v>3477</v>
      </c>
      <c r="B1290" s="27" t="s">
        <v>3478</v>
      </c>
      <c r="C1290" s="28" t="s">
        <v>178</v>
      </c>
      <c r="D1290" s="29">
        <v>276.0</v>
      </c>
      <c r="E1290" s="28" t="s">
        <v>3479</v>
      </c>
      <c r="F1290" s="7" t="str">
        <f>IFERROR(__xludf.DUMMYFUNCTION("GOOGLETRANSLATE(B1290:B5064,""en"",""fr"")"),"salle de sport")</f>
        <v>salle de sport</v>
      </c>
    </row>
    <row r="1291" ht="19.5" customHeight="1">
      <c r="A1291" s="26" t="s">
        <v>3480</v>
      </c>
      <c r="B1291" s="27" t="s">
        <v>3481</v>
      </c>
      <c r="C1291" s="28" t="s">
        <v>178</v>
      </c>
      <c r="D1291" s="29">
        <v>276.0</v>
      </c>
      <c r="E1291" s="28" t="s">
        <v>3482</v>
      </c>
      <c r="F1291" s="7" t="str">
        <f>IFERROR(__xludf.DUMMYFUNCTION("GOOGLETRANSLATE(B1291:B5064,""en"",""fr"")"),"griller")</f>
        <v>griller</v>
      </c>
    </row>
    <row r="1292" ht="19.5" customHeight="1">
      <c r="A1292" s="26" t="s">
        <v>3483</v>
      </c>
      <c r="B1292" s="27" t="s">
        <v>3484</v>
      </c>
      <c r="C1292" s="28" t="s">
        <v>178</v>
      </c>
      <c r="D1292" s="29">
        <v>274.0</v>
      </c>
      <c r="E1292" s="28" t="s">
        <v>3485</v>
      </c>
      <c r="F1292" s="7" t="str">
        <f>IFERROR(__xludf.DUMMYFUNCTION("GOOGLETRANSLATE(B1292:B5064,""en"",""fr"")"),"maladie")</f>
        <v>maladie</v>
      </c>
    </row>
    <row r="1293" ht="19.5" customHeight="1">
      <c r="A1293" s="26" t="s">
        <v>3486</v>
      </c>
      <c r="B1293" s="27" t="s">
        <v>3487</v>
      </c>
      <c r="C1293" s="28" t="s">
        <v>32</v>
      </c>
      <c r="D1293" s="29">
        <v>274.0</v>
      </c>
      <c r="E1293" s="28" t="s">
        <v>3488</v>
      </c>
      <c r="F1293" s="7" t="str">
        <f>IFERROR(__xludf.DUMMYFUNCTION("GOOGLETRANSLATE(B1293:B5064,""en"",""fr"")"),"peinture")</f>
        <v>peinture</v>
      </c>
    </row>
    <row r="1294" ht="19.5" customHeight="1">
      <c r="A1294" s="26" t="s">
        <v>3489</v>
      </c>
      <c r="B1294" s="27" t="s">
        <v>3490</v>
      </c>
      <c r="C1294" s="28" t="s">
        <v>36</v>
      </c>
      <c r="D1294" s="29">
        <v>274.0</v>
      </c>
      <c r="E1294" s="28" t="s">
        <v>3490</v>
      </c>
      <c r="F1294" s="7" t="str">
        <f>IFERROR(__xludf.DUMMYFUNCTION("GOOGLETRANSLATE(B1294:B5064,""en"",""fr"")"),"eux-mêmes")</f>
        <v>eux-mêmes</v>
      </c>
    </row>
    <row r="1295" ht="19.5" customHeight="1">
      <c r="A1295" s="26" t="s">
        <v>3491</v>
      </c>
      <c r="B1295" s="27" t="s">
        <v>3492</v>
      </c>
      <c r="C1295" s="28" t="s">
        <v>728</v>
      </c>
      <c r="D1295" s="29">
        <v>272.0</v>
      </c>
      <c r="E1295" s="28" t="s">
        <v>3493</v>
      </c>
      <c r="F1295" s="7" t="str">
        <f>IFERROR(__xludf.DUMMYFUNCTION("GOOGLETRANSLATE(B1295:B5064,""en"",""fr"")"),"Lundi")</f>
        <v>Lundi</v>
      </c>
    </row>
    <row r="1296" ht="19.5" customHeight="1">
      <c r="A1296" s="26" t="s">
        <v>3494</v>
      </c>
      <c r="B1296" s="27" t="s">
        <v>3495</v>
      </c>
      <c r="C1296" s="28" t="s">
        <v>32</v>
      </c>
      <c r="D1296" s="29">
        <v>272.0</v>
      </c>
      <c r="E1296" s="28" t="s">
        <v>3496</v>
      </c>
      <c r="F1296" s="7" t="str">
        <f>IFERROR(__xludf.DUMMYFUNCTION("GOOGLETRANSLATE(B1296:B5064,""en"",""fr"")"),"paquet")</f>
        <v>paquet</v>
      </c>
    </row>
    <row r="1297" ht="19.5" customHeight="1">
      <c r="A1297" s="26" t="s">
        <v>3497</v>
      </c>
      <c r="B1297" s="27" t="s">
        <v>3498</v>
      </c>
      <c r="C1297" s="28" t="s">
        <v>32</v>
      </c>
      <c r="D1297" s="29">
        <v>272.0</v>
      </c>
      <c r="E1297" s="28" t="s">
        <v>3499</v>
      </c>
      <c r="F1297" s="7" t="str">
        <f>IFERROR(__xludf.DUMMYFUNCTION("GOOGLETRANSLATE(B1297:B5064,""en"",""fr"")"),"coup de poing")</f>
        <v>coup de poing</v>
      </c>
    </row>
    <row r="1298" ht="19.5" customHeight="1">
      <c r="A1298" s="26" t="s">
        <v>3500</v>
      </c>
      <c r="B1298" s="27" t="s">
        <v>3501</v>
      </c>
      <c r="C1298" s="28" t="s">
        <v>178</v>
      </c>
      <c r="D1298" s="29">
        <v>271.0</v>
      </c>
      <c r="E1298" s="28" t="s">
        <v>3502</v>
      </c>
      <c r="F1298" s="7" t="str">
        <f>IFERROR(__xludf.DUMMYFUNCTION("GOOGLETRANSLATE(B1298:B5064,""en"",""fr"")"),"client")</f>
        <v>client</v>
      </c>
    </row>
    <row r="1299" ht="19.5" customHeight="1">
      <c r="A1299" s="26" t="s">
        <v>3503</v>
      </c>
      <c r="B1299" s="27" t="s">
        <v>3504</v>
      </c>
      <c r="C1299" s="28" t="s">
        <v>134</v>
      </c>
      <c r="D1299" s="29">
        <v>271.0</v>
      </c>
      <c r="E1299" s="28" t="s">
        <v>3505</v>
      </c>
      <c r="F1299" s="7" t="str">
        <f>IFERROR(__xludf.DUMMYFUNCTION("GOOGLETRANSLATE(B1299:B5064,""en"",""fr"")"),"en bonne santé")</f>
        <v>en bonne santé</v>
      </c>
    </row>
    <row r="1300" ht="19.5" customHeight="1">
      <c r="A1300" s="26" t="s">
        <v>3506</v>
      </c>
      <c r="B1300" s="27" t="s">
        <v>3507</v>
      </c>
      <c r="C1300" s="28" t="s">
        <v>32</v>
      </c>
      <c r="D1300" s="29">
        <v>271.0</v>
      </c>
      <c r="E1300" s="28" t="s">
        <v>3508</v>
      </c>
      <c r="F1300" s="7" t="str">
        <f>IFERROR(__xludf.DUMMYFUNCTION("GOOGLETRANSLATE(B1300:B5064,""en"",""fr"")"),"inventer")</f>
        <v>inventer</v>
      </c>
    </row>
    <row r="1301" ht="19.5" customHeight="1">
      <c r="A1301" s="26" t="s">
        <v>3509</v>
      </c>
      <c r="B1301" s="27" t="s">
        <v>3510</v>
      </c>
      <c r="C1301" s="28" t="s">
        <v>178</v>
      </c>
      <c r="D1301" s="29">
        <v>271.0</v>
      </c>
      <c r="E1301" s="28" t="s">
        <v>3511</v>
      </c>
      <c r="F1301" s="7" t="str">
        <f>IFERROR(__xludf.DUMMYFUNCTION("GOOGLETRANSLATE(B1301:B5064,""en"",""fr"")"),"princesse")</f>
        <v>princesse</v>
      </c>
    </row>
    <row r="1302" ht="19.5" customHeight="1">
      <c r="A1302" s="26" t="s">
        <v>3512</v>
      </c>
      <c r="B1302" s="27" t="s">
        <v>3513</v>
      </c>
      <c r="C1302" s="28" t="s">
        <v>134</v>
      </c>
      <c r="D1302" s="29">
        <v>270.0</v>
      </c>
      <c r="E1302" s="28" t="s">
        <v>3514</v>
      </c>
      <c r="F1302" s="7" t="str">
        <f>IFERROR(__xludf.DUMMYFUNCTION("GOOGLETRANSLATE(B1302:B5064,""en"",""fr"")"),"joyeux")</f>
        <v>joyeux</v>
      </c>
    </row>
    <row r="1303" ht="19.5" customHeight="1">
      <c r="A1303" s="26" t="s">
        <v>3515</v>
      </c>
      <c r="B1303" s="27" t="s">
        <v>3516</v>
      </c>
      <c r="C1303" s="28" t="s">
        <v>100</v>
      </c>
      <c r="D1303" s="29">
        <v>270.0</v>
      </c>
      <c r="E1303" s="28" t="s">
        <v>3516</v>
      </c>
      <c r="F1303" s="7" t="str">
        <f>IFERROR(__xludf.DUMMYFUNCTION("GOOGLETRANSLATE(B1303:B5064,""en"",""fr"")"),"un jour")</f>
        <v>un jour</v>
      </c>
    </row>
    <row r="1304" ht="19.5" customHeight="1">
      <c r="A1304" s="26" t="s">
        <v>3517</v>
      </c>
      <c r="B1304" s="27" t="s">
        <v>3518</v>
      </c>
      <c r="C1304" s="28" t="s">
        <v>134</v>
      </c>
      <c r="D1304" s="29">
        <v>269.0</v>
      </c>
      <c r="E1304" s="28" t="s">
        <v>3519</v>
      </c>
      <c r="F1304" s="7" t="str">
        <f>IFERROR(__xludf.DUMMYFUNCTION("GOOGLETRANSLATE(B1304:B5064,""en"",""fr"")"),"aveugle")</f>
        <v>aveugle</v>
      </c>
    </row>
    <row r="1305" ht="19.5" customHeight="1">
      <c r="A1305" s="26" t="s">
        <v>3520</v>
      </c>
      <c r="B1305" s="27" t="s">
        <v>3521</v>
      </c>
      <c r="C1305" s="28" t="s">
        <v>100</v>
      </c>
      <c r="D1305" s="29">
        <v>269.0</v>
      </c>
      <c r="E1305" s="28" t="s">
        <v>3521</v>
      </c>
      <c r="F1305" s="7" t="str">
        <f>IFERROR(__xludf.DUMMYFUNCTION("GOOGLETRANSLATE(B1305:B5064,""en"",""fr"")"),"certain")</f>
        <v>certain</v>
      </c>
    </row>
    <row r="1306" ht="19.5" customHeight="1">
      <c r="A1306" s="26" t="s">
        <v>3522</v>
      </c>
      <c r="B1306" s="27" t="s">
        <v>3523</v>
      </c>
      <c r="C1306" s="28" t="s">
        <v>32</v>
      </c>
      <c r="D1306" s="29">
        <v>269.0</v>
      </c>
      <c r="E1306" s="28" t="s">
        <v>3524</v>
      </c>
      <c r="F1306" s="7" t="str">
        <f>IFERROR(__xludf.DUMMYFUNCTION("GOOGLETRANSLATE(B1306:B5064,""en"",""fr"")"),"résoudre")</f>
        <v>résoudre</v>
      </c>
    </row>
    <row r="1307" ht="19.5" customHeight="1">
      <c r="A1307" s="26" t="s">
        <v>3525</v>
      </c>
      <c r="B1307" s="27" t="s">
        <v>3334</v>
      </c>
      <c r="C1307" s="28" t="s">
        <v>178</v>
      </c>
      <c r="D1307" s="29">
        <v>269.0</v>
      </c>
      <c r="E1307" s="28" t="s">
        <v>3526</v>
      </c>
      <c r="F1307" s="7" t="str">
        <f>IFERROR(__xludf.DUMMYFUNCTION("GOOGLETRANSLATE(B1307:B5064,""en"",""fr"")"),"étude")</f>
        <v>étude</v>
      </c>
    </row>
    <row r="1308" ht="19.5" customHeight="1">
      <c r="A1308" s="26" t="s">
        <v>3527</v>
      </c>
      <c r="B1308" s="27" t="s">
        <v>3528</v>
      </c>
      <c r="C1308" s="28" t="s">
        <v>178</v>
      </c>
      <c r="D1308" s="29">
        <v>269.0</v>
      </c>
      <c r="E1308" s="28" t="s">
        <v>3529</v>
      </c>
      <c r="F1308" s="7" t="str">
        <f>IFERROR(__xludf.DUMMYFUNCTION("GOOGLETRANSLATE(B1308:B5064,""en"",""fr"")"),"pull-over")</f>
        <v>pull-over</v>
      </c>
    </row>
    <row r="1309" ht="19.5" customHeight="1">
      <c r="A1309" s="26" t="s">
        <v>3530</v>
      </c>
      <c r="B1309" s="27" t="s">
        <v>3531</v>
      </c>
      <c r="C1309" s="28" t="s">
        <v>134</v>
      </c>
      <c r="D1309" s="29">
        <v>269.0</v>
      </c>
      <c r="E1309" s="28" t="s">
        <v>3531</v>
      </c>
      <c r="F1309" s="7" t="str">
        <f>IFERROR(__xludf.DUMMYFUNCTION("GOOGLETRANSLATE(B1309:B5064,""en"",""fr"")"),"formidable")</f>
        <v>formidable</v>
      </c>
    </row>
    <row r="1310" ht="19.5" customHeight="1">
      <c r="A1310" s="26" t="s">
        <v>3532</v>
      </c>
      <c r="B1310" s="27" t="s">
        <v>3533</v>
      </c>
      <c r="C1310" s="28" t="s">
        <v>134</v>
      </c>
      <c r="D1310" s="29">
        <v>269.0</v>
      </c>
      <c r="E1310" s="28" t="s">
        <v>3534</v>
      </c>
      <c r="F1310" s="7" t="str">
        <f>IFERROR(__xludf.DUMMYFUNCTION("GOOGLETRANSLATE(B1310:B5064,""en"",""fr"")"),"mouillé")</f>
        <v>mouillé</v>
      </c>
    </row>
    <row r="1311" ht="19.5" customHeight="1">
      <c r="A1311" s="26" t="s">
        <v>3535</v>
      </c>
      <c r="B1311" s="27" t="s">
        <v>3536</v>
      </c>
      <c r="C1311" s="28" t="s">
        <v>178</v>
      </c>
      <c r="D1311" s="29">
        <v>268.0</v>
      </c>
      <c r="E1311" s="28" t="s">
        <v>3537</v>
      </c>
      <c r="F1311" s="7" t="str">
        <f>IFERROR(__xludf.DUMMYFUNCTION("GOOGLETRANSLATE(B1311:B5064,""en"",""fr"")"),"attaque")</f>
        <v>attaque</v>
      </c>
    </row>
    <row r="1312" ht="19.5" customHeight="1">
      <c r="A1312" s="26" t="s">
        <v>3538</v>
      </c>
      <c r="B1312" s="27" t="s">
        <v>3539</v>
      </c>
      <c r="C1312" s="28" t="s">
        <v>32</v>
      </c>
      <c r="D1312" s="29">
        <v>268.0</v>
      </c>
      <c r="E1312" s="28" t="s">
        <v>3540</v>
      </c>
      <c r="F1312" s="7" t="str">
        <f>IFERROR(__xludf.DUMMYFUNCTION("GOOGLETRANSLATE(B1312:B5064,""en"",""fr"")"),"mendier")</f>
        <v>mendier</v>
      </c>
    </row>
    <row r="1313" ht="19.5" customHeight="1">
      <c r="A1313" s="26" t="s">
        <v>3541</v>
      </c>
      <c r="B1313" s="27" t="s">
        <v>3542</v>
      </c>
      <c r="C1313" s="28" t="s">
        <v>178</v>
      </c>
      <c r="D1313" s="29">
        <v>268.0</v>
      </c>
      <c r="E1313" s="28" t="s">
        <v>3543</v>
      </c>
      <c r="F1313" s="7" t="str">
        <f>IFERROR(__xludf.DUMMYFUNCTION("GOOGLETRANSLATE(B1313:B5064,""en"",""fr"")"),"cigarette")</f>
        <v>cigarette</v>
      </c>
    </row>
    <row r="1314" ht="19.5" customHeight="1">
      <c r="A1314" s="26" t="s">
        <v>3544</v>
      </c>
      <c r="B1314" s="27" t="s">
        <v>3545</v>
      </c>
      <c r="C1314" s="28" t="s">
        <v>178</v>
      </c>
      <c r="D1314" s="29">
        <v>268.0</v>
      </c>
      <c r="E1314" s="28" t="s">
        <v>3546</v>
      </c>
      <c r="F1314" s="7" t="str">
        <f>IFERROR(__xludf.DUMMYFUNCTION("GOOGLETRANSLATE(B1314:B5064,""en"",""fr"")"),"sucre")</f>
        <v>sucre</v>
      </c>
    </row>
    <row r="1315" ht="19.5" customHeight="1">
      <c r="A1315" s="26" t="s">
        <v>3547</v>
      </c>
      <c r="B1315" s="27" t="s">
        <v>3548</v>
      </c>
      <c r="C1315" s="28" t="s">
        <v>85</v>
      </c>
      <c r="D1315" s="29">
        <v>268.0</v>
      </c>
      <c r="E1315" s="28" t="s">
        <v>3548</v>
      </c>
      <c r="F1315" s="7" t="str">
        <f>IFERROR(__xludf.DUMMYFUNCTION("GOOGLETRANSLATE(B1315:B5064,""en"",""fr"")"),"euh")</f>
        <v>euh</v>
      </c>
    </row>
    <row r="1316" ht="19.5" customHeight="1">
      <c r="A1316" s="26" t="s">
        <v>3549</v>
      </c>
      <c r="B1316" s="27" t="s">
        <v>3550</v>
      </c>
      <c r="C1316" s="28" t="s">
        <v>178</v>
      </c>
      <c r="D1316" s="29">
        <v>268.0</v>
      </c>
      <c r="E1316" s="28" t="s">
        <v>3551</v>
      </c>
      <c r="F1316" s="7" t="str">
        <f>IFERROR(__xludf.DUMMYFUNCTION("GOOGLETRANSLATE(B1316:B5064,""en"",""fr"")"),"fin de semaine")</f>
        <v>fin de semaine</v>
      </c>
    </row>
    <row r="1317" ht="19.5" customHeight="1">
      <c r="A1317" s="26" t="s">
        <v>3552</v>
      </c>
      <c r="B1317" s="27" t="s">
        <v>1366</v>
      </c>
      <c r="C1317" s="28" t="s">
        <v>100</v>
      </c>
      <c r="D1317" s="29">
        <v>267.0</v>
      </c>
      <c r="E1317" s="28" t="s">
        <v>1366</v>
      </c>
      <c r="F1317" s="7" t="str">
        <f>IFERROR(__xludf.DUMMYFUNCTION("GOOGLETRANSLATE(B1317:B5064,""en"",""fr"")"),"condamner")</f>
        <v>condamner</v>
      </c>
    </row>
    <row r="1318" ht="19.5" customHeight="1">
      <c r="A1318" s="26" t="s">
        <v>3553</v>
      </c>
      <c r="B1318" s="27" t="s">
        <v>3554</v>
      </c>
      <c r="C1318" s="28" t="s">
        <v>178</v>
      </c>
      <c r="D1318" s="29">
        <v>267.0</v>
      </c>
      <c r="E1318" s="28" t="s">
        <v>3555</v>
      </c>
      <c r="F1318" s="7" t="str">
        <f>IFERROR(__xludf.DUMMYFUNCTION("GOOGLETRANSLATE(B1318:B5064,""en"",""fr"")"),"chaussette")</f>
        <v>chaussette</v>
      </c>
    </row>
    <row r="1319" ht="19.5" customHeight="1">
      <c r="A1319" s="26" t="s">
        <v>3556</v>
      </c>
      <c r="B1319" s="27" t="s">
        <v>3557</v>
      </c>
      <c r="C1319" s="28" t="s">
        <v>178</v>
      </c>
      <c r="D1319" s="29">
        <v>266.0</v>
      </c>
      <c r="E1319" s="28" t="s">
        <v>3558</v>
      </c>
      <c r="F1319" s="7" t="str">
        <f>IFERROR(__xludf.DUMMYFUNCTION("GOOGLETRANSLATE(B1319:B5064,""en"",""fr"")"),"urgence")</f>
        <v>urgence</v>
      </c>
    </row>
    <row r="1320" ht="19.5" customHeight="1">
      <c r="A1320" s="26" t="s">
        <v>3559</v>
      </c>
      <c r="B1320" s="27" t="s">
        <v>3560</v>
      </c>
      <c r="C1320" s="28" t="s">
        <v>178</v>
      </c>
      <c r="D1320" s="29">
        <v>266.0</v>
      </c>
      <c r="E1320" s="28" t="s">
        <v>3561</v>
      </c>
      <c r="F1320" s="7" t="str">
        <f>IFERROR(__xludf.DUMMYFUNCTION("GOOGLETRANSLATE(B1320:B5064,""en"",""fr"")"),"humeur")</f>
        <v>humeur</v>
      </c>
    </row>
    <row r="1321" ht="19.5" customHeight="1">
      <c r="A1321" s="26" t="s">
        <v>3562</v>
      </c>
      <c r="B1321" s="27" t="s">
        <v>3563</v>
      </c>
      <c r="C1321" s="28" t="s">
        <v>178</v>
      </c>
      <c r="D1321" s="29">
        <v>266.0</v>
      </c>
      <c r="E1321" s="28" t="s">
        <v>3564</v>
      </c>
      <c r="F1321" s="7" t="str">
        <f>IFERROR(__xludf.DUMMYFUNCTION("GOOGLETRANSLATE(B1321:B5064,""en"",""fr"")"),"arachide")</f>
        <v>arachide</v>
      </c>
    </row>
    <row r="1322" ht="19.5" customHeight="1">
      <c r="A1322" s="26" t="s">
        <v>3565</v>
      </c>
      <c r="B1322" s="27" t="s">
        <v>3566</v>
      </c>
      <c r="C1322" s="28" t="s">
        <v>178</v>
      </c>
      <c r="D1322" s="29">
        <v>266.0</v>
      </c>
      <c r="E1322" s="28" t="s">
        <v>3567</v>
      </c>
      <c r="F1322" s="7" t="str">
        <f>IFERROR(__xludf.DUMMYFUNCTION("GOOGLETRANSLATE(B1322:B5064,""en"",""fr"")"),"scène")</f>
        <v>scène</v>
      </c>
    </row>
    <row r="1323" ht="19.5" customHeight="1">
      <c r="A1323" s="26" t="s">
        <v>3568</v>
      </c>
      <c r="B1323" s="27" t="s">
        <v>3569</v>
      </c>
      <c r="C1323" s="28" t="s">
        <v>134</v>
      </c>
      <c r="D1323" s="29">
        <v>266.0</v>
      </c>
      <c r="E1323" s="28" t="s">
        <v>3570</v>
      </c>
      <c r="F1323" s="7" t="str">
        <f>IFERROR(__xludf.DUMMYFUNCTION("GOOGLETRANSLATE(B1323:B5064,""en"",""fr"")"),"serré")</f>
        <v>serré</v>
      </c>
    </row>
    <row r="1324" ht="19.5" customHeight="1">
      <c r="A1324" s="26" t="s">
        <v>3571</v>
      </c>
      <c r="B1324" s="27" t="s">
        <v>3572</v>
      </c>
      <c r="C1324" s="28" t="s">
        <v>178</v>
      </c>
      <c r="D1324" s="29">
        <v>265.0</v>
      </c>
      <c r="E1324" s="28" t="s">
        <v>3573</v>
      </c>
      <c r="F1324" s="7" t="str">
        <f>IFERROR(__xludf.DUMMYFUNCTION("GOOGLETRANSLATE(B1324:B5064,""en"",""fr"")"),"gencive")</f>
        <v>gencive</v>
      </c>
    </row>
    <row r="1325" ht="19.5" customHeight="1">
      <c r="A1325" s="26" t="s">
        <v>3574</v>
      </c>
      <c r="B1325" s="27" t="s">
        <v>3575</v>
      </c>
      <c r="C1325" s="28" t="s">
        <v>178</v>
      </c>
      <c r="D1325" s="29">
        <v>265.0</v>
      </c>
      <c r="E1325" s="28" t="s">
        <v>3576</v>
      </c>
      <c r="F1325" s="7" t="str">
        <f>IFERROR(__xludf.DUMMYFUNCTION("GOOGLETRANSLATE(B1325:B5064,""en"",""fr"")"),"lune")</f>
        <v>lune</v>
      </c>
    </row>
    <row r="1326" ht="19.5" customHeight="1">
      <c r="A1326" s="26" t="s">
        <v>3577</v>
      </c>
      <c r="B1326" s="27" t="s">
        <v>3578</v>
      </c>
      <c r="C1326" s="28" t="s">
        <v>178</v>
      </c>
      <c r="D1326" s="29">
        <v>265.0</v>
      </c>
      <c r="E1326" s="28" t="s">
        <v>3579</v>
      </c>
      <c r="F1326" s="7" t="str">
        <f>IFERROR(__xludf.DUMMYFUNCTION("GOOGLETRANSLATE(B1326:B5064,""en"",""fr"")"),"nature")</f>
        <v>nature</v>
      </c>
    </row>
    <row r="1327" ht="19.5" customHeight="1">
      <c r="A1327" s="26" t="s">
        <v>3580</v>
      </c>
      <c r="B1327" s="27" t="s">
        <v>3581</v>
      </c>
      <c r="C1327" s="28" t="s">
        <v>178</v>
      </c>
      <c r="D1327" s="29">
        <v>265.0</v>
      </c>
      <c r="E1327" s="28" t="s">
        <v>3582</v>
      </c>
      <c r="F1327" s="7" t="str">
        <f>IFERROR(__xludf.DUMMYFUNCTION("GOOGLETRANSLATE(B1327:B5064,""en"",""fr"")"),"programme")</f>
        <v>programme</v>
      </c>
    </row>
    <row r="1328" ht="19.5" customHeight="1">
      <c r="A1328" s="26" t="s">
        <v>3583</v>
      </c>
      <c r="B1328" s="27" t="s">
        <v>2891</v>
      </c>
      <c r="C1328" s="28" t="s">
        <v>100</v>
      </c>
      <c r="D1328" s="29">
        <v>265.0</v>
      </c>
      <c r="E1328" s="28" t="s">
        <v>2891</v>
      </c>
      <c r="F1328" s="7" t="str">
        <f>IFERROR(__xludf.DUMMYFUNCTION("GOOGLETRANSLATE(B1328:B5064,""en"",""fr"")"),"droit")</f>
        <v>droit</v>
      </c>
    </row>
    <row r="1329" ht="19.5" customHeight="1">
      <c r="A1329" s="26" t="s">
        <v>3584</v>
      </c>
      <c r="B1329" s="27" t="s">
        <v>3585</v>
      </c>
      <c r="C1329" s="28" t="s">
        <v>178</v>
      </c>
      <c r="D1329" s="29">
        <v>264.0</v>
      </c>
      <c r="E1329" s="28" t="s">
        <v>3586</v>
      </c>
      <c r="F1329" s="7" t="str">
        <f>IFERROR(__xludf.DUMMYFUNCTION("GOOGLETRANSLATE(B1329:B5064,""en"",""fr"")"),"ange")</f>
        <v>ange</v>
      </c>
    </row>
    <row r="1330" ht="19.5" customHeight="1">
      <c r="A1330" s="26" t="s">
        <v>3587</v>
      </c>
      <c r="B1330" s="27" t="s">
        <v>3588</v>
      </c>
      <c r="C1330" s="28" t="s">
        <v>134</v>
      </c>
      <c r="D1330" s="29">
        <v>264.0</v>
      </c>
      <c r="E1330" s="28" t="s">
        <v>3588</v>
      </c>
      <c r="F1330" s="7" t="str">
        <f>IFERROR(__xludf.DUMMYFUNCTION("GOOGLETRANSLATE(B1330:B5064,""en"",""fr"")"),"corporatif")</f>
        <v>corporatif</v>
      </c>
    </row>
    <row r="1331" ht="19.5" customHeight="1">
      <c r="A1331" s="26" t="s">
        <v>3589</v>
      </c>
      <c r="B1331" s="27" t="s">
        <v>1366</v>
      </c>
      <c r="C1331" s="28" t="s">
        <v>32</v>
      </c>
      <c r="D1331" s="29">
        <v>264.0</v>
      </c>
      <c r="E1331" s="28" t="s">
        <v>3590</v>
      </c>
      <c r="F1331" s="7" t="str">
        <f>IFERROR(__xludf.DUMMYFUNCTION("GOOGLETRANSLATE(B1331:B5064,""en"",""fr"")"),"condamner")</f>
        <v>condamner</v>
      </c>
    </row>
    <row r="1332" ht="19.5" customHeight="1">
      <c r="A1332" s="26" t="s">
        <v>3591</v>
      </c>
      <c r="B1332" s="27" t="s">
        <v>3592</v>
      </c>
      <c r="C1332" s="28" t="s">
        <v>32</v>
      </c>
      <c r="D1332" s="29">
        <v>264.0</v>
      </c>
      <c r="E1332" s="28" t="s">
        <v>3593</v>
      </c>
      <c r="F1332" s="7" t="str">
        <f>IFERROR(__xludf.DUMMYFUNCTION("GOOGLETRANSLATE(B1332:B5064,""en"",""fr"")"),"exister")</f>
        <v>exister</v>
      </c>
    </row>
    <row r="1333" ht="19.5" customHeight="1">
      <c r="A1333" s="26" t="s">
        <v>3594</v>
      </c>
      <c r="B1333" s="27" t="s">
        <v>3595</v>
      </c>
      <c r="C1333" s="28" t="s">
        <v>178</v>
      </c>
      <c r="D1333" s="29">
        <v>264.0</v>
      </c>
      <c r="E1333" s="28" t="s">
        <v>3596</v>
      </c>
      <c r="F1333" s="7" t="str">
        <f>IFERROR(__xludf.DUMMYFUNCTION("GOOGLETRANSLATE(B1333:B5064,""en"",""fr"")"),"fantôme")</f>
        <v>fantôme</v>
      </c>
    </row>
    <row r="1334" ht="19.5" customHeight="1">
      <c r="A1334" s="26" t="s">
        <v>3597</v>
      </c>
      <c r="B1334" s="27" t="s">
        <v>3598</v>
      </c>
      <c r="C1334" s="28" t="s">
        <v>178</v>
      </c>
      <c r="D1334" s="29">
        <v>264.0</v>
      </c>
      <c r="E1334" s="28" t="s">
        <v>3599</v>
      </c>
      <c r="F1334" s="7" t="str">
        <f>IFERROR(__xludf.DUMMYFUNCTION("GOOGLETRANSLATE(B1334:B5064,""en"",""fr"")"),"sauce")</f>
        <v>sauce</v>
      </c>
    </row>
    <row r="1335" ht="19.5" customHeight="1">
      <c r="A1335" s="26" t="s">
        <v>3600</v>
      </c>
      <c r="B1335" s="27" t="s">
        <v>3601</v>
      </c>
      <c r="C1335" s="28" t="s">
        <v>178</v>
      </c>
      <c r="D1335" s="29">
        <v>264.0</v>
      </c>
      <c r="E1335" s="28" t="s">
        <v>3602</v>
      </c>
      <c r="F1335" s="7" t="str">
        <f>IFERROR(__xludf.DUMMYFUNCTION("GOOGLETRANSLATE(B1335:B5064,""en"",""fr"")"),"estomac")</f>
        <v>estomac</v>
      </c>
    </row>
    <row r="1336" ht="19.5" customHeight="1">
      <c r="A1336" s="26" t="s">
        <v>3603</v>
      </c>
      <c r="B1336" s="27" t="s">
        <v>3604</v>
      </c>
      <c r="C1336" s="28" t="s">
        <v>150</v>
      </c>
      <c r="D1336" s="29">
        <v>264.0</v>
      </c>
      <c r="E1336" s="28" t="s">
        <v>3604</v>
      </c>
      <c r="F1336" s="7" t="str">
        <f>IFERROR(__xludf.DUMMYFUNCTION("GOOGLETRANSLATE(B1336:B5064,""en"",""fr"")"),"vingt cinq")</f>
        <v>vingt cinq</v>
      </c>
    </row>
    <row r="1337" ht="19.5" customHeight="1">
      <c r="A1337" s="26" t="s">
        <v>3605</v>
      </c>
      <c r="B1337" s="27" t="s">
        <v>3606</v>
      </c>
      <c r="C1337" s="28" t="s">
        <v>178</v>
      </c>
      <c r="D1337" s="29">
        <v>263.0</v>
      </c>
      <c r="E1337" s="28" t="s">
        <v>3607</v>
      </c>
      <c r="F1337" s="7" t="str">
        <f>IFERROR(__xludf.DUMMYFUNCTION("GOOGLETRANSLATE(B1337:B5064,""en"",""fr"")"),"bloc")</f>
        <v>bloc</v>
      </c>
    </row>
    <row r="1338" ht="19.5" customHeight="1">
      <c r="A1338" s="26" t="s">
        <v>3608</v>
      </c>
      <c r="B1338" s="27" t="s">
        <v>3609</v>
      </c>
      <c r="C1338" s="28" t="s">
        <v>36</v>
      </c>
      <c r="D1338" s="29">
        <v>263.0</v>
      </c>
      <c r="E1338" s="28" t="s">
        <v>3609</v>
      </c>
      <c r="F1338" s="7" t="str">
        <f>IFERROR(__xludf.DUMMYFUNCTION("GOOGLETRANSLATE(B1338:B5064,""en"",""fr"")"),"se")</f>
        <v>se</v>
      </c>
    </row>
    <row r="1339" ht="19.5" customHeight="1">
      <c r="A1339" s="26" t="s">
        <v>3610</v>
      </c>
      <c r="B1339" s="27" t="s">
        <v>3611</v>
      </c>
      <c r="C1339" s="28" t="s">
        <v>178</v>
      </c>
      <c r="D1339" s="29">
        <v>263.0</v>
      </c>
      <c r="E1339" s="28" t="s">
        <v>3612</v>
      </c>
      <c r="F1339" s="7" t="str">
        <f>IFERROR(__xludf.DUMMYFUNCTION("GOOGLETRANSLATE(B1339:B5064,""en"",""fr"")"),"meurtre")</f>
        <v>meurtre</v>
      </c>
    </row>
    <row r="1340" ht="19.5" customHeight="1">
      <c r="A1340" s="26" t="s">
        <v>3613</v>
      </c>
      <c r="B1340" s="27" t="s">
        <v>3614</v>
      </c>
      <c r="C1340" s="28" t="s">
        <v>178</v>
      </c>
      <c r="D1340" s="29">
        <v>263.0</v>
      </c>
      <c r="E1340" s="28" t="s">
        <v>3615</v>
      </c>
      <c r="F1340" s="7" t="str">
        <f>IFERROR(__xludf.DUMMYFUNCTION("GOOGLETRANSLATE(B1340:B5064,""en"",""fr"")"),"vitesse")</f>
        <v>vitesse</v>
      </c>
    </row>
    <row r="1341" ht="19.5" customHeight="1">
      <c r="A1341" s="26" t="s">
        <v>3616</v>
      </c>
      <c r="B1341" s="27" t="s">
        <v>3617</v>
      </c>
      <c r="C1341" s="28" t="s">
        <v>85</v>
      </c>
      <c r="D1341" s="29">
        <v>262.0</v>
      </c>
      <c r="E1341" s="28" t="s">
        <v>3617</v>
      </c>
      <c r="F1341" s="7" t="str">
        <f>IFERROR(__xludf.DUMMYFUNCTION("GOOGLETRANSLATE(B1341:B5064,""en"",""fr"")"),"Jésus")</f>
        <v>Jésus</v>
      </c>
    </row>
    <row r="1342" ht="19.5" customHeight="1">
      <c r="A1342" s="26" t="s">
        <v>3618</v>
      </c>
      <c r="B1342" s="27" t="s">
        <v>3619</v>
      </c>
      <c r="C1342" s="28" t="s">
        <v>32</v>
      </c>
      <c r="D1342" s="29">
        <v>262.0</v>
      </c>
      <c r="E1342" s="28" t="s">
        <v>3620</v>
      </c>
      <c r="F1342" s="7" t="str">
        <f>IFERROR(__xludf.DUMMYFUNCTION("GOOGLETRANSLATE(B1342:B5064,""en"",""fr"")"),"mélanger")</f>
        <v>mélanger</v>
      </c>
    </row>
    <row r="1343" ht="19.5" customHeight="1">
      <c r="A1343" s="26" t="s">
        <v>3621</v>
      </c>
      <c r="B1343" s="27" t="s">
        <v>3622</v>
      </c>
      <c r="C1343" s="28" t="s">
        <v>178</v>
      </c>
      <c r="D1343" s="29">
        <v>262.0</v>
      </c>
      <c r="E1343" s="28" t="s">
        <v>3623</v>
      </c>
      <c r="F1343" s="7" t="str">
        <f>IFERROR(__xludf.DUMMYFUNCTION("GOOGLETRANSLATE(B1343:B5064,""en"",""fr"")"),"piste")</f>
        <v>piste</v>
      </c>
    </row>
    <row r="1344" ht="19.5" customHeight="1">
      <c r="A1344" s="26" t="s">
        <v>3624</v>
      </c>
      <c r="B1344" s="27" t="s">
        <v>3625</v>
      </c>
      <c r="C1344" s="28" t="s">
        <v>178</v>
      </c>
      <c r="D1344" s="29">
        <v>261.0</v>
      </c>
      <c r="E1344" s="28" t="s">
        <v>3626</v>
      </c>
      <c r="F1344" s="7" t="str">
        <f>IFERROR(__xludf.DUMMYFUNCTION("GOOGLETRANSLATE(B1344:B5064,""en"",""fr"")"),"opportunité")</f>
        <v>opportunité</v>
      </c>
    </row>
    <row r="1345" ht="19.5" customHeight="1">
      <c r="A1345" s="26" t="s">
        <v>3627</v>
      </c>
      <c r="B1345" s="27" t="s">
        <v>3628</v>
      </c>
      <c r="C1345" s="28" t="s">
        <v>178</v>
      </c>
      <c r="D1345" s="29">
        <v>261.0</v>
      </c>
      <c r="E1345" s="28" t="s">
        <v>3629</v>
      </c>
      <c r="F1345" s="7" t="str">
        <f>IFERROR(__xludf.DUMMYFUNCTION("GOOGLETRANSLATE(B1345:B5064,""en"",""fr"")"),"société")</f>
        <v>société</v>
      </c>
    </row>
    <row r="1346" ht="19.5" customHeight="1">
      <c r="A1346" s="26" t="s">
        <v>3630</v>
      </c>
      <c r="B1346" s="27" t="s">
        <v>3631</v>
      </c>
      <c r="C1346" s="28" t="s">
        <v>85</v>
      </c>
      <c r="D1346" s="29">
        <v>261.0</v>
      </c>
      <c r="E1346" s="28" t="s">
        <v>3631</v>
      </c>
      <c r="F1346" s="7" t="str">
        <f>IFERROR(__xludf.DUMMYFUNCTION("GOOGLETRANSLATE(B1346:B5064,""en"",""fr"")"),"Whoo Hoo")</f>
        <v>Whoo Hoo</v>
      </c>
    </row>
    <row r="1347" ht="19.5" customHeight="1">
      <c r="A1347" s="26" t="s">
        <v>3632</v>
      </c>
      <c r="B1347" s="27" t="s">
        <v>3633</v>
      </c>
      <c r="C1347" s="28" t="s">
        <v>36</v>
      </c>
      <c r="D1347" s="29">
        <v>260.0</v>
      </c>
      <c r="E1347" s="28" t="s">
        <v>3633</v>
      </c>
      <c r="F1347" s="7" t="str">
        <f>IFERROR(__xludf.DUMMYFUNCTION("GOOGLETRANSLATE(B1347:B5064,""en"",""fr"")"),"sur")</f>
        <v>sur</v>
      </c>
    </row>
    <row r="1348" ht="19.5" customHeight="1">
      <c r="A1348" s="26" t="s">
        <v>3634</v>
      </c>
      <c r="B1348" s="27" t="s">
        <v>3635</v>
      </c>
      <c r="C1348" s="28" t="s">
        <v>134</v>
      </c>
      <c r="D1348" s="29">
        <v>259.0</v>
      </c>
      <c r="E1348" s="28" t="s">
        <v>3635</v>
      </c>
      <c r="F1348" s="7" t="str">
        <f>IFERROR(__xludf.DUMMYFUNCTION("GOOGLETRANSLATE(B1348:B5064,""en"",""fr"")"),"difficile")</f>
        <v>difficile</v>
      </c>
    </row>
    <row r="1349" ht="19.5" customHeight="1">
      <c r="A1349" s="26" t="s">
        <v>3636</v>
      </c>
      <c r="B1349" s="27" t="s">
        <v>3637</v>
      </c>
      <c r="C1349" s="28" t="s">
        <v>178</v>
      </c>
      <c r="D1349" s="29">
        <v>259.0</v>
      </c>
      <c r="E1349" s="28" t="s">
        <v>3638</v>
      </c>
      <c r="F1349" s="7" t="str">
        <f>IFERROR(__xludf.DUMMYFUNCTION("GOOGLETRANSLATE(B1349:B5064,""en"",""fr"")"),"tueur")</f>
        <v>tueur</v>
      </c>
    </row>
    <row r="1350" ht="19.5" customHeight="1">
      <c r="A1350" s="26" t="s">
        <v>3639</v>
      </c>
      <c r="B1350" s="27" t="s">
        <v>3640</v>
      </c>
      <c r="C1350" s="28" t="s">
        <v>178</v>
      </c>
      <c r="D1350" s="29">
        <v>259.0</v>
      </c>
      <c r="E1350" s="28" t="s">
        <v>3641</v>
      </c>
      <c r="F1350" s="7" t="str">
        <f>IFERROR(__xludf.DUMMYFUNCTION("GOOGLETRANSLATE(B1350:B5064,""en"",""fr"")"),"lèvre")</f>
        <v>lèvre</v>
      </c>
    </row>
    <row r="1351" ht="19.5" customHeight="1">
      <c r="A1351" s="26" t="s">
        <v>3642</v>
      </c>
      <c r="B1351" s="27" t="s">
        <v>3643</v>
      </c>
      <c r="C1351" s="28" t="s">
        <v>178</v>
      </c>
      <c r="D1351" s="29">
        <v>259.0</v>
      </c>
      <c r="E1351" s="28" t="s">
        <v>3644</v>
      </c>
      <c r="F1351" s="7" t="str">
        <f>IFERROR(__xludf.DUMMYFUNCTION("GOOGLETRANSLATE(B1351:B5064,""en"",""fr"")"),"marché")</f>
        <v>marché</v>
      </c>
    </row>
    <row r="1352" ht="19.5" customHeight="1">
      <c r="A1352" s="26" t="s">
        <v>3645</v>
      </c>
      <c r="B1352" s="27" t="s">
        <v>3646</v>
      </c>
      <c r="C1352" s="28" t="s">
        <v>178</v>
      </c>
      <c r="D1352" s="29">
        <v>258.0</v>
      </c>
      <c r="E1352" s="28" t="s">
        <v>3646</v>
      </c>
      <c r="F1352" s="7" t="str">
        <f>IFERROR(__xludf.DUMMYFUNCTION("GOOGLETRANSLATE(B1352:B5064,""en"",""fr"")"),"bonté")</f>
        <v>bonté</v>
      </c>
    </row>
    <row r="1353" ht="19.5" customHeight="1">
      <c r="A1353" s="26" t="s">
        <v>3647</v>
      </c>
      <c r="B1353" s="27" t="s">
        <v>3648</v>
      </c>
      <c r="C1353" s="28" t="s">
        <v>178</v>
      </c>
      <c r="D1353" s="29">
        <v>258.0</v>
      </c>
      <c r="E1353" s="28" t="s">
        <v>3649</v>
      </c>
      <c r="F1353" s="7" t="str">
        <f>IFERROR(__xludf.DUMMYFUNCTION("GOOGLETRANSLATE(B1353:B5064,""en"",""fr"")"),"oreiller")</f>
        <v>oreiller</v>
      </c>
    </row>
    <row r="1354" ht="19.5" customHeight="1">
      <c r="A1354" s="26" t="s">
        <v>3650</v>
      </c>
      <c r="B1354" s="27" t="s">
        <v>3138</v>
      </c>
      <c r="C1354" s="28" t="s">
        <v>32</v>
      </c>
      <c r="D1354" s="29">
        <v>258.0</v>
      </c>
      <c r="E1354" s="28" t="s">
        <v>3651</v>
      </c>
      <c r="F1354" s="7" t="str">
        <f>IFERROR(__xludf.DUMMYFUNCTION("GOOGLETRANSLATE(B1354:B5064,""en"",""fr"")"),"cravate")</f>
        <v>cravate</v>
      </c>
    </row>
    <row r="1355" ht="19.5" customHeight="1">
      <c r="A1355" s="26" t="s">
        <v>3652</v>
      </c>
      <c r="B1355" s="27" t="s">
        <v>3653</v>
      </c>
      <c r="C1355" s="28" t="s">
        <v>32</v>
      </c>
      <c r="D1355" s="29">
        <v>257.0</v>
      </c>
      <c r="E1355" s="28" t="s">
        <v>3654</v>
      </c>
      <c r="F1355" s="7" t="str">
        <f>IFERROR(__xludf.DUMMYFUNCTION("GOOGLETRANSLATE(B1355:B5064,""en"",""fr"")"),"arriver")</f>
        <v>arriver</v>
      </c>
    </row>
    <row r="1356" ht="19.5" customHeight="1">
      <c r="A1356" s="26" t="s">
        <v>3655</v>
      </c>
      <c r="B1356" s="27" t="s">
        <v>3656</v>
      </c>
      <c r="C1356" s="28" t="s">
        <v>178</v>
      </c>
      <c r="D1356" s="29">
        <v>257.0</v>
      </c>
      <c r="E1356" s="28" t="s">
        <v>3657</v>
      </c>
      <c r="F1356" s="7" t="str">
        <f>IFERROR(__xludf.DUMMYFUNCTION("GOOGLETRANSLATE(B1356:B5064,""en"",""fr"")"),"montagne")</f>
        <v>montagne</v>
      </c>
    </row>
    <row r="1357" ht="19.5" customHeight="1">
      <c r="A1357" s="26" t="s">
        <v>3658</v>
      </c>
      <c r="B1357" s="27" t="s">
        <v>3659</v>
      </c>
      <c r="C1357" s="28" t="s">
        <v>32</v>
      </c>
      <c r="D1357" s="29">
        <v>257.0</v>
      </c>
      <c r="E1357" s="28" t="s">
        <v>3660</v>
      </c>
      <c r="F1357" s="7" t="str">
        <f>IFERROR(__xludf.DUMMYFUNCTION("GOOGLETRANSLATE(B1357:B5064,""en"",""fr"")"),"glisser")</f>
        <v>glisser</v>
      </c>
    </row>
    <row r="1358" ht="19.5" customHeight="1">
      <c r="A1358" s="26" t="s">
        <v>3661</v>
      </c>
      <c r="B1358" s="27" t="s">
        <v>3662</v>
      </c>
      <c r="C1358" s="28" t="s">
        <v>178</v>
      </c>
      <c r="D1358" s="29">
        <v>256.0</v>
      </c>
      <c r="E1358" s="28" t="s">
        <v>3663</v>
      </c>
      <c r="F1358" s="7" t="str">
        <f>IFERROR(__xludf.DUMMYFUNCTION("GOOGLETRANSLATE(B1358:B5064,""en"",""fr"")"),"ceinture")</f>
        <v>ceinture</v>
      </c>
    </row>
    <row r="1359" ht="19.5" customHeight="1">
      <c r="A1359" s="26" t="s">
        <v>3664</v>
      </c>
      <c r="B1359" s="27" t="s">
        <v>3665</v>
      </c>
      <c r="C1359" s="28" t="s">
        <v>178</v>
      </c>
      <c r="D1359" s="29">
        <v>256.0</v>
      </c>
      <c r="E1359" s="28" t="s">
        <v>3666</v>
      </c>
      <c r="F1359" s="7" t="str">
        <f>IFERROR(__xludf.DUMMYFUNCTION("GOOGLETRANSLATE(B1359:B5064,""en"",""fr"")"),"musée")</f>
        <v>musée</v>
      </c>
    </row>
    <row r="1360" ht="19.5" customHeight="1">
      <c r="A1360" s="26" t="s">
        <v>3667</v>
      </c>
      <c r="B1360" s="27" t="s">
        <v>3668</v>
      </c>
      <c r="C1360" s="28" t="s">
        <v>178</v>
      </c>
      <c r="D1360" s="29">
        <v>256.0</v>
      </c>
      <c r="E1360" s="28" t="s">
        <v>3669</v>
      </c>
      <c r="F1360" s="7" t="str">
        <f>IFERROR(__xludf.DUMMYFUNCTION("GOOGLETRANSLATE(B1360:B5064,""en"",""fr"")"),"huile")</f>
        <v>huile</v>
      </c>
    </row>
    <row r="1361" ht="19.5" customHeight="1">
      <c r="A1361" s="26" t="s">
        <v>3670</v>
      </c>
      <c r="B1361" s="27" t="s">
        <v>3671</v>
      </c>
      <c r="C1361" s="28" t="s">
        <v>32</v>
      </c>
      <c r="D1361" s="29">
        <v>256.0</v>
      </c>
      <c r="E1361" s="28" t="s">
        <v>3672</v>
      </c>
      <c r="F1361" s="7" t="str">
        <f>IFERROR(__xludf.DUMMYFUNCTION("GOOGLETRANSLATE(B1361:B5064,""en"",""fr"")"),"presse")</f>
        <v>presse</v>
      </c>
    </row>
    <row r="1362" ht="19.5" customHeight="1">
      <c r="A1362" s="26" t="s">
        <v>3673</v>
      </c>
      <c r="B1362" s="27" t="s">
        <v>3157</v>
      </c>
      <c r="C1362" s="28" t="s">
        <v>178</v>
      </c>
      <c r="D1362" s="29">
        <v>256.0</v>
      </c>
      <c r="E1362" s="28" t="s">
        <v>3674</v>
      </c>
      <c r="F1362" s="7" t="str">
        <f>IFERROR(__xludf.DUMMYFUNCTION("GOOGLETRANSLATE(B1362:B5064,""en"",""fr"")"),"respect")</f>
        <v>respect</v>
      </c>
    </row>
    <row r="1363" ht="19.5" customHeight="1">
      <c r="A1363" s="26" t="s">
        <v>3675</v>
      </c>
      <c r="B1363" s="27" t="s">
        <v>3676</v>
      </c>
      <c r="C1363" s="28" t="s">
        <v>178</v>
      </c>
      <c r="D1363" s="29">
        <v>255.0</v>
      </c>
      <c r="E1363" s="28" t="s">
        <v>3677</v>
      </c>
      <c r="F1363" s="7" t="str">
        <f>IFERROR(__xludf.DUMMYFUNCTION("GOOGLETRANSLATE(B1363:B5064,""en"",""fr"")"),"avion")</f>
        <v>avion</v>
      </c>
    </row>
    <row r="1364" ht="19.5" customHeight="1">
      <c r="A1364" s="26" t="s">
        <v>3678</v>
      </c>
      <c r="B1364" s="27" t="s">
        <v>3679</v>
      </c>
      <c r="C1364" s="28" t="s">
        <v>178</v>
      </c>
      <c r="D1364" s="29">
        <v>254.0</v>
      </c>
      <c r="E1364" s="28" t="s">
        <v>3680</v>
      </c>
      <c r="F1364" s="7" t="str">
        <f>IFERROR(__xludf.DUMMYFUNCTION("GOOGLETRANSLATE(B1364:B5064,""en"",""fr"")"),"aéroport")</f>
        <v>aéroport</v>
      </c>
    </row>
    <row r="1365" ht="19.5" customHeight="1">
      <c r="A1365" s="26" t="s">
        <v>3681</v>
      </c>
      <c r="B1365" s="27" t="s">
        <v>3682</v>
      </c>
      <c r="C1365" s="28" t="s">
        <v>100</v>
      </c>
      <c r="D1365" s="29">
        <v>254.0</v>
      </c>
      <c r="E1365" s="28" t="s">
        <v>3682</v>
      </c>
      <c r="F1365" s="7" t="str">
        <f>IFERROR(__xludf.DUMMYFUNCTION("GOOGLETRANSLATE(B1365:B5064,""en"",""fr"")"),"honnêtement")</f>
        <v>honnêtement</v>
      </c>
    </row>
    <row r="1366" ht="19.5" customHeight="1">
      <c r="A1366" s="26" t="s">
        <v>3683</v>
      </c>
      <c r="B1366" s="27" t="s">
        <v>3684</v>
      </c>
      <c r="C1366" s="28" t="s">
        <v>178</v>
      </c>
      <c r="D1366" s="29">
        <v>253.0</v>
      </c>
      <c r="E1366" s="28" t="s">
        <v>3685</v>
      </c>
      <c r="F1366" s="7" t="str">
        <f>IFERROR(__xludf.DUMMYFUNCTION("GOOGLETRANSLATE(B1366:B5064,""en"",""fr"")"),"concours")</f>
        <v>concours</v>
      </c>
    </row>
    <row r="1367" ht="19.5" customHeight="1">
      <c r="A1367" s="26" t="s">
        <v>3686</v>
      </c>
      <c r="B1367" s="27" t="s">
        <v>3687</v>
      </c>
      <c r="C1367" s="28" t="s">
        <v>134</v>
      </c>
      <c r="D1367" s="29">
        <v>253.0</v>
      </c>
      <c r="E1367" s="28" t="s">
        <v>3687</v>
      </c>
      <c r="F1367" s="7" t="str">
        <f>IFERROR(__xludf.DUMMYFUNCTION("GOOGLETRANSLATE(B1367:B5064,""en"",""fr"")"),"fabuleux")</f>
        <v>fabuleux</v>
      </c>
    </row>
    <row r="1368" ht="19.5" customHeight="1">
      <c r="A1368" s="26" t="s">
        <v>3688</v>
      </c>
      <c r="B1368" s="27" t="s">
        <v>3689</v>
      </c>
      <c r="C1368" s="28" t="s">
        <v>32</v>
      </c>
      <c r="D1368" s="29">
        <v>253.0</v>
      </c>
      <c r="E1368" s="28" t="s">
        <v>3690</v>
      </c>
      <c r="F1368" s="7" t="str">
        <f>IFERROR(__xludf.DUMMYFUNCTION("GOOGLETRANSLATE(B1368:B5064,""en"",""fr"")"),"épeler")</f>
        <v>épeler</v>
      </c>
    </row>
    <row r="1369" ht="19.5" customHeight="1">
      <c r="A1369" s="26" t="s">
        <v>3691</v>
      </c>
      <c r="B1369" s="27" t="s">
        <v>3692</v>
      </c>
      <c r="C1369" s="28" t="s">
        <v>36</v>
      </c>
      <c r="D1369" s="29">
        <v>253.0</v>
      </c>
      <c r="E1369" s="28" t="s">
        <v>3693</v>
      </c>
      <c r="F1369" s="7" t="str">
        <f>IFERROR(__xludf.DUMMYFUNCTION("GOOGLETRANSLATE(B1369:B5064,""en"",""fr"")"),"quiconque")</f>
        <v>quiconque</v>
      </c>
    </row>
    <row r="1370" ht="19.5" customHeight="1">
      <c r="A1370" s="26" t="s">
        <v>3694</v>
      </c>
      <c r="B1370" s="27" t="s">
        <v>3695</v>
      </c>
      <c r="C1370" s="28" t="s">
        <v>178</v>
      </c>
      <c r="D1370" s="29">
        <v>252.0</v>
      </c>
      <c r="E1370" s="28" t="s">
        <v>3696</v>
      </c>
      <c r="F1370" s="7" t="str">
        <f>IFERROR(__xludf.DUMMYFUNCTION("GOOGLETRANSLATE(B1370:B5064,""en"",""fr"")"),"cloche")</f>
        <v>cloche</v>
      </c>
    </row>
    <row r="1371" ht="19.5" customHeight="1">
      <c r="A1371" s="26" t="s">
        <v>3697</v>
      </c>
      <c r="B1371" s="27" t="s">
        <v>3698</v>
      </c>
      <c r="C1371" s="28" t="s">
        <v>178</v>
      </c>
      <c r="D1371" s="29">
        <v>252.0</v>
      </c>
      <c r="E1371" s="28" t="s">
        <v>3699</v>
      </c>
      <c r="F1371" s="7" t="str">
        <f>IFERROR(__xludf.DUMMYFUNCTION("GOOGLETRANSLATE(B1371:B5064,""en"",""fr"")"),"amitié")</f>
        <v>amitié</v>
      </c>
    </row>
    <row r="1372" ht="19.5" customHeight="1">
      <c r="A1372" s="26" t="s">
        <v>3700</v>
      </c>
      <c r="B1372" s="27" t="s">
        <v>3701</v>
      </c>
      <c r="C1372" s="28" t="s">
        <v>134</v>
      </c>
      <c r="D1372" s="29">
        <v>252.0</v>
      </c>
      <c r="E1372" s="28" t="s">
        <v>3701</v>
      </c>
      <c r="F1372" s="7" t="str">
        <f>IFERROR(__xludf.DUMMYFUNCTION("GOOGLETRANSLATE(B1372:B5064,""en"",""fr"")"),"national")</f>
        <v>national</v>
      </c>
    </row>
    <row r="1373" ht="19.5" customHeight="1">
      <c r="A1373" s="26" t="s">
        <v>3702</v>
      </c>
      <c r="B1373" s="27" t="s">
        <v>3703</v>
      </c>
      <c r="C1373" s="28" t="s">
        <v>178</v>
      </c>
      <c r="D1373" s="29">
        <v>251.0</v>
      </c>
      <c r="E1373" s="28" t="s">
        <v>3704</v>
      </c>
      <c r="F1373" s="7" t="str">
        <f>IFERROR(__xludf.DUMMYFUNCTION("GOOGLETRANSLATE(B1373:B5064,""en"",""fr"")"),"extraterrestre")</f>
        <v>extraterrestre</v>
      </c>
    </row>
    <row r="1374" ht="19.5" customHeight="1">
      <c r="A1374" s="26" t="s">
        <v>3705</v>
      </c>
      <c r="B1374" s="27" t="s">
        <v>1238</v>
      </c>
      <c r="C1374" s="28" t="s">
        <v>32</v>
      </c>
      <c r="D1374" s="29">
        <v>251.0</v>
      </c>
      <c r="E1374" s="28" t="s">
        <v>3706</v>
      </c>
      <c r="F1374" s="7" t="str">
        <f>IFERROR(__xludf.DUMMYFUNCTION("GOOGLETRANSLATE(B1374:B5064,""en"",""fr"")"),"rêve")</f>
        <v>rêve</v>
      </c>
    </row>
    <row r="1375" ht="19.5" customHeight="1">
      <c r="A1375" s="26" t="s">
        <v>3707</v>
      </c>
      <c r="B1375" s="27" t="s">
        <v>3708</v>
      </c>
      <c r="C1375" s="28" t="s">
        <v>178</v>
      </c>
      <c r="D1375" s="29">
        <v>251.0</v>
      </c>
      <c r="E1375" s="28" t="s">
        <v>3709</v>
      </c>
      <c r="F1375" s="7" t="str">
        <f>IFERROR(__xludf.DUMMYFUNCTION("GOOGLETRANSLATE(B1375:B5064,""en"",""fr"")"),"idiot")</f>
        <v>idiot</v>
      </c>
    </row>
    <row r="1376" ht="19.5" customHeight="1">
      <c r="A1376" s="26" t="s">
        <v>3710</v>
      </c>
      <c r="B1376" s="27" t="s">
        <v>2981</v>
      </c>
      <c r="C1376" s="28" t="s">
        <v>36</v>
      </c>
      <c r="D1376" s="29">
        <v>251.0</v>
      </c>
      <c r="E1376" s="28" t="s">
        <v>2981</v>
      </c>
      <c r="F1376" s="7" t="str">
        <f>IFERROR(__xludf.DUMMYFUNCTION("GOOGLETRANSLATE(B1376:B5064,""en"",""fr"")"),"passé")</f>
        <v>passé</v>
      </c>
    </row>
    <row r="1377" ht="19.5" customHeight="1">
      <c r="A1377" s="26" t="s">
        <v>3711</v>
      </c>
      <c r="B1377" s="27" t="s">
        <v>3712</v>
      </c>
      <c r="C1377" s="28" t="s">
        <v>32</v>
      </c>
      <c r="D1377" s="29">
        <v>250.0</v>
      </c>
      <c r="E1377" s="28" t="s">
        <v>3713</v>
      </c>
      <c r="F1377" s="7" t="str">
        <f>IFERROR(__xludf.DUMMYFUNCTION("GOOGLETRANSLATE(B1377:B5064,""en"",""fr"")"),"bénir")</f>
        <v>bénir</v>
      </c>
    </row>
    <row r="1378" ht="19.5" customHeight="1">
      <c r="A1378" s="26" t="s">
        <v>3714</v>
      </c>
      <c r="B1378" s="27" t="s">
        <v>3715</v>
      </c>
      <c r="C1378" s="28" t="s">
        <v>178</v>
      </c>
      <c r="D1378" s="29">
        <v>250.0</v>
      </c>
      <c r="E1378" s="28" t="s">
        <v>3716</v>
      </c>
      <c r="F1378" s="7" t="str">
        <f>IFERROR(__xludf.DUMMYFUNCTION("GOOGLETRANSLATE(B1378:B5064,""en"",""fr"")"),"dessin animé")</f>
        <v>dessin animé</v>
      </c>
    </row>
    <row r="1379" ht="19.5" customHeight="1">
      <c r="A1379" s="26" t="s">
        <v>3717</v>
      </c>
      <c r="B1379" s="27" t="s">
        <v>3718</v>
      </c>
      <c r="C1379" s="28" t="s">
        <v>36</v>
      </c>
      <c r="D1379" s="29">
        <v>250.0</v>
      </c>
      <c r="E1379" s="28" t="s">
        <v>3718</v>
      </c>
      <c r="F1379" s="7" t="str">
        <f>IFERROR(__xludf.DUMMYFUNCTION("GOOGLETRANSLATE(B1379:B5064,""en"",""fr"")"),"près")</f>
        <v>près</v>
      </c>
    </row>
    <row r="1380" ht="19.5" customHeight="1">
      <c r="A1380" s="26" t="s">
        <v>3719</v>
      </c>
      <c r="B1380" s="27" t="s">
        <v>3720</v>
      </c>
      <c r="C1380" s="28" t="s">
        <v>32</v>
      </c>
      <c r="D1380" s="29">
        <v>250.0</v>
      </c>
      <c r="E1380" s="28" t="s">
        <v>3721</v>
      </c>
      <c r="F1380" s="7" t="str">
        <f>IFERROR(__xludf.DUMMYFUNCTION("GOOGLETRANSLATE(B1380:B5064,""en"",""fr"")"),"nager")</f>
        <v>nager</v>
      </c>
    </row>
    <row r="1381" ht="19.5" customHeight="1">
      <c r="A1381" s="26" t="s">
        <v>3722</v>
      </c>
      <c r="B1381" s="27" t="s">
        <v>3723</v>
      </c>
      <c r="C1381" s="28" t="s">
        <v>178</v>
      </c>
      <c r="D1381" s="29">
        <v>249.0</v>
      </c>
      <c r="E1381" s="28" t="s">
        <v>3724</v>
      </c>
      <c r="F1381" s="7" t="str">
        <f>IFERROR(__xludf.DUMMYFUNCTION("GOOGLETRANSLATE(B1381:B5064,""en"",""fr"")"),"Burger")</f>
        <v>Burger</v>
      </c>
    </row>
    <row r="1382" ht="19.5" customHeight="1">
      <c r="A1382" s="26" t="s">
        <v>3725</v>
      </c>
      <c r="B1382" s="27" t="s">
        <v>3726</v>
      </c>
      <c r="C1382" s="28" t="s">
        <v>178</v>
      </c>
      <c r="D1382" s="29">
        <v>249.0</v>
      </c>
      <c r="E1382" s="28" t="s">
        <v>3727</v>
      </c>
      <c r="F1382" s="7" t="str">
        <f>IFERROR(__xludf.DUMMYFUNCTION("GOOGLETRANSLATE(B1382:B5064,""en"",""fr"")"),"fruit")</f>
        <v>fruit</v>
      </c>
    </row>
    <row r="1383" ht="19.5" customHeight="1">
      <c r="A1383" s="26" t="s">
        <v>3728</v>
      </c>
      <c r="B1383" s="27" t="s">
        <v>3729</v>
      </c>
      <c r="C1383" s="28" t="s">
        <v>178</v>
      </c>
      <c r="D1383" s="29">
        <v>249.0</v>
      </c>
      <c r="E1383" s="28" t="s">
        <v>3730</v>
      </c>
      <c r="F1383" s="7" t="str">
        <f>IFERROR(__xludf.DUMMYFUNCTION("GOOGLETRANSLATE(B1383:B5064,""en"",""fr"")"),"toit")</f>
        <v>toit</v>
      </c>
    </row>
    <row r="1384" ht="19.5" customHeight="1">
      <c r="A1384" s="26" t="s">
        <v>3731</v>
      </c>
      <c r="B1384" s="27" t="s">
        <v>3732</v>
      </c>
      <c r="C1384" s="28" t="s">
        <v>178</v>
      </c>
      <c r="D1384" s="29">
        <v>249.0</v>
      </c>
      <c r="E1384" s="28" t="s">
        <v>3733</v>
      </c>
      <c r="F1384" s="7" t="str">
        <f>IFERROR(__xludf.DUMMYFUNCTION("GOOGLETRANSLATE(B1384:B5064,""en"",""fr"")"),"théorie")</f>
        <v>théorie</v>
      </c>
    </row>
    <row r="1385" ht="19.5" customHeight="1">
      <c r="A1385" s="26" t="s">
        <v>3734</v>
      </c>
      <c r="B1385" s="27" t="s">
        <v>3735</v>
      </c>
      <c r="C1385" s="28" t="s">
        <v>36</v>
      </c>
      <c r="D1385" s="29">
        <v>248.0</v>
      </c>
      <c r="E1385" s="28" t="s">
        <v>3735</v>
      </c>
      <c r="F1385" s="7" t="str">
        <f>IFERROR(__xludf.DUMMYFUNCTION("GOOGLETRANSLATE(B1385:B5064,""en"",""fr"")"),"selon")</f>
        <v>selon</v>
      </c>
    </row>
    <row r="1386" ht="19.5" customHeight="1">
      <c r="A1386" s="26" t="s">
        <v>3736</v>
      </c>
      <c r="B1386" s="27" t="s">
        <v>3737</v>
      </c>
      <c r="C1386" s="28" t="s">
        <v>134</v>
      </c>
      <c r="D1386" s="29">
        <v>248.0</v>
      </c>
      <c r="E1386" s="28" t="s">
        <v>3738</v>
      </c>
      <c r="F1386" s="7" t="str">
        <f>IFERROR(__xludf.DUMMYFUNCTION("GOOGLETRANSLATE(B1386:B5064,""en"",""fr"")"),"coupable")</f>
        <v>coupable</v>
      </c>
    </row>
    <row r="1387" ht="19.5" customHeight="1">
      <c r="A1387" s="26" t="s">
        <v>3739</v>
      </c>
      <c r="B1387" s="27" t="s">
        <v>3740</v>
      </c>
      <c r="C1387" s="28" t="s">
        <v>178</v>
      </c>
      <c r="D1387" s="29">
        <v>248.0</v>
      </c>
      <c r="E1387" s="28" t="s">
        <v>3741</v>
      </c>
      <c r="F1387" s="7" t="str">
        <f>IFERROR(__xludf.DUMMYFUNCTION("GOOGLETRANSLATE(B1387:B5064,""en"",""fr"")"),"pomme de terre")</f>
        <v>pomme de terre</v>
      </c>
    </row>
    <row r="1388" ht="19.5" customHeight="1">
      <c r="A1388" s="26" t="s">
        <v>3742</v>
      </c>
      <c r="B1388" s="27" t="s">
        <v>3743</v>
      </c>
      <c r="C1388" s="28" t="s">
        <v>178</v>
      </c>
      <c r="D1388" s="29">
        <v>247.0</v>
      </c>
      <c r="E1388" s="28" t="s">
        <v>3744</v>
      </c>
      <c r="F1388" s="7" t="str">
        <f>IFERROR(__xludf.DUMMYFUNCTION("GOOGLETRANSLATE(B1388:B5064,""en"",""fr"")"),"plat")</f>
        <v>plat</v>
      </c>
    </row>
    <row r="1389" ht="19.5" customHeight="1">
      <c r="A1389" s="26" t="s">
        <v>3745</v>
      </c>
      <c r="B1389" s="27" t="s">
        <v>716</v>
      </c>
      <c r="C1389" s="28" t="s">
        <v>178</v>
      </c>
      <c r="D1389" s="29">
        <v>247.0</v>
      </c>
      <c r="E1389" s="28" t="s">
        <v>3746</v>
      </c>
      <c r="F1389" s="7" t="str">
        <f>IFERROR(__xludf.DUMMYFUNCTION("GOOGLETRANSLATE(B1389:B5064,""en"",""fr"")"),"son")</f>
        <v>son</v>
      </c>
    </row>
    <row r="1390" ht="19.5" customHeight="1">
      <c r="A1390" s="26" t="s">
        <v>3747</v>
      </c>
      <c r="B1390" s="27" t="s">
        <v>3748</v>
      </c>
      <c r="C1390" s="28" t="s">
        <v>134</v>
      </c>
      <c r="D1390" s="29">
        <v>247.0</v>
      </c>
      <c r="E1390" s="28" t="s">
        <v>3748</v>
      </c>
      <c r="F1390" s="7" t="str">
        <f>IFERROR(__xludf.DUMMYFUNCTION("GOOGLETRANSLATE(B1390:B5064,""en"",""fr"")"),"inconfortable")</f>
        <v>inconfortable</v>
      </c>
    </row>
    <row r="1391" ht="19.5" customHeight="1">
      <c r="A1391" s="26" t="s">
        <v>3749</v>
      </c>
      <c r="B1391" s="27" t="s">
        <v>3750</v>
      </c>
      <c r="C1391" s="28" t="s">
        <v>32</v>
      </c>
      <c r="D1391" s="29">
        <v>247.0</v>
      </c>
      <c r="E1391" s="28" t="s">
        <v>3751</v>
      </c>
      <c r="F1391" s="7" t="str">
        <f>IFERROR(__xludf.DUMMYFUNCTION("GOOGLETRANSLATE(B1391:B5064,""en"",""fr"")"),"envelopper")</f>
        <v>envelopper</v>
      </c>
    </row>
    <row r="1392" ht="19.5" customHeight="1">
      <c r="A1392" s="26" t="s">
        <v>3752</v>
      </c>
      <c r="B1392" s="27" t="s">
        <v>3753</v>
      </c>
      <c r="C1392" s="28" t="s">
        <v>134</v>
      </c>
      <c r="D1392" s="29">
        <v>246.0</v>
      </c>
      <c r="E1392" s="28" t="s">
        <v>3754</v>
      </c>
      <c r="F1392" s="7" t="str">
        <f>IFERROR(__xludf.DUMMYFUNCTION("GOOGLETRANSLATE(B1392:B5064,""en"",""fr"")"),"bon marché")</f>
        <v>bon marché</v>
      </c>
    </row>
    <row r="1393" ht="19.5" customHeight="1">
      <c r="A1393" s="26" t="s">
        <v>3755</v>
      </c>
      <c r="B1393" s="27" t="s">
        <v>3756</v>
      </c>
      <c r="C1393" s="28" t="s">
        <v>178</v>
      </c>
      <c r="D1393" s="29">
        <v>246.0</v>
      </c>
      <c r="E1393" s="28" t="s">
        <v>3757</v>
      </c>
      <c r="F1393" s="7" t="str">
        <f>IFERROR(__xludf.DUMMYFUNCTION("GOOGLETRANSLATE(B1393:B5064,""en"",""fr"")"),"employé")</f>
        <v>employé</v>
      </c>
    </row>
    <row r="1394" ht="19.5" customHeight="1">
      <c r="A1394" s="26" t="s">
        <v>3758</v>
      </c>
      <c r="B1394" s="27" t="s">
        <v>3759</v>
      </c>
      <c r="C1394" s="28" t="s">
        <v>178</v>
      </c>
      <c r="D1394" s="29">
        <v>246.0</v>
      </c>
      <c r="E1394" s="28" t="s">
        <v>3760</v>
      </c>
      <c r="F1394" s="7" t="str">
        <f>IFERROR(__xludf.DUMMYFUNCTION("GOOGLETRANSLATE(B1394:B5064,""en"",""fr"")"),"entretien")</f>
        <v>entretien</v>
      </c>
    </row>
    <row r="1395" ht="19.5" customHeight="1">
      <c r="A1395" s="26" t="s">
        <v>3761</v>
      </c>
      <c r="B1395" s="27" t="s">
        <v>3762</v>
      </c>
      <c r="C1395" s="28" t="s">
        <v>32</v>
      </c>
      <c r="D1395" s="29">
        <v>245.0</v>
      </c>
      <c r="E1395" s="28" t="s">
        <v>3763</v>
      </c>
      <c r="F1395" s="7" t="str">
        <f>IFERROR(__xludf.DUMMYFUNCTION("GOOGLETRANSLATE(B1395:B5064,""en"",""fr"")"),"effectuer")</f>
        <v>effectuer</v>
      </c>
    </row>
    <row r="1396" ht="19.5" customHeight="1">
      <c r="A1396" s="26" t="s">
        <v>3764</v>
      </c>
      <c r="B1396" s="27" t="s">
        <v>3765</v>
      </c>
      <c r="C1396" s="28" t="s">
        <v>178</v>
      </c>
      <c r="D1396" s="29">
        <v>245.0</v>
      </c>
      <c r="E1396" s="28" t="s">
        <v>3766</v>
      </c>
      <c r="F1396" s="7" t="str">
        <f>IFERROR(__xludf.DUMMYFUNCTION("GOOGLETRANSLATE(B1396:B5064,""en"",""fr"")"),"printemps")</f>
        <v>printemps</v>
      </c>
    </row>
    <row r="1397" ht="19.5" customHeight="1">
      <c r="A1397" s="26" t="s">
        <v>3767</v>
      </c>
      <c r="B1397" s="27" t="s">
        <v>3768</v>
      </c>
      <c r="C1397" s="28" t="s">
        <v>32</v>
      </c>
      <c r="D1397" s="29">
        <v>245.0</v>
      </c>
      <c r="E1397" s="28" t="s">
        <v>3769</v>
      </c>
      <c r="F1397" s="7" t="str">
        <f>IFERROR(__xludf.DUMMYFUNCTION("GOOGLETRANSLATE(B1397:B5064,""en"",""fr"")"),"texte")</f>
        <v>texte</v>
      </c>
    </row>
    <row r="1398" ht="19.5" customHeight="1">
      <c r="A1398" s="26" t="s">
        <v>3770</v>
      </c>
      <c r="B1398" s="27" t="s">
        <v>3771</v>
      </c>
      <c r="C1398" s="28" t="s">
        <v>178</v>
      </c>
      <c r="D1398" s="29">
        <v>245.0</v>
      </c>
      <c r="E1398" s="28" t="s">
        <v>3772</v>
      </c>
      <c r="F1398" s="7" t="str">
        <f>IFERROR(__xludf.DUMMYFUNCTION("GOOGLETRANSLATE(B1398:B5064,""en"",""fr"")"),"tournée")</f>
        <v>tournée</v>
      </c>
    </row>
    <row r="1399" ht="19.5" customHeight="1">
      <c r="A1399" s="26" t="s">
        <v>3773</v>
      </c>
      <c r="B1399" s="27" t="s">
        <v>2932</v>
      </c>
      <c r="C1399" s="28" t="s">
        <v>178</v>
      </c>
      <c r="D1399" s="29">
        <v>245.0</v>
      </c>
      <c r="E1399" s="28" t="s">
        <v>3774</v>
      </c>
      <c r="F1399" s="7" t="str">
        <f>IFERROR(__xludf.DUMMYFUNCTION("GOOGLETRANSLATE(B1399:B5064,""en"",""fr"")"),"traiter")</f>
        <v>traiter</v>
      </c>
    </row>
    <row r="1400" ht="19.5" customHeight="1">
      <c r="A1400" s="26" t="s">
        <v>3775</v>
      </c>
      <c r="B1400" s="27" t="s">
        <v>3776</v>
      </c>
      <c r="C1400" s="28" t="s">
        <v>134</v>
      </c>
      <c r="D1400" s="29">
        <v>244.0</v>
      </c>
      <c r="E1400" s="28" t="s">
        <v>3777</v>
      </c>
      <c r="F1400" s="7" t="str">
        <f>IFERROR(__xludf.DUMMYFUNCTION("GOOGLETRANSLATE(B1400:B5064,""en"",""fr"")"),"maladroit")</f>
        <v>maladroit</v>
      </c>
    </row>
    <row r="1401" ht="19.5" customHeight="1">
      <c r="A1401" s="26" t="s">
        <v>3778</v>
      </c>
      <c r="B1401" s="27" t="s">
        <v>3779</v>
      </c>
      <c r="C1401" s="28" t="s">
        <v>134</v>
      </c>
      <c r="D1401" s="29">
        <v>244.0</v>
      </c>
      <c r="E1401" s="28" t="s">
        <v>3779</v>
      </c>
      <c r="F1401" s="7" t="str">
        <f>IFERROR(__xludf.DUMMYFUNCTION("GOOGLETRANSLATE(B1401:B5064,""en"",""fr"")"),"cher")</f>
        <v>cher</v>
      </c>
    </row>
    <row r="1402" ht="19.5" customHeight="1">
      <c r="A1402" s="26" t="s">
        <v>3780</v>
      </c>
      <c r="B1402" s="27" t="s">
        <v>3781</v>
      </c>
      <c r="C1402" s="28" t="s">
        <v>100</v>
      </c>
      <c r="D1402" s="29">
        <v>244.0</v>
      </c>
      <c r="E1402" s="28" t="s">
        <v>3781</v>
      </c>
      <c r="F1402" s="7" t="str">
        <f>IFERROR(__xludf.DUMMYFUNCTION("GOOGLETRANSLATE(B1402:B5064,""en"",""fr"")"),"malheureusement")</f>
        <v>malheureusement</v>
      </c>
    </row>
    <row r="1403" ht="19.5" customHeight="1">
      <c r="A1403" s="26" t="s">
        <v>3782</v>
      </c>
      <c r="B1403" s="27" t="s">
        <v>3783</v>
      </c>
      <c r="C1403" s="28" t="s">
        <v>178</v>
      </c>
      <c r="D1403" s="29">
        <v>243.0</v>
      </c>
      <c r="E1403" s="28" t="s">
        <v>3784</v>
      </c>
      <c r="F1403" s="7" t="str">
        <f>IFERROR(__xludf.DUMMYFUNCTION("GOOGLETRANSLATE(B1403:B5064,""en"",""fr"")"),"bourse")</f>
        <v>bourse</v>
      </c>
    </row>
    <row r="1404" ht="19.5" customHeight="1">
      <c r="A1404" s="26" t="s">
        <v>3785</v>
      </c>
      <c r="B1404" s="27" t="s">
        <v>2733</v>
      </c>
      <c r="C1404" s="28" t="s">
        <v>32</v>
      </c>
      <c r="D1404" s="29">
        <v>242.0</v>
      </c>
      <c r="E1404" s="28" t="s">
        <v>3786</v>
      </c>
      <c r="F1404" s="7" t="str">
        <f>IFERROR(__xludf.DUMMYFUNCTION("GOOGLETRANSLATE(B1404:B5064,""en"",""fr"")"),"charge")</f>
        <v>charge</v>
      </c>
    </row>
    <row r="1405" ht="19.5" customHeight="1">
      <c r="A1405" s="26" t="s">
        <v>3787</v>
      </c>
      <c r="B1405" s="27" t="s">
        <v>3788</v>
      </c>
      <c r="C1405" s="28" t="s">
        <v>85</v>
      </c>
      <c r="D1405" s="29">
        <v>242.0</v>
      </c>
      <c r="E1405" s="28" t="s">
        <v>3788</v>
      </c>
      <c r="F1405" s="7" t="str">
        <f>IFERROR(__xludf.DUMMYFUNCTION("GOOGLETRANSLATE(B1405:B5064,""en"",""fr"")"),"ha-ha")</f>
        <v>ha-ha</v>
      </c>
    </row>
    <row r="1406" ht="19.5" customHeight="1">
      <c r="A1406" s="26" t="s">
        <v>3789</v>
      </c>
      <c r="B1406" s="27" t="s">
        <v>3790</v>
      </c>
      <c r="C1406" s="28" t="s">
        <v>178</v>
      </c>
      <c r="D1406" s="29">
        <v>241.0</v>
      </c>
      <c r="E1406" s="28" t="s">
        <v>3791</v>
      </c>
      <c r="F1406" s="7" t="str">
        <f>IFERROR(__xludf.DUMMYFUNCTION("GOOGLETRANSLATE(B1406:B5064,""en"",""fr"")"),"divorce")</f>
        <v>divorce</v>
      </c>
    </row>
    <row r="1407" ht="19.5" customHeight="1">
      <c r="A1407" s="26" t="s">
        <v>3792</v>
      </c>
      <c r="B1407" s="27" t="s">
        <v>1900</v>
      </c>
      <c r="C1407" s="28" t="s">
        <v>32</v>
      </c>
      <c r="D1407" s="29">
        <v>241.0</v>
      </c>
      <c r="E1407" s="28" t="s">
        <v>3793</v>
      </c>
      <c r="F1407" s="7" t="str">
        <f>IFERROR(__xludf.DUMMYFUNCTION("GOOGLETRANSLATE(B1407:B5064,""en"",""fr"")"),"anneau")</f>
        <v>anneau</v>
      </c>
    </row>
    <row r="1408" ht="19.5" customHeight="1">
      <c r="A1408" s="26" t="s">
        <v>3794</v>
      </c>
      <c r="B1408" s="27" t="s">
        <v>3795</v>
      </c>
      <c r="C1408" s="28" t="s">
        <v>178</v>
      </c>
      <c r="D1408" s="29">
        <v>240.0</v>
      </c>
      <c r="E1408" s="28" t="s">
        <v>3796</v>
      </c>
      <c r="F1408" s="7" t="str">
        <f>IFERROR(__xludf.DUMMYFUNCTION("GOOGLETRANSLATE(B1408:B5064,""en"",""fr"")"),"soutien-gorge")</f>
        <v>soutien-gorge</v>
      </c>
    </row>
    <row r="1409" ht="19.5" customHeight="1">
      <c r="A1409" s="26" t="s">
        <v>3797</v>
      </c>
      <c r="B1409" s="27" t="s">
        <v>3798</v>
      </c>
      <c r="C1409" s="28" t="s">
        <v>134</v>
      </c>
      <c r="D1409" s="29">
        <v>240.0</v>
      </c>
      <c r="E1409" s="28" t="s">
        <v>3799</v>
      </c>
      <c r="F1409" s="7" t="str">
        <f>IFERROR(__xludf.DUMMYFUNCTION("GOOGLETRANSLATE(B1409:B5064,""en"",""fr"")"),"brun")</f>
        <v>brun</v>
      </c>
    </row>
    <row r="1410" ht="19.5" customHeight="1">
      <c r="A1410" s="26" t="s">
        <v>3800</v>
      </c>
      <c r="B1410" s="27" t="s">
        <v>3801</v>
      </c>
      <c r="C1410" s="28" t="s">
        <v>178</v>
      </c>
      <c r="D1410" s="29">
        <v>240.0</v>
      </c>
      <c r="E1410" s="28" t="s">
        <v>3802</v>
      </c>
      <c r="F1410" s="7" t="str">
        <f>IFERROR(__xludf.DUMMYFUNCTION("GOOGLETRANSLATE(B1410:B5064,""en"",""fr"")"),"canard")</f>
        <v>canard</v>
      </c>
    </row>
    <row r="1411" ht="19.5" customHeight="1">
      <c r="A1411" s="26" t="s">
        <v>3803</v>
      </c>
      <c r="B1411" s="27" t="s">
        <v>3804</v>
      </c>
      <c r="C1411" s="28" t="s">
        <v>728</v>
      </c>
      <c r="D1411" s="29">
        <v>240.0</v>
      </c>
      <c r="E1411" s="28" t="s">
        <v>3804</v>
      </c>
      <c r="F1411" s="7" t="str">
        <f>IFERROR(__xludf.DUMMYFUNCTION("GOOGLETRANSLATE(B1411:B5064,""en"",""fr"")"),"Anglais")</f>
        <v>Anglais</v>
      </c>
    </row>
    <row r="1412" ht="19.5" customHeight="1">
      <c r="A1412" s="26" t="s">
        <v>3805</v>
      </c>
      <c r="B1412" s="27" t="s">
        <v>3806</v>
      </c>
      <c r="C1412" s="28" t="s">
        <v>178</v>
      </c>
      <c r="D1412" s="29">
        <v>239.0</v>
      </c>
      <c r="E1412" s="28" t="s">
        <v>3807</v>
      </c>
      <c r="F1412" s="7" t="str">
        <f>IFERROR(__xludf.DUMMYFUNCTION("GOOGLETRANSLATE(B1412:B5064,""en"",""fr"")"),"célébrité")</f>
        <v>célébrité</v>
      </c>
    </row>
    <row r="1413" ht="19.5" customHeight="1">
      <c r="A1413" s="26" t="s">
        <v>3808</v>
      </c>
      <c r="B1413" s="27" t="s">
        <v>3809</v>
      </c>
      <c r="C1413" s="28" t="s">
        <v>134</v>
      </c>
      <c r="D1413" s="29">
        <v>239.0</v>
      </c>
      <c r="E1413" s="28" t="s">
        <v>3809</v>
      </c>
      <c r="F1413" s="7" t="str">
        <f>IFERROR(__xludf.DUMMYFUNCTION("GOOGLETRANSLATE(B1413:B5064,""en"",""fr"")"),"double")</f>
        <v>double</v>
      </c>
    </row>
    <row r="1414" ht="19.5" customHeight="1">
      <c r="A1414" s="26" t="s">
        <v>3810</v>
      </c>
      <c r="B1414" s="27" t="s">
        <v>3811</v>
      </c>
      <c r="C1414" s="28" t="s">
        <v>178</v>
      </c>
      <c r="D1414" s="29">
        <v>239.0</v>
      </c>
      <c r="E1414" s="28" t="s">
        <v>3812</v>
      </c>
      <c r="F1414" s="7" t="str">
        <f>IFERROR(__xludf.DUMMYFUNCTION("GOOGLETRANSLATE(B1414:B5064,""en"",""fr"")"),"période")</f>
        <v>période</v>
      </c>
    </row>
    <row r="1415" ht="19.5" customHeight="1">
      <c r="A1415" s="26" t="s">
        <v>3813</v>
      </c>
      <c r="B1415" s="27" t="s">
        <v>3814</v>
      </c>
      <c r="C1415" s="28" t="s">
        <v>32</v>
      </c>
      <c r="D1415" s="29">
        <v>239.0</v>
      </c>
      <c r="E1415" s="28" t="s">
        <v>3815</v>
      </c>
      <c r="F1415" s="7" t="str">
        <f>IFERROR(__xludf.DUMMYFUNCTION("GOOGLETRANSLATE(B1415:B5064,""en"",""fr"")"),"louer")</f>
        <v>louer</v>
      </c>
    </row>
    <row r="1416" ht="19.5" customHeight="1">
      <c r="A1416" s="26" t="s">
        <v>3816</v>
      </c>
      <c r="B1416" s="27" t="s">
        <v>582</v>
      </c>
      <c r="C1416" s="28" t="s">
        <v>178</v>
      </c>
      <c r="D1416" s="29">
        <v>239.0</v>
      </c>
      <c r="E1416" s="28" t="s">
        <v>582</v>
      </c>
      <c r="F1416" s="7" t="str">
        <f>IFERROR(__xludf.DUMMYFUNCTION("GOOGLETRANSLATE(B1416:B5064,""en"",""fr"")"),"aujourd'hui")</f>
        <v>aujourd'hui</v>
      </c>
    </row>
    <row r="1417" ht="19.5" customHeight="1">
      <c r="A1417" s="26" t="s">
        <v>3817</v>
      </c>
      <c r="B1417" s="27" t="s">
        <v>3818</v>
      </c>
      <c r="C1417" s="28" t="s">
        <v>100</v>
      </c>
      <c r="D1417" s="29">
        <v>238.0</v>
      </c>
      <c r="E1417" s="28" t="s">
        <v>3818</v>
      </c>
      <c r="F1417" s="7" t="str">
        <f>IFERROR(__xludf.DUMMYFUNCTION("GOOGLETRANSLATE(B1417:B5064,""en"",""fr"")"),"à peine")</f>
        <v>à peine</v>
      </c>
    </row>
    <row r="1418" ht="19.5" customHeight="1">
      <c r="A1418" s="26" t="s">
        <v>3819</v>
      </c>
      <c r="B1418" s="27" t="s">
        <v>3820</v>
      </c>
      <c r="C1418" s="28" t="s">
        <v>85</v>
      </c>
      <c r="D1418" s="29">
        <v>238.0</v>
      </c>
      <c r="E1418" s="28" t="s">
        <v>3820</v>
      </c>
      <c r="F1418" s="7" t="str">
        <f>IFERROR(__xludf.DUMMYFUNCTION("GOOGLETRANSLATE(B1418:B5064,""en"",""fr"")"),"Bye Bye")</f>
        <v>Bye Bye</v>
      </c>
    </row>
    <row r="1419" ht="19.5" customHeight="1">
      <c r="A1419" s="26" t="s">
        <v>3821</v>
      </c>
      <c r="B1419" s="27" t="s">
        <v>3822</v>
      </c>
      <c r="C1419" s="28" t="s">
        <v>178</v>
      </c>
      <c r="D1419" s="29">
        <v>238.0</v>
      </c>
      <c r="E1419" s="28" t="s">
        <v>3823</v>
      </c>
      <c r="F1419" s="7" t="str">
        <f>IFERROR(__xludf.DUMMYFUNCTION("GOOGLETRANSLATE(B1419:B5064,""en"",""fr"")"),"ébrécher")</f>
        <v>ébrécher</v>
      </c>
    </row>
    <row r="1420" ht="19.5" customHeight="1">
      <c r="A1420" s="26" t="s">
        <v>3824</v>
      </c>
      <c r="B1420" s="27" t="s">
        <v>3825</v>
      </c>
      <c r="C1420" s="28" t="s">
        <v>32</v>
      </c>
      <c r="D1420" s="29">
        <v>238.0</v>
      </c>
      <c r="E1420" s="28" t="s">
        <v>3826</v>
      </c>
      <c r="F1420" s="7" t="str">
        <f>IFERROR(__xludf.DUMMYFUNCTION("GOOGLETRANSLATE(B1420:B5064,""en"",""fr"")"),"ignorer")</f>
        <v>ignorer</v>
      </c>
    </row>
    <row r="1421" ht="19.5" customHeight="1">
      <c r="A1421" s="26" t="s">
        <v>3827</v>
      </c>
      <c r="B1421" s="27" t="s">
        <v>3828</v>
      </c>
      <c r="C1421" s="28" t="s">
        <v>178</v>
      </c>
      <c r="D1421" s="29">
        <v>238.0</v>
      </c>
      <c r="E1421" s="28" t="s">
        <v>3829</v>
      </c>
      <c r="F1421" s="7" t="str">
        <f>IFERROR(__xludf.DUMMYFUNCTION("GOOGLETRANSLATE(B1421:B5064,""en"",""fr"")"),"langue")</f>
        <v>langue</v>
      </c>
    </row>
    <row r="1422" ht="19.5" customHeight="1">
      <c r="A1422" s="26" t="s">
        <v>3830</v>
      </c>
      <c r="B1422" s="27" t="s">
        <v>3831</v>
      </c>
      <c r="C1422" s="28" t="s">
        <v>178</v>
      </c>
      <c r="D1422" s="29">
        <v>238.0</v>
      </c>
      <c r="E1422" s="28" t="s">
        <v>3832</v>
      </c>
      <c r="F1422" s="7" t="str">
        <f>IFERROR(__xludf.DUMMYFUNCTION("GOOGLETRANSLATE(B1422:B5064,""en"",""fr"")"),"lessive")</f>
        <v>lessive</v>
      </c>
    </row>
    <row r="1423" ht="19.5" customHeight="1">
      <c r="A1423" s="26" t="s">
        <v>3833</v>
      </c>
      <c r="B1423" s="27" t="s">
        <v>3834</v>
      </c>
      <c r="C1423" s="28" t="s">
        <v>134</v>
      </c>
      <c r="D1423" s="29">
        <v>238.0</v>
      </c>
      <c r="E1423" s="28" t="s">
        <v>3834</v>
      </c>
      <c r="F1423" s="7" t="str">
        <f>IFERROR(__xludf.DUMMYFUNCTION("GOOGLETRANSLATE(B1423:B5064,""en"",""fr"")"),"sociale")</f>
        <v>sociale</v>
      </c>
    </row>
    <row r="1424" ht="19.5" customHeight="1">
      <c r="A1424" s="26" t="s">
        <v>3835</v>
      </c>
      <c r="B1424" s="27" t="s">
        <v>1525</v>
      </c>
      <c r="C1424" s="28" t="s">
        <v>178</v>
      </c>
      <c r="D1424" s="29">
        <v>238.0</v>
      </c>
      <c r="E1424" s="28" t="s">
        <v>3836</v>
      </c>
      <c r="F1424" s="7" t="str">
        <f>IFERROR(__xludf.DUMMYFUNCTION("GOOGLETRANSLATE(B1424:B5064,""en"",""fr"")"),"robe")</f>
        <v>robe</v>
      </c>
    </row>
    <row r="1425" ht="19.5" customHeight="1">
      <c r="A1425" s="26" t="s">
        <v>3837</v>
      </c>
      <c r="B1425" s="27" t="s">
        <v>3838</v>
      </c>
      <c r="C1425" s="28" t="s">
        <v>134</v>
      </c>
      <c r="D1425" s="29">
        <v>238.0</v>
      </c>
      <c r="E1425" s="28" t="s">
        <v>3839</v>
      </c>
      <c r="F1425" s="7" t="str">
        <f>IFERROR(__xludf.DUMMYFUNCTION("GOOGLETRANSLATE(B1425:B5064,""en"",""fr"")"),"doux")</f>
        <v>doux</v>
      </c>
    </row>
    <row r="1426" ht="19.5" customHeight="1">
      <c r="A1426" s="26" t="s">
        <v>3840</v>
      </c>
      <c r="B1426" s="27" t="s">
        <v>3841</v>
      </c>
      <c r="C1426" s="28" t="s">
        <v>178</v>
      </c>
      <c r="D1426" s="29">
        <v>237.0</v>
      </c>
      <c r="E1426" s="28" t="s">
        <v>3842</v>
      </c>
      <c r="F1426" s="7" t="str">
        <f>IFERROR(__xludf.DUMMYFUNCTION("GOOGLETRANSLATE(B1426:B5064,""en"",""fr"")"),"excuses")</f>
        <v>excuses</v>
      </c>
    </row>
    <row r="1427" ht="19.5" customHeight="1">
      <c r="A1427" s="26" t="s">
        <v>3843</v>
      </c>
      <c r="B1427" s="27" t="s">
        <v>3844</v>
      </c>
      <c r="C1427" s="28" t="s">
        <v>178</v>
      </c>
      <c r="D1427" s="29">
        <v>237.0</v>
      </c>
      <c r="E1427" s="28" t="s">
        <v>3845</v>
      </c>
      <c r="F1427" s="7" t="str">
        <f>IFERROR(__xludf.DUMMYFUNCTION("GOOGLETRANSLATE(B1427:B5064,""en"",""fr"")"),"concert")</f>
        <v>concert</v>
      </c>
    </row>
    <row r="1428" ht="19.5" customHeight="1">
      <c r="A1428" s="26" t="s">
        <v>3846</v>
      </c>
      <c r="B1428" s="27" t="s">
        <v>3847</v>
      </c>
      <c r="C1428" s="28" t="s">
        <v>32</v>
      </c>
      <c r="D1428" s="29">
        <v>237.0</v>
      </c>
      <c r="E1428" s="28" t="s">
        <v>3848</v>
      </c>
      <c r="F1428" s="7" t="str">
        <f>IFERROR(__xludf.DUMMYFUNCTION("GOOGLETRANSLATE(B1428:B5064,""en"",""fr"")"),"décevoir")</f>
        <v>décevoir</v>
      </c>
    </row>
    <row r="1429" ht="19.5" customHeight="1">
      <c r="A1429" s="26" t="s">
        <v>3849</v>
      </c>
      <c r="B1429" s="27" t="s">
        <v>3850</v>
      </c>
      <c r="C1429" s="28" t="s">
        <v>178</v>
      </c>
      <c r="D1429" s="29">
        <v>237.0</v>
      </c>
      <c r="E1429" s="28" t="s">
        <v>3851</v>
      </c>
      <c r="F1429" s="7" t="str">
        <f>IFERROR(__xludf.DUMMYFUNCTION("GOOGLETRANSLATE(B1429:B5064,""en"",""fr"")"),"couteau")</f>
        <v>couteau</v>
      </c>
    </row>
    <row r="1430" ht="19.5" customHeight="1">
      <c r="A1430" s="26" t="s">
        <v>3852</v>
      </c>
      <c r="B1430" s="27" t="s">
        <v>3853</v>
      </c>
      <c r="C1430" s="28" t="s">
        <v>134</v>
      </c>
      <c r="D1430" s="29">
        <v>236.0</v>
      </c>
      <c r="E1430" s="28" t="s">
        <v>3853</v>
      </c>
      <c r="F1430" s="7" t="str">
        <f>IFERROR(__xludf.DUMMYFUNCTION("GOOGLETRANSLATE(B1430:B5064,""en"",""fr"")"),"hilarant")</f>
        <v>hilarant</v>
      </c>
    </row>
    <row r="1431" ht="19.5" customHeight="1">
      <c r="A1431" s="26" t="s">
        <v>3854</v>
      </c>
      <c r="B1431" s="27" t="s">
        <v>3421</v>
      </c>
      <c r="C1431" s="28" t="s">
        <v>32</v>
      </c>
      <c r="D1431" s="29">
        <v>236.0</v>
      </c>
      <c r="E1431" s="28" t="s">
        <v>3855</v>
      </c>
      <c r="F1431" s="7" t="str">
        <f>IFERROR(__xludf.DUMMYFUNCTION("GOOGLETRANSLATE(B1431:B5064,""en"",""fr"")"),"juge")</f>
        <v>juge</v>
      </c>
    </row>
    <row r="1432" ht="19.5" customHeight="1">
      <c r="A1432" s="26" t="s">
        <v>3856</v>
      </c>
      <c r="B1432" s="27" t="s">
        <v>3857</v>
      </c>
      <c r="C1432" s="28" t="s">
        <v>178</v>
      </c>
      <c r="D1432" s="29">
        <v>235.0</v>
      </c>
      <c r="E1432" s="28" t="s">
        <v>3858</v>
      </c>
      <c r="F1432" s="7" t="str">
        <f>IFERROR(__xludf.DUMMYFUNCTION("GOOGLETRANSLATE(B1432:B5064,""en"",""fr"")"),"couverture")</f>
        <v>couverture</v>
      </c>
    </row>
    <row r="1433" ht="19.5" customHeight="1">
      <c r="A1433" s="26" t="s">
        <v>3859</v>
      </c>
      <c r="B1433" s="27" t="s">
        <v>3860</v>
      </c>
      <c r="C1433" s="28" t="s">
        <v>134</v>
      </c>
      <c r="D1433" s="29">
        <v>235.0</v>
      </c>
      <c r="E1433" s="28" t="s">
        <v>3860</v>
      </c>
      <c r="F1433" s="7" t="str">
        <f>IFERROR(__xludf.DUMMYFUNCTION("GOOGLETRANSLATE(B1433:B5064,""en"",""fr"")"),"bande dessinée")</f>
        <v>bande dessinée</v>
      </c>
    </row>
    <row r="1434" ht="19.5" customHeight="1">
      <c r="A1434" s="26" t="s">
        <v>3861</v>
      </c>
      <c r="B1434" s="27" t="s">
        <v>3862</v>
      </c>
      <c r="C1434" s="28" t="s">
        <v>178</v>
      </c>
      <c r="D1434" s="29">
        <v>235.0</v>
      </c>
      <c r="E1434" s="28" t="s">
        <v>3863</v>
      </c>
      <c r="F1434" s="7" t="str">
        <f>IFERROR(__xludf.DUMMYFUNCTION("GOOGLETRANSLATE(B1434:B5064,""en"",""fr"")"),"chef")</f>
        <v>chef</v>
      </c>
    </row>
    <row r="1435" ht="19.5" customHeight="1">
      <c r="A1435" s="26" t="s">
        <v>3864</v>
      </c>
      <c r="B1435" s="27" t="s">
        <v>3865</v>
      </c>
      <c r="C1435" s="28" t="s">
        <v>134</v>
      </c>
      <c r="D1435" s="29">
        <v>235.0</v>
      </c>
      <c r="E1435" s="28" t="s">
        <v>3865</v>
      </c>
      <c r="F1435" s="7" t="str">
        <f>IFERROR(__xludf.DUMMYFUNCTION("GOOGLETRANSLATE(B1435:B5064,""en"",""fr"")"),"locale")</f>
        <v>locale</v>
      </c>
    </row>
    <row r="1436" ht="19.5" customHeight="1">
      <c r="A1436" s="26" t="s">
        <v>3866</v>
      </c>
      <c r="B1436" s="27" t="s">
        <v>3867</v>
      </c>
      <c r="C1436" s="28" t="s">
        <v>178</v>
      </c>
      <c r="D1436" s="29">
        <v>235.0</v>
      </c>
      <c r="E1436" s="28" t="s">
        <v>3868</v>
      </c>
      <c r="F1436" s="7" t="str">
        <f>IFERROR(__xludf.DUMMYFUNCTION("GOOGLETRANSLATE(B1436:B5064,""en"",""fr"")"),"quartier")</f>
        <v>quartier</v>
      </c>
    </row>
    <row r="1437" ht="19.5" customHeight="1">
      <c r="A1437" s="26" t="s">
        <v>3869</v>
      </c>
      <c r="B1437" s="27" t="s">
        <v>3870</v>
      </c>
      <c r="C1437" s="28" t="s">
        <v>32</v>
      </c>
      <c r="D1437" s="29">
        <v>235.0</v>
      </c>
      <c r="E1437" s="28" t="s">
        <v>3871</v>
      </c>
      <c r="F1437" s="7" t="str">
        <f>IFERROR(__xludf.DUMMYFUNCTION("GOOGLETRANSLATE(B1437:B5064,""en"",""fr"")"),"piège")</f>
        <v>piège</v>
      </c>
    </row>
    <row r="1438" ht="19.5" customHeight="1">
      <c r="A1438" s="26" t="s">
        <v>3872</v>
      </c>
      <c r="B1438" s="27" t="s">
        <v>3873</v>
      </c>
      <c r="C1438" s="28" t="s">
        <v>178</v>
      </c>
      <c r="D1438" s="29">
        <v>235.0</v>
      </c>
      <c r="E1438" s="28" t="s">
        <v>3874</v>
      </c>
      <c r="F1438" s="7" t="str">
        <f>IFERROR(__xludf.DUMMYFUNCTION("GOOGLETRANSLATE(B1438:B5064,""en"",""fr"")"),"Ouest")</f>
        <v>Ouest</v>
      </c>
    </row>
    <row r="1439" ht="19.5" customHeight="1">
      <c r="A1439" s="26" t="s">
        <v>3875</v>
      </c>
      <c r="B1439" s="27" t="s">
        <v>3876</v>
      </c>
      <c r="C1439" s="28" t="s">
        <v>32</v>
      </c>
      <c r="D1439" s="29">
        <v>234.0</v>
      </c>
      <c r="E1439" s="28" t="s">
        <v>3877</v>
      </c>
      <c r="F1439" s="7" t="str">
        <f>IFERROR(__xludf.DUMMYFUNCTION("GOOGLETRANSLATE(B1439:B5064,""en"",""fr"")"),"enterrer")</f>
        <v>enterrer</v>
      </c>
    </row>
    <row r="1440" ht="19.5" customHeight="1">
      <c r="A1440" s="26" t="s">
        <v>3878</v>
      </c>
      <c r="B1440" s="27" t="s">
        <v>3879</v>
      </c>
      <c r="C1440" s="28" t="s">
        <v>178</v>
      </c>
      <c r="D1440" s="29">
        <v>234.0</v>
      </c>
      <c r="E1440" s="28" t="s">
        <v>3880</v>
      </c>
      <c r="F1440" s="7" t="str">
        <f>IFERROR(__xludf.DUMMYFUNCTION("GOOGLETRANSLATE(B1440:B5064,""en"",""fr"")"),"putain")</f>
        <v>putain</v>
      </c>
    </row>
    <row r="1441" ht="19.5" customHeight="1">
      <c r="A1441" s="26" t="s">
        <v>3881</v>
      </c>
      <c r="B1441" s="27" t="s">
        <v>3882</v>
      </c>
      <c r="C1441" s="28" t="s">
        <v>32</v>
      </c>
      <c r="D1441" s="29">
        <v>233.0</v>
      </c>
      <c r="E1441" s="28" t="s">
        <v>3883</v>
      </c>
      <c r="F1441" s="7" t="str">
        <f>IFERROR(__xludf.DUMMYFUNCTION("GOOGLETRANSLATE(B1441:B5064,""en"",""fr"")"),"croix")</f>
        <v>croix</v>
      </c>
    </row>
    <row r="1442" ht="19.5" customHeight="1">
      <c r="A1442" s="26" t="s">
        <v>3884</v>
      </c>
      <c r="B1442" s="27" t="s">
        <v>3885</v>
      </c>
      <c r="C1442" s="28" t="s">
        <v>178</v>
      </c>
      <c r="D1442" s="29">
        <v>233.0</v>
      </c>
      <c r="E1442" s="28" t="s">
        <v>3886</v>
      </c>
      <c r="F1442" s="7" t="str">
        <f>IFERROR(__xludf.DUMMYFUNCTION("GOOGLETRANSLATE(B1442:B5064,""en"",""fr"")"),"feuille")</f>
        <v>feuille</v>
      </c>
    </row>
    <row r="1443" ht="19.5" customHeight="1">
      <c r="A1443" s="26" t="s">
        <v>3887</v>
      </c>
      <c r="B1443" s="27" t="s">
        <v>3888</v>
      </c>
      <c r="C1443" s="28" t="s">
        <v>32</v>
      </c>
      <c r="D1443" s="29">
        <v>233.0</v>
      </c>
      <c r="E1443" s="28" t="s">
        <v>3889</v>
      </c>
      <c r="F1443" s="7" t="str">
        <f>IFERROR(__xludf.DUMMYFUNCTION("GOOGLETRANSLATE(B1443:B5064,""en"",""fr"")"),"souffrir")</f>
        <v>souffrir</v>
      </c>
    </row>
    <row r="1444" ht="19.5" customHeight="1">
      <c r="A1444" s="26" t="s">
        <v>3890</v>
      </c>
      <c r="B1444" s="27" t="s">
        <v>3891</v>
      </c>
      <c r="C1444" s="28" t="s">
        <v>178</v>
      </c>
      <c r="D1444" s="29">
        <v>233.0</v>
      </c>
      <c r="E1444" s="28" t="s">
        <v>3892</v>
      </c>
      <c r="F1444" s="7" t="str">
        <f>IFERROR(__xludf.DUMMYFUNCTION("GOOGLETRANSLATE(B1444:B5064,""en"",""fr"")"),"impôt")</f>
        <v>impôt</v>
      </c>
    </row>
    <row r="1445" ht="19.5" customHeight="1">
      <c r="A1445" s="26" t="s">
        <v>3893</v>
      </c>
      <c r="B1445" s="27" t="s">
        <v>3894</v>
      </c>
      <c r="C1445" s="28" t="s">
        <v>178</v>
      </c>
      <c r="D1445" s="29">
        <v>232.0</v>
      </c>
      <c r="E1445" s="28" t="s">
        <v>3895</v>
      </c>
      <c r="F1445" s="7" t="str">
        <f>IFERROR(__xludf.DUMMYFUNCTION("GOOGLETRANSLATE(B1445:B5064,""en"",""fr"")"),"bain")</f>
        <v>bain</v>
      </c>
    </row>
    <row r="1446" ht="19.5" customHeight="1">
      <c r="A1446" s="26" t="s">
        <v>3896</v>
      </c>
      <c r="B1446" s="27" t="s">
        <v>3897</v>
      </c>
      <c r="C1446" s="28" t="s">
        <v>32</v>
      </c>
      <c r="D1446" s="29">
        <v>232.0</v>
      </c>
      <c r="E1446" s="28" t="s">
        <v>3898</v>
      </c>
      <c r="F1446" s="7" t="str">
        <f>IFERROR(__xludf.DUMMYFUNCTION("GOOGLETRANSLATE(B1446:B5064,""en"",""fr"")"),"recevoir")</f>
        <v>recevoir</v>
      </c>
    </row>
    <row r="1447" ht="19.5" customHeight="1">
      <c r="A1447" s="26" t="s">
        <v>3899</v>
      </c>
      <c r="B1447" s="27" t="s">
        <v>3900</v>
      </c>
      <c r="C1447" s="28" t="s">
        <v>100</v>
      </c>
      <c r="D1447" s="29">
        <v>232.0</v>
      </c>
      <c r="E1447" s="28" t="s">
        <v>3900</v>
      </c>
      <c r="F1447" s="7" t="str">
        <f>IFERROR(__xludf.DUMMYFUNCTION("GOOGLETRANSLATE(B1447:B5064,""en"",""fr"")"),"parfois")</f>
        <v>parfois</v>
      </c>
    </row>
    <row r="1448" ht="19.5" customHeight="1">
      <c r="A1448" s="26" t="s">
        <v>3901</v>
      </c>
      <c r="B1448" s="27" t="s">
        <v>3902</v>
      </c>
      <c r="C1448" s="28" t="s">
        <v>32</v>
      </c>
      <c r="D1448" s="29">
        <v>232.0</v>
      </c>
      <c r="E1448" s="28" t="s">
        <v>3903</v>
      </c>
      <c r="F1448" s="7" t="str">
        <f>IFERROR(__xludf.DUMMYFUNCTION("GOOGLETRANSLATE(B1448:B5064,""en"",""fr"")"),"diviser")</f>
        <v>diviser</v>
      </c>
    </row>
    <row r="1449" ht="19.5" customHeight="1">
      <c r="A1449" s="26" t="s">
        <v>3904</v>
      </c>
      <c r="B1449" s="27" t="s">
        <v>3905</v>
      </c>
      <c r="C1449" s="28" t="s">
        <v>178</v>
      </c>
      <c r="D1449" s="29">
        <v>231.0</v>
      </c>
      <c r="E1449" s="28" t="s">
        <v>3906</v>
      </c>
      <c r="F1449" s="7" t="str">
        <f>IFERROR(__xludf.DUMMYFUNCTION("GOOGLETRANSLATE(B1449:B5064,""en"",""fr"")"),"un soda")</f>
        <v>un soda</v>
      </c>
    </row>
    <row r="1450" ht="19.5" customHeight="1">
      <c r="A1450" s="26" t="s">
        <v>3907</v>
      </c>
      <c r="B1450" s="27" t="s">
        <v>3908</v>
      </c>
      <c r="C1450" s="28" t="s">
        <v>178</v>
      </c>
      <c r="D1450" s="29">
        <v>231.0</v>
      </c>
      <c r="E1450" s="28" t="s">
        <v>3909</v>
      </c>
      <c r="F1450" s="7" t="str">
        <f>IFERROR(__xludf.DUMMYFUNCTION("GOOGLETRANSLATE(B1450:B5064,""en"",""fr"")"),"Talent")</f>
        <v>Talent</v>
      </c>
    </row>
    <row r="1451" ht="19.5" customHeight="1">
      <c r="A1451" s="26" t="s">
        <v>3910</v>
      </c>
      <c r="B1451" s="27" t="s">
        <v>3911</v>
      </c>
      <c r="C1451" s="28" t="s">
        <v>178</v>
      </c>
      <c r="D1451" s="29">
        <v>230.0</v>
      </c>
      <c r="E1451" s="28" t="s">
        <v>3912</v>
      </c>
      <c r="F1451" s="7" t="str">
        <f>IFERROR(__xludf.DUMMYFUNCTION("GOOGLETRANSLATE(B1451:B5064,""en"",""fr"")"),"compte")</f>
        <v>compte</v>
      </c>
    </row>
    <row r="1452" ht="19.5" customHeight="1">
      <c r="A1452" s="26" t="s">
        <v>3913</v>
      </c>
      <c r="B1452" s="27" t="s">
        <v>3914</v>
      </c>
      <c r="C1452" s="28" t="s">
        <v>32</v>
      </c>
      <c r="D1452" s="29">
        <v>230.0</v>
      </c>
      <c r="E1452" s="28" t="s">
        <v>3915</v>
      </c>
      <c r="F1452" s="7" t="str">
        <f>IFERROR(__xludf.DUMMYFUNCTION("GOOGLETRANSLATE(B1452:B5064,""en"",""fr"")"),"convaincre")</f>
        <v>convaincre</v>
      </c>
    </row>
    <row r="1453" ht="19.5" customHeight="1">
      <c r="A1453" s="26" t="s">
        <v>3916</v>
      </c>
      <c r="B1453" s="27" t="s">
        <v>3917</v>
      </c>
      <c r="C1453" s="28" t="s">
        <v>178</v>
      </c>
      <c r="D1453" s="29">
        <v>230.0</v>
      </c>
      <c r="E1453" s="28" t="s">
        <v>3918</v>
      </c>
      <c r="F1453" s="7" t="str">
        <f>IFERROR(__xludf.DUMMYFUNCTION("GOOGLETRANSLATE(B1453:B5064,""en"",""fr"")"),"dessert")</f>
        <v>dessert</v>
      </c>
    </row>
    <row r="1454" ht="19.5" customHeight="1">
      <c r="A1454" s="26" t="s">
        <v>3919</v>
      </c>
      <c r="B1454" s="27" t="s">
        <v>3920</v>
      </c>
      <c r="C1454" s="28" t="s">
        <v>178</v>
      </c>
      <c r="D1454" s="29">
        <v>230.0</v>
      </c>
      <c r="E1454" s="28" t="s">
        <v>3921</v>
      </c>
      <c r="F1454" s="7" t="str">
        <f>IFERROR(__xludf.DUMMYFUNCTION("GOOGLETRANSLATE(B1454:B5064,""en"",""fr"")"),"but")</f>
        <v>but</v>
      </c>
    </row>
    <row r="1455" ht="19.5" customHeight="1">
      <c r="A1455" s="26" t="s">
        <v>3922</v>
      </c>
      <c r="B1455" s="27" t="s">
        <v>3036</v>
      </c>
      <c r="C1455" s="28" t="s">
        <v>32</v>
      </c>
      <c r="D1455" s="29">
        <v>230.0</v>
      </c>
      <c r="E1455" s="28" t="s">
        <v>3923</v>
      </c>
      <c r="F1455" s="7" t="str">
        <f>IFERROR(__xludf.DUMMYFUNCTION("GOOGLETRANSLATE(B1455:B5064,""en"",""fr"")"),"rapport")</f>
        <v>rapport</v>
      </c>
    </row>
    <row r="1456" ht="19.5" customHeight="1">
      <c r="A1456" s="26" t="s">
        <v>3924</v>
      </c>
      <c r="B1456" s="27" t="s">
        <v>3925</v>
      </c>
      <c r="C1456" s="28" t="s">
        <v>134</v>
      </c>
      <c r="D1456" s="29">
        <v>230.0</v>
      </c>
      <c r="E1456" s="28" t="s">
        <v>3926</v>
      </c>
      <c r="F1456" s="7" t="str">
        <f>IFERROR(__xludf.DUMMYFUNCTION("GOOGLETRANSLATE(B1456:B5064,""en"",""fr"")"),"faible")</f>
        <v>faible</v>
      </c>
    </row>
    <row r="1457" ht="19.5" customHeight="1">
      <c r="A1457" s="26" t="s">
        <v>3927</v>
      </c>
      <c r="B1457" s="27" t="s">
        <v>3928</v>
      </c>
      <c r="C1457" s="28" t="s">
        <v>32</v>
      </c>
      <c r="D1457" s="29">
        <v>229.0</v>
      </c>
      <c r="E1457" s="28" t="s">
        <v>3929</v>
      </c>
      <c r="F1457" s="7" t="str">
        <f>IFERROR(__xludf.DUMMYFUNCTION("GOOGLETRANSLATE(B1457:B5064,""en"",""fr"")"),"acclamation")</f>
        <v>acclamation</v>
      </c>
    </row>
    <row r="1458" ht="19.5" customHeight="1">
      <c r="A1458" s="26" t="s">
        <v>3930</v>
      </c>
      <c r="B1458" s="27" t="s">
        <v>569</v>
      </c>
      <c r="C1458" s="28" t="s">
        <v>178</v>
      </c>
      <c r="D1458" s="29">
        <v>229.0</v>
      </c>
      <c r="E1458" s="28" t="s">
        <v>3931</v>
      </c>
      <c r="F1458" s="7" t="str">
        <f>IFERROR(__xludf.DUMMYFUNCTION("GOOGLETRANSLATE(B1458:B5064,""en"",""fr"")"),"se déplacer")</f>
        <v>se déplacer</v>
      </c>
    </row>
    <row r="1459" ht="19.5" customHeight="1">
      <c r="A1459" s="26" t="s">
        <v>3932</v>
      </c>
      <c r="B1459" s="27" t="s">
        <v>3933</v>
      </c>
      <c r="C1459" s="28" t="s">
        <v>32</v>
      </c>
      <c r="D1459" s="29">
        <v>229.0</v>
      </c>
      <c r="E1459" s="28" t="s">
        <v>3934</v>
      </c>
      <c r="F1459" s="7" t="str">
        <f>IFERROR(__xludf.DUMMYFUNCTION("GOOGLETRANSLATE(B1459:B5064,""en"",""fr"")"),"soutien")</f>
        <v>soutien</v>
      </c>
    </row>
    <row r="1460" ht="19.5" customHeight="1">
      <c r="A1460" s="26" t="s">
        <v>3935</v>
      </c>
      <c r="B1460" s="27" t="s">
        <v>3936</v>
      </c>
      <c r="C1460" s="28" t="s">
        <v>178</v>
      </c>
      <c r="D1460" s="29">
        <v>228.0</v>
      </c>
      <c r="E1460" s="28" t="s">
        <v>3937</v>
      </c>
      <c r="F1460" s="7" t="str">
        <f>IFERROR(__xludf.DUMMYFUNCTION("GOOGLETRANSLATE(B1460:B5064,""en"",""fr"")"),"recherche")</f>
        <v>recherche</v>
      </c>
    </row>
    <row r="1461" ht="19.5" customHeight="1">
      <c r="A1461" s="26" t="s">
        <v>3938</v>
      </c>
      <c r="B1461" s="27" t="s">
        <v>3939</v>
      </c>
      <c r="C1461" s="28" t="s">
        <v>178</v>
      </c>
      <c r="D1461" s="29">
        <v>228.0</v>
      </c>
      <c r="E1461" s="28" t="s">
        <v>3940</v>
      </c>
      <c r="F1461" s="7" t="str">
        <f>IFERROR(__xludf.DUMMYFUNCTION("GOOGLETRANSLATE(B1461:B5064,""en"",""fr"")"),"langue")</f>
        <v>langue</v>
      </c>
    </row>
    <row r="1462" ht="19.5" customHeight="1">
      <c r="A1462" s="26" t="s">
        <v>3941</v>
      </c>
      <c r="B1462" s="27" t="s">
        <v>3942</v>
      </c>
      <c r="C1462" s="28" t="s">
        <v>728</v>
      </c>
      <c r="D1462" s="29">
        <v>228.0</v>
      </c>
      <c r="E1462" s="28" t="s">
        <v>3943</v>
      </c>
      <c r="F1462" s="7" t="str">
        <f>IFERROR(__xludf.DUMMYFUNCTION("GOOGLETRANSLATE(B1462:B5064,""en"",""fr"")"),"Valentin")</f>
        <v>Valentin</v>
      </c>
    </row>
    <row r="1463" ht="19.5" customHeight="1">
      <c r="A1463" s="26" t="s">
        <v>3944</v>
      </c>
      <c r="B1463" s="27" t="s">
        <v>3945</v>
      </c>
      <c r="C1463" s="28" t="s">
        <v>178</v>
      </c>
      <c r="D1463" s="29">
        <v>227.0</v>
      </c>
      <c r="E1463" s="28" t="s">
        <v>3946</v>
      </c>
      <c r="F1463" s="7" t="str">
        <f>IFERROR(__xludf.DUMMYFUNCTION("GOOGLETRANSLATE(B1463:B5064,""en"",""fr"")"),"pilule")</f>
        <v>pilule</v>
      </c>
    </row>
    <row r="1464" ht="19.5" customHeight="1">
      <c r="A1464" s="26" t="s">
        <v>3947</v>
      </c>
      <c r="B1464" s="27" t="s">
        <v>3948</v>
      </c>
      <c r="C1464" s="28" t="s">
        <v>178</v>
      </c>
      <c r="D1464" s="29">
        <v>227.0</v>
      </c>
      <c r="E1464" s="28" t="s">
        <v>3949</v>
      </c>
      <c r="F1464" s="7" t="str">
        <f>IFERROR(__xludf.DUMMYFUNCTION("GOOGLETRANSLATE(B1464:B5064,""en"",""fr"")"),"serpent")</f>
        <v>serpent</v>
      </c>
    </row>
    <row r="1465" ht="19.5" customHeight="1">
      <c r="A1465" s="26" t="s">
        <v>3950</v>
      </c>
      <c r="B1465" s="27" t="s">
        <v>3951</v>
      </c>
      <c r="C1465" s="28" t="s">
        <v>178</v>
      </c>
      <c r="D1465" s="29">
        <v>226.0</v>
      </c>
      <c r="E1465" s="28" t="s">
        <v>3952</v>
      </c>
      <c r="F1465" s="7" t="str">
        <f>IFERROR(__xludf.DUMMYFUNCTION("GOOGLETRANSLATE(B1465:B5064,""en"",""fr"")"),"bataille")</f>
        <v>bataille</v>
      </c>
    </row>
    <row r="1466" ht="19.5" customHeight="1">
      <c r="A1466" s="26" t="s">
        <v>3953</v>
      </c>
      <c r="B1466" s="27" t="s">
        <v>3954</v>
      </c>
      <c r="C1466" s="28" t="s">
        <v>178</v>
      </c>
      <c r="D1466" s="29">
        <v>226.0</v>
      </c>
      <c r="E1466" s="28" t="s">
        <v>3955</v>
      </c>
      <c r="F1466" s="7" t="str">
        <f>IFERROR(__xludf.DUMMYFUNCTION("GOOGLETRANSLATE(B1466:B5064,""en"",""fr"")"),"Licence")</f>
        <v>Licence</v>
      </c>
    </row>
    <row r="1467" ht="19.5" customHeight="1">
      <c r="A1467" s="26" t="s">
        <v>3956</v>
      </c>
      <c r="B1467" s="27" t="s">
        <v>3957</v>
      </c>
      <c r="C1467" s="28" t="s">
        <v>178</v>
      </c>
      <c r="D1467" s="29">
        <v>226.0</v>
      </c>
      <c r="E1467" s="28" t="s">
        <v>3958</v>
      </c>
      <c r="F1467" s="7" t="str">
        <f>IFERROR(__xludf.DUMMYFUNCTION("GOOGLETRANSLATE(B1467:B5064,""en"",""fr"")"),"noix")</f>
        <v>noix</v>
      </c>
    </row>
    <row r="1468" ht="19.5" customHeight="1">
      <c r="A1468" s="26" t="s">
        <v>3959</v>
      </c>
      <c r="B1468" s="27" t="s">
        <v>3960</v>
      </c>
      <c r="C1468" s="28" t="s">
        <v>178</v>
      </c>
      <c r="D1468" s="29">
        <v>225.0</v>
      </c>
      <c r="E1468" s="28" t="s">
        <v>3960</v>
      </c>
      <c r="F1468" s="7" t="str">
        <f>IFERROR(__xludf.DUMMYFUNCTION("GOOGLETRANSLATE(B1468:B5064,""en"",""fr"")"),"santé")</f>
        <v>santé</v>
      </c>
    </row>
    <row r="1469" ht="19.5" customHeight="1">
      <c r="A1469" s="26" t="s">
        <v>3961</v>
      </c>
      <c r="B1469" s="27" t="s">
        <v>3962</v>
      </c>
      <c r="C1469" s="28" t="s">
        <v>134</v>
      </c>
      <c r="D1469" s="29">
        <v>225.0</v>
      </c>
      <c r="E1469" s="28" t="s">
        <v>3962</v>
      </c>
      <c r="F1469" s="7" t="str">
        <f>IFERROR(__xludf.DUMMYFUNCTION("GOOGLETRANSLATE(B1469:B5064,""en"",""fr"")"),"naturel")</f>
        <v>naturel</v>
      </c>
    </row>
    <row r="1470" ht="19.5" customHeight="1">
      <c r="A1470" s="26" t="s">
        <v>3963</v>
      </c>
      <c r="B1470" s="27" t="s">
        <v>3964</v>
      </c>
      <c r="C1470" s="28" t="s">
        <v>134</v>
      </c>
      <c r="D1470" s="29">
        <v>223.0</v>
      </c>
      <c r="E1470" s="28" t="s">
        <v>3964</v>
      </c>
      <c r="F1470" s="7" t="str">
        <f>IFERROR(__xludf.DUMMYFUNCTION("GOOGLETRANSLATE(B1470:B5064,""en"",""fr"")"),"magnifique")</f>
        <v>magnifique</v>
      </c>
    </row>
    <row r="1471" ht="19.5" customHeight="1">
      <c r="A1471" s="26" t="s">
        <v>3965</v>
      </c>
      <c r="B1471" s="27" t="s">
        <v>3966</v>
      </c>
      <c r="C1471" s="28" t="s">
        <v>178</v>
      </c>
      <c r="D1471" s="29">
        <v>223.0</v>
      </c>
      <c r="E1471" s="28" t="s">
        <v>3967</v>
      </c>
      <c r="F1471" s="7" t="str">
        <f>IFERROR(__xludf.DUMMYFUNCTION("GOOGLETRANSLATE(B1471:B5064,""en"",""fr"")"),"steak")</f>
        <v>steak</v>
      </c>
    </row>
    <row r="1472" ht="19.5" customHeight="1">
      <c r="A1472" s="26" t="s">
        <v>3968</v>
      </c>
      <c r="B1472" s="27" t="s">
        <v>3969</v>
      </c>
      <c r="C1472" s="28" t="s">
        <v>178</v>
      </c>
      <c r="D1472" s="29">
        <v>223.0</v>
      </c>
      <c r="E1472" s="28" t="s">
        <v>3970</v>
      </c>
      <c r="F1472" s="7" t="str">
        <f>IFERROR(__xludf.DUMMYFUNCTION("GOOGLETRANSLATE(B1472:B5064,""en"",""fr"")"),"vagin")</f>
        <v>vagin</v>
      </c>
    </row>
    <row r="1473" ht="19.5" customHeight="1">
      <c r="A1473" s="26" t="s">
        <v>3971</v>
      </c>
      <c r="B1473" s="27" t="s">
        <v>3972</v>
      </c>
      <c r="C1473" s="28" t="s">
        <v>178</v>
      </c>
      <c r="D1473" s="29">
        <v>222.0</v>
      </c>
      <c r="E1473" s="28" t="s">
        <v>3973</v>
      </c>
      <c r="F1473" s="7" t="str">
        <f>IFERROR(__xludf.DUMMYFUNCTION("GOOGLETRANSLATE(B1473:B5064,""en"",""fr"")"),"public")</f>
        <v>public</v>
      </c>
    </row>
    <row r="1474" ht="19.5" customHeight="1">
      <c r="A1474" s="26" t="s">
        <v>3974</v>
      </c>
      <c r="B1474" s="27" t="s">
        <v>3975</v>
      </c>
      <c r="C1474" s="28" t="s">
        <v>178</v>
      </c>
      <c r="D1474" s="29">
        <v>222.0</v>
      </c>
      <c r="E1474" s="28" t="s">
        <v>3976</v>
      </c>
      <c r="F1474" s="7" t="str">
        <f>IFERROR(__xludf.DUMMYFUNCTION("GOOGLETRANSLATE(B1474:B5064,""en"",""fr"")"),"genou")</f>
        <v>genou</v>
      </c>
    </row>
    <row r="1475" ht="19.5" customHeight="1">
      <c r="A1475" s="26" t="s">
        <v>3977</v>
      </c>
      <c r="B1475" s="27" t="s">
        <v>3978</v>
      </c>
      <c r="C1475" s="28" t="s">
        <v>178</v>
      </c>
      <c r="D1475" s="29">
        <v>222.0</v>
      </c>
      <c r="E1475" s="28" t="s">
        <v>3979</v>
      </c>
      <c r="F1475" s="7" t="str">
        <f>IFERROR(__xludf.DUMMYFUNCTION("GOOGLETRANSLATE(B1475:B5064,""en"",""fr"")"),"terme")</f>
        <v>terme</v>
      </c>
    </row>
    <row r="1476" ht="19.5" customHeight="1">
      <c r="A1476" s="26" t="s">
        <v>3980</v>
      </c>
      <c r="B1476" s="27" t="s">
        <v>1177</v>
      </c>
      <c r="C1476" s="28" t="s">
        <v>178</v>
      </c>
      <c r="D1476" s="29">
        <v>221.0</v>
      </c>
      <c r="E1476" s="28" t="s">
        <v>3981</v>
      </c>
      <c r="F1476" s="7" t="str">
        <f>IFERROR(__xludf.DUMMYFUNCTION("GOOGLETRANSLATE(B1476:B5064,""en"",""fr"")"),"danse")</f>
        <v>danse</v>
      </c>
    </row>
    <row r="1477" ht="19.5" customHeight="1">
      <c r="A1477" s="26" t="s">
        <v>3982</v>
      </c>
      <c r="B1477" s="27" t="s">
        <v>3983</v>
      </c>
      <c r="C1477" s="28" t="s">
        <v>178</v>
      </c>
      <c r="D1477" s="29">
        <v>221.0</v>
      </c>
      <c r="E1477" s="28" t="s">
        <v>3984</v>
      </c>
      <c r="F1477" s="7" t="str">
        <f>IFERROR(__xludf.DUMMYFUNCTION("GOOGLETRANSLATE(B1477:B5064,""en"",""fr"")"),"score")</f>
        <v>score</v>
      </c>
    </row>
    <row r="1478" ht="19.5" customHeight="1">
      <c r="A1478" s="26" t="s">
        <v>3985</v>
      </c>
      <c r="B1478" s="27" t="s">
        <v>3986</v>
      </c>
      <c r="C1478" s="28" t="s">
        <v>32</v>
      </c>
      <c r="D1478" s="29">
        <v>221.0</v>
      </c>
      <c r="E1478" s="28" t="s">
        <v>3987</v>
      </c>
      <c r="F1478" s="7" t="str">
        <f>IFERROR(__xludf.DUMMYFUNCTION("GOOGLETRANSLATE(B1478:B5064,""en"",""fr"")"),"poursuivre en justice")</f>
        <v>poursuivre en justice</v>
      </c>
    </row>
    <row r="1479" ht="19.5" customHeight="1">
      <c r="A1479" s="26" t="s">
        <v>3988</v>
      </c>
      <c r="B1479" s="27" t="s">
        <v>3989</v>
      </c>
      <c r="C1479" s="28" t="s">
        <v>36</v>
      </c>
      <c r="D1479" s="29">
        <v>221.0</v>
      </c>
      <c r="E1479" s="28" t="s">
        <v>3989</v>
      </c>
      <c r="F1479" s="7" t="str">
        <f>IFERROR(__xludf.DUMMYFUNCTION("GOOGLETRANSLATE(B1479:B5064,""en"",""fr"")"),"si")</f>
        <v>si</v>
      </c>
    </row>
    <row r="1480" ht="19.5" customHeight="1">
      <c r="A1480" s="26" t="s">
        <v>3990</v>
      </c>
      <c r="B1480" s="27" t="s">
        <v>3991</v>
      </c>
      <c r="C1480" s="28" t="s">
        <v>178</v>
      </c>
      <c r="D1480" s="29">
        <v>220.0</v>
      </c>
      <c r="E1480" s="28" t="s">
        <v>3992</v>
      </c>
      <c r="F1480" s="7" t="str">
        <f>IFERROR(__xludf.DUMMYFUNCTION("GOOGLETRANSLATE(B1480:B5064,""en"",""fr"")"),"artiste")</f>
        <v>artiste</v>
      </c>
    </row>
    <row r="1481" ht="19.5" customHeight="1">
      <c r="A1481" s="26" t="s">
        <v>3993</v>
      </c>
      <c r="B1481" s="27" t="s">
        <v>3536</v>
      </c>
      <c r="C1481" s="28" t="s">
        <v>32</v>
      </c>
      <c r="D1481" s="29">
        <v>220.0</v>
      </c>
      <c r="E1481" s="28" t="s">
        <v>3994</v>
      </c>
      <c r="F1481" s="7" t="str">
        <f>IFERROR(__xludf.DUMMYFUNCTION("GOOGLETRANSLATE(B1481:B5064,""en"",""fr"")"),"attaque")</f>
        <v>attaque</v>
      </c>
    </row>
    <row r="1482" ht="19.5" customHeight="1">
      <c r="A1482" s="26" t="s">
        <v>3995</v>
      </c>
      <c r="B1482" s="27" t="s">
        <v>3996</v>
      </c>
      <c r="C1482" s="28" t="s">
        <v>32</v>
      </c>
      <c r="D1482" s="29">
        <v>220.0</v>
      </c>
      <c r="E1482" s="28" t="s">
        <v>3997</v>
      </c>
      <c r="F1482" s="7" t="str">
        <f>IFERROR(__xludf.DUMMYFUNCTION("GOOGLETRANSLATE(B1482:B5064,""en"",""fr"")"),"claquer")</f>
        <v>claquer</v>
      </c>
    </row>
    <row r="1483" ht="19.5" customHeight="1">
      <c r="A1483" s="26" t="s">
        <v>3998</v>
      </c>
      <c r="B1483" s="27" t="s">
        <v>3999</v>
      </c>
      <c r="C1483" s="28" t="s">
        <v>178</v>
      </c>
      <c r="D1483" s="29">
        <v>220.0</v>
      </c>
      <c r="E1483" s="28" t="s">
        <v>4000</v>
      </c>
      <c r="F1483" s="7" t="str">
        <f>IFERROR(__xludf.DUMMYFUNCTION("GOOGLETRANSLATE(B1483:B5064,""en"",""fr"")"),"haricot")</f>
        <v>haricot</v>
      </c>
    </row>
    <row r="1484" ht="19.5" customHeight="1">
      <c r="A1484" s="26" t="s">
        <v>4001</v>
      </c>
      <c r="B1484" s="27" t="s">
        <v>4002</v>
      </c>
      <c r="C1484" s="28" t="s">
        <v>36</v>
      </c>
      <c r="D1484" s="29">
        <v>220.0</v>
      </c>
      <c r="E1484" s="28" t="s">
        <v>4002</v>
      </c>
      <c r="F1484" s="7" t="str">
        <f>IFERROR(__xludf.DUMMYFUNCTION("GOOGLETRANSLATE(B1484:B5064,""en"",""fr"")"),"sur")</f>
        <v>sur</v>
      </c>
    </row>
    <row r="1485" ht="19.5" customHeight="1">
      <c r="A1485" s="26" t="s">
        <v>4003</v>
      </c>
      <c r="B1485" s="27" t="s">
        <v>4004</v>
      </c>
      <c r="C1485" s="28" t="s">
        <v>134</v>
      </c>
      <c r="D1485" s="29">
        <v>219.0</v>
      </c>
      <c r="E1485" s="28" t="s">
        <v>4004</v>
      </c>
      <c r="F1485" s="7" t="str">
        <f>IFERROR(__xludf.DUMMYFUNCTION("GOOGLETRANSLATE(B1485:B5064,""en"",""fr"")"),"attractif")</f>
        <v>attractif</v>
      </c>
    </row>
    <row r="1486" ht="19.5" customHeight="1">
      <c r="A1486" s="26" t="s">
        <v>4005</v>
      </c>
      <c r="B1486" s="27" t="s">
        <v>4006</v>
      </c>
      <c r="C1486" s="28" t="s">
        <v>178</v>
      </c>
      <c r="D1486" s="29">
        <v>219.0</v>
      </c>
      <c r="E1486" s="28" t="s">
        <v>4007</v>
      </c>
      <c r="F1486" s="7" t="str">
        <f>IFERROR(__xludf.DUMMYFUNCTION("GOOGLETRANSLATE(B1486:B5064,""en"",""fr"")"),"haleine")</f>
        <v>haleine</v>
      </c>
    </row>
    <row r="1487" ht="19.5" customHeight="1">
      <c r="A1487" s="26" t="s">
        <v>4008</v>
      </c>
      <c r="B1487" s="27" t="s">
        <v>2060</v>
      </c>
      <c r="C1487" s="28" t="s">
        <v>178</v>
      </c>
      <c r="D1487" s="29">
        <v>219.0</v>
      </c>
      <c r="E1487" s="28" t="s">
        <v>4009</v>
      </c>
      <c r="F1487" s="7" t="str">
        <f>IFERROR(__xludf.DUMMYFUNCTION("GOOGLETRANSLATE(B1487:B5064,""en"",""fr"")"),"couverture")</f>
        <v>couverture</v>
      </c>
    </row>
    <row r="1488" ht="19.5" customHeight="1">
      <c r="A1488" s="26" t="s">
        <v>4010</v>
      </c>
      <c r="B1488" s="27" t="s">
        <v>4011</v>
      </c>
      <c r="C1488" s="28" t="s">
        <v>134</v>
      </c>
      <c r="D1488" s="29">
        <v>219.0</v>
      </c>
      <c r="E1488" s="28" t="s">
        <v>4012</v>
      </c>
      <c r="F1488" s="7" t="str">
        <f>IFERROR(__xludf.DUMMYFUNCTION("GOOGLETRANSLATE(B1488:B5064,""en"",""fr"")"),"vide")</f>
        <v>vide</v>
      </c>
    </row>
    <row r="1489" ht="19.5" customHeight="1">
      <c r="A1489" s="26" t="s">
        <v>4013</v>
      </c>
      <c r="B1489" s="27" t="s">
        <v>4014</v>
      </c>
      <c r="C1489" s="28" t="s">
        <v>134</v>
      </c>
      <c r="D1489" s="29">
        <v>219.0</v>
      </c>
      <c r="E1489" s="28" t="s">
        <v>4015</v>
      </c>
      <c r="F1489" s="7" t="str">
        <f>IFERROR(__xludf.DUMMYFUNCTION("GOOGLETRANSLATE(B1489:B5064,""en"",""fr"")"),"solitaire")</f>
        <v>solitaire</v>
      </c>
    </row>
    <row r="1490" ht="19.5" customHeight="1">
      <c r="A1490" s="26" t="s">
        <v>4016</v>
      </c>
      <c r="B1490" s="27" t="s">
        <v>4017</v>
      </c>
      <c r="C1490" s="28" t="s">
        <v>178</v>
      </c>
      <c r="D1490" s="29">
        <v>219.0</v>
      </c>
      <c r="E1490" s="28" t="s">
        <v>4018</v>
      </c>
      <c r="F1490" s="7" t="str">
        <f>IFERROR(__xludf.DUMMYFUNCTION("GOOGLETRANSLATE(B1490:B5064,""en"",""fr"")"),"peinture")</f>
        <v>peinture</v>
      </c>
    </row>
    <row r="1491" ht="19.5" customHeight="1">
      <c r="A1491" s="26" t="s">
        <v>4019</v>
      </c>
      <c r="B1491" s="27" t="s">
        <v>4020</v>
      </c>
      <c r="C1491" s="28" t="s">
        <v>100</v>
      </c>
      <c r="D1491" s="29">
        <v>219.0</v>
      </c>
      <c r="E1491" s="28" t="s">
        <v>4020</v>
      </c>
      <c r="F1491" s="7" t="str">
        <f>IFERROR(__xludf.DUMMYFUNCTION("GOOGLETRANSLATE(B1491:B5064,""en"",""fr"")"),"vraiment")</f>
        <v>vraiment</v>
      </c>
    </row>
    <row r="1492" ht="19.5" customHeight="1">
      <c r="A1492" s="26" t="s">
        <v>4021</v>
      </c>
      <c r="B1492" s="27" t="s">
        <v>4022</v>
      </c>
      <c r="C1492" s="28" t="s">
        <v>178</v>
      </c>
      <c r="D1492" s="29">
        <v>218.0</v>
      </c>
      <c r="E1492" s="28" t="s">
        <v>4023</v>
      </c>
      <c r="F1492" s="7" t="str">
        <f>IFERROR(__xludf.DUMMYFUNCTION("GOOGLETRANSLATE(B1492:B5064,""en"",""fr"")"),"armée")</f>
        <v>armée</v>
      </c>
    </row>
    <row r="1493" ht="19.5" customHeight="1">
      <c r="A1493" s="26" t="s">
        <v>4024</v>
      </c>
      <c r="B1493" s="27" t="s">
        <v>4025</v>
      </c>
      <c r="C1493" s="28" t="s">
        <v>32</v>
      </c>
      <c r="D1493" s="29">
        <v>218.0</v>
      </c>
      <c r="E1493" s="28" t="s">
        <v>4026</v>
      </c>
      <c r="F1493" s="7" t="str">
        <f>IFERROR(__xludf.DUMMYFUNCTION("GOOGLETRANSLATE(B1493:B5064,""en"",""fr"")"),"éviter")</f>
        <v>éviter</v>
      </c>
    </row>
    <row r="1494" ht="19.5" customHeight="1">
      <c r="A1494" s="26" t="s">
        <v>4027</v>
      </c>
      <c r="B1494" s="27" t="s">
        <v>4028</v>
      </c>
      <c r="C1494" s="28" t="s">
        <v>178</v>
      </c>
      <c r="D1494" s="29">
        <v>218.0</v>
      </c>
      <c r="E1494" s="28" t="s">
        <v>4029</v>
      </c>
      <c r="F1494" s="7" t="str">
        <f>IFERROR(__xludf.DUMMYFUNCTION("GOOGLETRANSLATE(B1494:B5064,""en"",""fr"")"),"gang")</f>
        <v>gang</v>
      </c>
    </row>
    <row r="1495" ht="19.5" customHeight="1">
      <c r="A1495" s="26" t="s">
        <v>4030</v>
      </c>
      <c r="B1495" s="27" t="s">
        <v>4031</v>
      </c>
      <c r="C1495" s="28" t="s">
        <v>32</v>
      </c>
      <c r="D1495" s="29">
        <v>218.0</v>
      </c>
      <c r="E1495" s="28" t="s">
        <v>4032</v>
      </c>
      <c r="F1495" s="7" t="str">
        <f>IFERROR(__xludf.DUMMYFUNCTION("GOOGLETRANSLATE(B1495:B5064,""en"",""fr"")"),"atterrir")</f>
        <v>atterrir</v>
      </c>
    </row>
    <row r="1496" ht="19.5" customHeight="1">
      <c r="A1496" s="26" t="s">
        <v>4033</v>
      </c>
      <c r="B1496" s="27" t="s">
        <v>4034</v>
      </c>
      <c r="C1496" s="28" t="s">
        <v>178</v>
      </c>
      <c r="D1496" s="29">
        <v>218.0</v>
      </c>
      <c r="E1496" s="28" t="s">
        <v>4035</v>
      </c>
      <c r="F1496" s="7" t="str">
        <f>IFERROR(__xludf.DUMMYFUNCTION("GOOGLETRANSLATE(B1496:B5064,""en"",""fr"")"),"intello")</f>
        <v>intello</v>
      </c>
    </row>
    <row r="1497" ht="19.5" customHeight="1">
      <c r="A1497" s="26" t="s">
        <v>4036</v>
      </c>
      <c r="B1497" s="27" t="s">
        <v>4037</v>
      </c>
      <c r="C1497" s="28" t="s">
        <v>36</v>
      </c>
      <c r="D1497" s="29">
        <v>218.0</v>
      </c>
      <c r="E1497" s="28" t="s">
        <v>4037</v>
      </c>
      <c r="F1497" s="7" t="str">
        <f>IFERROR(__xludf.DUMMYFUNCTION("GOOGLETRANSLATE(B1497:B5064,""en"",""fr"")"),"autres")</f>
        <v>autres</v>
      </c>
    </row>
    <row r="1498" ht="19.5" customHeight="1">
      <c r="A1498" s="26" t="s">
        <v>4038</v>
      </c>
      <c r="B1498" s="27" t="s">
        <v>4039</v>
      </c>
      <c r="C1498" s="28" t="s">
        <v>32</v>
      </c>
      <c r="D1498" s="29">
        <v>218.0</v>
      </c>
      <c r="E1498" s="28" t="s">
        <v>4040</v>
      </c>
      <c r="F1498" s="7" t="str">
        <f>IFERROR(__xludf.DUMMYFUNCTION("GOOGLETRANSLATE(B1498:B5064,""en"",""fr"")"),"gifler")</f>
        <v>gifler</v>
      </c>
    </row>
    <row r="1499" ht="19.5" customHeight="1">
      <c r="A1499" s="26" t="s">
        <v>4041</v>
      </c>
      <c r="B1499" s="27" t="s">
        <v>219</v>
      </c>
      <c r="C1499" s="28" t="s">
        <v>36</v>
      </c>
      <c r="D1499" s="29">
        <v>218.0</v>
      </c>
      <c r="E1499" s="28" t="s">
        <v>219</v>
      </c>
      <c r="F1499" s="7" t="str">
        <f>IFERROR(__xludf.DUMMYFUNCTION("GOOGLETRANSLATE(B1499:B5064,""en"",""fr"")"),"quand")</f>
        <v>quand</v>
      </c>
    </row>
    <row r="1500" ht="19.5" customHeight="1">
      <c r="A1500" s="26" t="s">
        <v>4042</v>
      </c>
      <c r="B1500" s="27" t="s">
        <v>4043</v>
      </c>
      <c r="C1500" s="28" t="s">
        <v>178</v>
      </c>
      <c r="D1500" s="29">
        <v>217.0</v>
      </c>
      <c r="E1500" s="28" t="s">
        <v>4044</v>
      </c>
      <c r="F1500" s="7" t="str">
        <f>IFERROR(__xludf.DUMMYFUNCTION("GOOGLETRANSLATE(B1500:B5064,""en"",""fr"")"),"rendez-vous")</f>
        <v>rendez-vous</v>
      </c>
    </row>
    <row r="1501" ht="19.5" customHeight="1">
      <c r="A1501" s="26" t="s">
        <v>4045</v>
      </c>
      <c r="B1501" s="27" t="s">
        <v>4046</v>
      </c>
      <c r="C1501" s="28" t="s">
        <v>178</v>
      </c>
      <c r="D1501" s="29">
        <v>217.0</v>
      </c>
      <c r="E1501" s="28" t="s">
        <v>4047</v>
      </c>
      <c r="F1501" s="7" t="str">
        <f>IFERROR(__xludf.DUMMYFUNCTION("GOOGLETRANSLATE(B1501:B5064,""en"",""fr"")"),"queue")</f>
        <v>queue</v>
      </c>
    </row>
    <row r="1502" ht="19.5" customHeight="1">
      <c r="A1502" s="26" t="s">
        <v>4048</v>
      </c>
      <c r="B1502" s="27" t="s">
        <v>4049</v>
      </c>
      <c r="C1502" s="28" t="s">
        <v>178</v>
      </c>
      <c r="D1502" s="29">
        <v>217.0</v>
      </c>
      <c r="E1502" s="28" t="s">
        <v>4050</v>
      </c>
      <c r="F1502" s="7" t="str">
        <f>IFERROR(__xludf.DUMMYFUNCTION("GOOGLETRANSLATE(B1502:B5064,""en"",""fr"")"),"lesbienne")</f>
        <v>lesbienne</v>
      </c>
    </row>
    <row r="1503" ht="19.5" customHeight="1">
      <c r="A1503" s="26" t="s">
        <v>4051</v>
      </c>
      <c r="B1503" s="27" t="s">
        <v>4052</v>
      </c>
      <c r="C1503" s="28" t="s">
        <v>178</v>
      </c>
      <c r="D1503" s="29">
        <v>217.0</v>
      </c>
      <c r="E1503" s="28" t="s">
        <v>4053</v>
      </c>
      <c r="F1503" s="7" t="str">
        <f>IFERROR(__xludf.DUMMYFUNCTION("GOOGLETRANSLATE(B1503:B5064,""en"",""fr"")"),"tenue")</f>
        <v>tenue</v>
      </c>
    </row>
    <row r="1504" ht="19.5" customHeight="1">
      <c r="A1504" s="26" t="s">
        <v>4054</v>
      </c>
      <c r="B1504" s="27" t="s">
        <v>4055</v>
      </c>
      <c r="C1504" s="28" t="s">
        <v>178</v>
      </c>
      <c r="D1504" s="29">
        <v>216.0</v>
      </c>
      <c r="E1504" s="28" t="s">
        <v>4056</v>
      </c>
      <c r="F1504" s="7" t="str">
        <f>IFERROR(__xludf.DUMMYFUNCTION("GOOGLETRANSLATE(B1504:B5064,""en"",""fr"")"),"aventure")</f>
        <v>aventure</v>
      </c>
    </row>
    <row r="1505" ht="19.5" customHeight="1">
      <c r="A1505" s="26" t="s">
        <v>4057</v>
      </c>
      <c r="B1505" s="27" t="s">
        <v>4058</v>
      </c>
      <c r="C1505" s="28" t="s">
        <v>178</v>
      </c>
      <c r="D1505" s="29">
        <v>216.0</v>
      </c>
      <c r="E1505" s="28" t="s">
        <v>4059</v>
      </c>
      <c r="F1505" s="7" t="str">
        <f>IFERROR(__xludf.DUMMYFUNCTION("GOOGLETRANSLATE(B1505:B5064,""en"",""fr"")"),"diable")</f>
        <v>diable</v>
      </c>
    </row>
    <row r="1506" ht="19.5" customHeight="1">
      <c r="A1506" s="26" t="s">
        <v>4060</v>
      </c>
      <c r="B1506" s="27" t="s">
        <v>4061</v>
      </c>
      <c r="C1506" s="28" t="s">
        <v>178</v>
      </c>
      <c r="D1506" s="29">
        <v>216.0</v>
      </c>
      <c r="E1506" s="28" t="s">
        <v>4062</v>
      </c>
      <c r="F1506" s="7" t="str">
        <f>IFERROR(__xludf.DUMMYFUNCTION("GOOGLETRANSLATE(B1506:B5064,""en"",""fr"")"),"menteur")</f>
        <v>menteur</v>
      </c>
    </row>
    <row r="1507" ht="19.5" customHeight="1">
      <c r="A1507" s="26" t="s">
        <v>4063</v>
      </c>
      <c r="B1507" s="27" t="s">
        <v>4064</v>
      </c>
      <c r="C1507" s="28" t="s">
        <v>178</v>
      </c>
      <c r="D1507" s="29">
        <v>216.0</v>
      </c>
      <c r="E1507" s="28" t="s">
        <v>4065</v>
      </c>
      <c r="F1507" s="7" t="str">
        <f>IFERROR(__xludf.DUMMYFUNCTION("GOOGLETRANSLATE(B1507:B5064,""en"",""fr"")"),"infirmière")</f>
        <v>infirmière</v>
      </c>
    </row>
    <row r="1508" ht="19.5" customHeight="1">
      <c r="A1508" s="26" t="s">
        <v>4066</v>
      </c>
      <c r="B1508" s="27" t="s">
        <v>4067</v>
      </c>
      <c r="C1508" s="28" t="s">
        <v>178</v>
      </c>
      <c r="D1508" s="29">
        <v>216.0</v>
      </c>
      <c r="E1508" s="28" t="s">
        <v>4068</v>
      </c>
      <c r="F1508" s="7" t="str">
        <f>IFERROR(__xludf.DUMMYFUNCTION("GOOGLETRANSLATE(B1508:B5064,""en"",""fr"")"),"pot")</f>
        <v>pot</v>
      </c>
    </row>
    <row r="1509" ht="19.5" customHeight="1">
      <c r="A1509" s="26" t="s">
        <v>4069</v>
      </c>
      <c r="B1509" s="27" t="s">
        <v>4070</v>
      </c>
      <c r="C1509" s="28" t="s">
        <v>134</v>
      </c>
      <c r="D1509" s="29">
        <v>216.0</v>
      </c>
      <c r="E1509" s="28" t="s">
        <v>4070</v>
      </c>
      <c r="F1509" s="7" t="str">
        <f>IFERROR(__xludf.DUMMYFUNCTION("GOOGLETRANSLATE(B1509:B5064,""en"",""fr"")"),"responsable")</f>
        <v>responsable</v>
      </c>
    </row>
    <row r="1510" ht="19.5" customHeight="1">
      <c r="A1510" s="26" t="s">
        <v>4071</v>
      </c>
      <c r="B1510" s="27" t="s">
        <v>4072</v>
      </c>
      <c r="C1510" s="28" t="s">
        <v>178</v>
      </c>
      <c r="D1510" s="29">
        <v>216.0</v>
      </c>
      <c r="E1510" s="28" t="s">
        <v>4073</v>
      </c>
      <c r="F1510" s="7" t="str">
        <f>IFERROR(__xludf.DUMMYFUNCTION("GOOGLETRANSLATE(B1510:B5064,""en"",""fr"")"),"vendeur")</f>
        <v>vendeur</v>
      </c>
    </row>
    <row r="1511" ht="19.5" customHeight="1">
      <c r="A1511" s="26" t="s">
        <v>4074</v>
      </c>
      <c r="B1511" s="27" t="s">
        <v>4075</v>
      </c>
      <c r="C1511" s="28" t="s">
        <v>134</v>
      </c>
      <c r="D1511" s="29">
        <v>216.0</v>
      </c>
      <c r="E1511" s="28" t="s">
        <v>4076</v>
      </c>
      <c r="F1511" s="7" t="str">
        <f>IFERROR(__xludf.DUMMYFUNCTION("GOOGLETRANSLATE(B1511:B5064,""en"",""fr"")"),"lent")</f>
        <v>lent</v>
      </c>
    </row>
    <row r="1512" ht="19.5" customHeight="1">
      <c r="A1512" s="26" t="s">
        <v>4077</v>
      </c>
      <c r="B1512" s="27" t="s">
        <v>3453</v>
      </c>
      <c r="C1512" s="28" t="s">
        <v>178</v>
      </c>
      <c r="D1512" s="29">
        <v>216.0</v>
      </c>
      <c r="E1512" s="28" t="s">
        <v>4078</v>
      </c>
      <c r="F1512" s="7" t="str">
        <f>IFERROR(__xludf.DUMMYFUNCTION("GOOGLETRANSLATE(B1512:B5064,""en"",""fr"")"),"sourire")</f>
        <v>sourire</v>
      </c>
    </row>
    <row r="1513" ht="19.5" customHeight="1">
      <c r="A1513" s="26" t="s">
        <v>4079</v>
      </c>
      <c r="B1513" s="27" t="s">
        <v>4080</v>
      </c>
      <c r="C1513" s="28" t="s">
        <v>178</v>
      </c>
      <c r="D1513" s="29">
        <v>216.0</v>
      </c>
      <c r="E1513" s="28" t="s">
        <v>4081</v>
      </c>
      <c r="F1513" s="7" t="str">
        <f>IFERROR(__xludf.DUMMYFUNCTION("GOOGLETRANSLATE(B1513:B5064,""en"",""fr"")"),"portefeuille")</f>
        <v>portefeuille</v>
      </c>
    </row>
    <row r="1514" ht="19.5" customHeight="1">
      <c r="A1514" s="26" t="s">
        <v>4082</v>
      </c>
      <c r="B1514" s="27" t="s">
        <v>4083</v>
      </c>
      <c r="C1514" s="28" t="s">
        <v>32</v>
      </c>
      <c r="D1514" s="29">
        <v>215.0</v>
      </c>
      <c r="E1514" s="28" t="s">
        <v>4084</v>
      </c>
      <c r="F1514" s="7" t="str">
        <f>IFERROR(__xludf.DUMMYFUNCTION("GOOGLETRANSLATE(B1514:B5064,""en"",""fr"")"),"commettre")</f>
        <v>commettre</v>
      </c>
    </row>
    <row r="1515" ht="19.5" customHeight="1">
      <c r="A1515" s="26" t="s">
        <v>4085</v>
      </c>
      <c r="B1515" s="27" t="s">
        <v>4086</v>
      </c>
      <c r="C1515" s="28" t="s">
        <v>178</v>
      </c>
      <c r="D1515" s="29">
        <v>215.0</v>
      </c>
      <c r="E1515" s="28" t="s">
        <v>4087</v>
      </c>
      <c r="F1515" s="7" t="str">
        <f>IFERROR(__xludf.DUMMYFUNCTION("GOOGLETRANSLATE(B1515:B5064,""en"",""fr"")"),"exemple")</f>
        <v>exemple</v>
      </c>
    </row>
    <row r="1516" ht="19.5" customHeight="1">
      <c r="A1516" s="26" t="s">
        <v>4088</v>
      </c>
      <c r="B1516" s="27" t="s">
        <v>2519</v>
      </c>
      <c r="C1516" s="28" t="s">
        <v>32</v>
      </c>
      <c r="D1516" s="29">
        <v>215.0</v>
      </c>
      <c r="E1516" s="28" t="s">
        <v>4089</v>
      </c>
      <c r="F1516" s="7" t="str">
        <f>IFERROR(__xludf.DUMMYFUNCTION("GOOGLETRANSLATE(B1516:B5064,""en"",""fr"")"),"faux")</f>
        <v>faux</v>
      </c>
    </row>
    <row r="1517" ht="19.5" customHeight="1">
      <c r="A1517" s="26" t="s">
        <v>4090</v>
      </c>
      <c r="B1517" s="27" t="s">
        <v>4091</v>
      </c>
      <c r="C1517" s="28" t="s">
        <v>134</v>
      </c>
      <c r="D1517" s="29">
        <v>215.0</v>
      </c>
      <c r="E1517" s="28" t="s">
        <v>4091</v>
      </c>
      <c r="F1517" s="7" t="str">
        <f>IFERROR(__xludf.DUMMYFUNCTION("GOOGLETRANSLATE(B1517:B5064,""en"",""fr"")"),"évident")</f>
        <v>évident</v>
      </c>
    </row>
    <row r="1518" ht="19.5" customHeight="1">
      <c r="A1518" s="26" t="s">
        <v>4092</v>
      </c>
      <c r="B1518" s="27" t="s">
        <v>4093</v>
      </c>
      <c r="C1518" s="28" t="s">
        <v>178</v>
      </c>
      <c r="D1518" s="29">
        <v>215.0</v>
      </c>
      <c r="E1518" s="28" t="s">
        <v>4094</v>
      </c>
      <c r="F1518" s="7" t="str">
        <f>IFERROR(__xludf.DUMMYFUNCTION("GOOGLETRANSLATE(B1518:B5064,""en"",""fr"")"),"pirate")</f>
        <v>pirate</v>
      </c>
    </row>
    <row r="1519" ht="19.5" customHeight="1">
      <c r="A1519" s="26" t="s">
        <v>4095</v>
      </c>
      <c r="B1519" s="27" t="s">
        <v>4096</v>
      </c>
      <c r="C1519" s="28" t="s">
        <v>178</v>
      </c>
      <c r="D1519" s="29">
        <v>215.0</v>
      </c>
      <c r="E1519" s="28" t="s">
        <v>4097</v>
      </c>
      <c r="F1519" s="7" t="str">
        <f>IFERROR(__xludf.DUMMYFUNCTION("GOOGLETRANSLATE(B1519:B5064,""en"",""fr"")"),"radio")</f>
        <v>radio</v>
      </c>
    </row>
    <row r="1520" ht="19.5" customHeight="1">
      <c r="A1520" s="26" t="s">
        <v>4098</v>
      </c>
      <c r="B1520" s="27" t="s">
        <v>4099</v>
      </c>
      <c r="C1520" s="28" t="s">
        <v>32</v>
      </c>
      <c r="D1520" s="29">
        <v>214.0</v>
      </c>
      <c r="E1520" s="28" t="s">
        <v>4100</v>
      </c>
      <c r="F1520" s="7" t="str">
        <f>IFERROR(__xludf.DUMMYFUNCTION("GOOGLETRANSLATE(B1520:B5064,""en"",""fr"")"),"chasse")</f>
        <v>chasse</v>
      </c>
    </row>
    <row r="1521" ht="19.5" customHeight="1">
      <c r="A1521" s="26" t="s">
        <v>4101</v>
      </c>
      <c r="B1521" s="27" t="s">
        <v>4102</v>
      </c>
      <c r="C1521" s="28" t="s">
        <v>134</v>
      </c>
      <c r="D1521" s="29">
        <v>214.0</v>
      </c>
      <c r="E1521" s="28" t="s">
        <v>4102</v>
      </c>
      <c r="F1521" s="7" t="str">
        <f>IFERROR(__xludf.DUMMYFUNCTION("GOOGLETRANSLATE(B1521:B5064,""en"",""fr"")"),"exigible")</f>
        <v>exigible</v>
      </c>
    </row>
    <row r="1522" ht="19.5" customHeight="1">
      <c r="A1522" s="26" t="s">
        <v>4103</v>
      </c>
      <c r="B1522" s="27" t="s">
        <v>4104</v>
      </c>
      <c r="C1522" s="28" t="s">
        <v>134</v>
      </c>
      <c r="D1522" s="29">
        <v>214.0</v>
      </c>
      <c r="E1522" s="28" t="s">
        <v>4104</v>
      </c>
      <c r="F1522" s="7" t="str">
        <f>IFERROR(__xludf.DUMMYFUNCTION("GOOGLETRANSLATE(B1522:B5064,""en"",""fr"")"),"familier")</f>
        <v>familier</v>
      </c>
    </row>
    <row r="1523" ht="19.5" customHeight="1">
      <c r="A1523" s="26" t="s">
        <v>4105</v>
      </c>
      <c r="B1523" s="27" t="s">
        <v>4106</v>
      </c>
      <c r="C1523" s="28" t="s">
        <v>178</v>
      </c>
      <c r="D1523" s="29">
        <v>214.0</v>
      </c>
      <c r="E1523" s="28" t="s">
        <v>4106</v>
      </c>
      <c r="F1523" s="7" t="str">
        <f>IFERROR(__xludf.DUMMYFUNCTION("GOOGLETRANSLATE(B1523:B5064,""en"",""fr"")"),"devoirs")</f>
        <v>devoirs</v>
      </c>
    </row>
    <row r="1524" ht="19.5" customHeight="1">
      <c r="A1524" s="26" t="s">
        <v>4107</v>
      </c>
      <c r="B1524" s="27" t="s">
        <v>4108</v>
      </c>
      <c r="C1524" s="28" t="s">
        <v>178</v>
      </c>
      <c r="D1524" s="29">
        <v>213.0</v>
      </c>
      <c r="E1524" s="28" t="s">
        <v>4109</v>
      </c>
      <c r="F1524" s="7" t="str">
        <f>IFERROR(__xludf.DUMMYFUNCTION("GOOGLETRANSLATE(B1524:B5064,""en"",""fr"")"),"naissance")</f>
        <v>naissance</v>
      </c>
    </row>
    <row r="1525" ht="19.5" customHeight="1">
      <c r="A1525" s="26" t="s">
        <v>4110</v>
      </c>
      <c r="B1525" s="27" t="s">
        <v>4111</v>
      </c>
      <c r="C1525" s="28" t="s">
        <v>728</v>
      </c>
      <c r="D1525" s="29">
        <v>213.0</v>
      </c>
      <c r="E1525" s="28" t="s">
        <v>4111</v>
      </c>
      <c r="F1525" s="7" t="str">
        <f>IFERROR(__xludf.DUMMYFUNCTION("GOOGLETRANSLATE(B1525:B5064,""en"",""fr"")"),"canadien")</f>
        <v>canadien</v>
      </c>
    </row>
    <row r="1526" ht="19.5" customHeight="1">
      <c r="A1526" s="26" t="s">
        <v>4112</v>
      </c>
      <c r="B1526" s="27" t="s">
        <v>1893</v>
      </c>
      <c r="C1526" s="28" t="s">
        <v>178</v>
      </c>
      <c r="D1526" s="29">
        <v>213.0</v>
      </c>
      <c r="E1526" s="28" t="s">
        <v>4113</v>
      </c>
      <c r="F1526" s="7" t="str">
        <f>IFERROR(__xludf.DUMMYFUNCTION("GOOGLETRANSLATE(B1526:B5064,""en"",""fr"")"),"préféré")</f>
        <v>préféré</v>
      </c>
    </row>
    <row r="1527" ht="19.5" customHeight="1">
      <c r="A1527" s="26" t="s">
        <v>4114</v>
      </c>
      <c r="B1527" s="27" t="s">
        <v>4115</v>
      </c>
      <c r="C1527" s="28" t="s">
        <v>32</v>
      </c>
      <c r="D1527" s="29">
        <v>213.0</v>
      </c>
      <c r="E1527" s="28" t="s">
        <v>4116</v>
      </c>
      <c r="F1527" s="7" t="str">
        <f>IFERROR(__xludf.DUMMYFUNCTION("GOOGLETRANSLATE(B1527:B5064,""en"",""fr"")"),"préférer")</f>
        <v>préférer</v>
      </c>
    </row>
    <row r="1528" ht="19.5" customHeight="1">
      <c r="A1528" s="26" t="s">
        <v>4117</v>
      </c>
      <c r="B1528" s="27" t="s">
        <v>4118</v>
      </c>
      <c r="C1528" s="28" t="s">
        <v>32</v>
      </c>
      <c r="D1528" s="29">
        <v>213.0</v>
      </c>
      <c r="E1528" s="28" t="s">
        <v>4119</v>
      </c>
      <c r="F1528" s="7" t="str">
        <f>IFERROR(__xludf.DUMMYFUNCTION("GOOGLETRANSLATE(B1528:B5064,""en"",""fr"")"),"frotter")</f>
        <v>frotter</v>
      </c>
    </row>
    <row r="1529" ht="19.5" customHeight="1">
      <c r="A1529" s="26" t="s">
        <v>4120</v>
      </c>
      <c r="B1529" s="27" t="s">
        <v>4121</v>
      </c>
      <c r="C1529" s="28" t="s">
        <v>178</v>
      </c>
      <c r="D1529" s="29">
        <v>213.0</v>
      </c>
      <c r="E1529" s="28" t="s">
        <v>4122</v>
      </c>
      <c r="F1529" s="7" t="str">
        <f>IFERROR(__xludf.DUMMYFUNCTION("GOOGLETRANSLATE(B1529:B5064,""en"",""fr"")"),"ciel")</f>
        <v>ciel</v>
      </c>
    </row>
    <row r="1530" ht="19.5" customHeight="1">
      <c r="A1530" s="26" t="s">
        <v>4123</v>
      </c>
      <c r="B1530" s="27" t="s">
        <v>4124</v>
      </c>
      <c r="C1530" s="28" t="s">
        <v>100</v>
      </c>
      <c r="D1530" s="29">
        <v>212.0</v>
      </c>
      <c r="E1530" s="28" t="s">
        <v>4124</v>
      </c>
      <c r="F1530" s="7" t="str">
        <f>IFERROR(__xludf.DUMMYFUNCTION("GOOGLETRANSLATE(B1530:B5064,""en"",""fr"")"),"essentiellement")</f>
        <v>essentiellement</v>
      </c>
    </row>
    <row r="1531" ht="19.5" customHeight="1">
      <c r="A1531" s="26" t="s">
        <v>4125</v>
      </c>
      <c r="B1531" s="27" t="s">
        <v>4126</v>
      </c>
      <c r="C1531" s="28" t="s">
        <v>178</v>
      </c>
      <c r="D1531" s="29">
        <v>212.0</v>
      </c>
      <c r="E1531" s="28" t="s">
        <v>4127</v>
      </c>
      <c r="F1531" s="7" t="str">
        <f>IFERROR(__xludf.DUMMYFUNCTION("GOOGLETRANSLATE(B1531:B5064,""en"",""fr"")"),"entraîneur")</f>
        <v>entraîneur</v>
      </c>
    </row>
    <row r="1532" ht="19.5" customHeight="1">
      <c r="A1532" s="26" t="s">
        <v>4128</v>
      </c>
      <c r="B1532" s="27" t="s">
        <v>4129</v>
      </c>
      <c r="C1532" s="28" t="s">
        <v>32</v>
      </c>
      <c r="D1532" s="29">
        <v>212.0</v>
      </c>
      <c r="E1532" s="28" t="s">
        <v>4130</v>
      </c>
      <c r="F1532" s="7" t="str">
        <f>IFERROR(__xludf.DUMMYFUNCTION("GOOGLETRANSLATE(B1532:B5064,""en"",""fr"")"),"livrer")</f>
        <v>livrer</v>
      </c>
    </row>
    <row r="1533" ht="19.5" customHeight="1">
      <c r="A1533" s="26" t="s">
        <v>4131</v>
      </c>
      <c r="B1533" s="27" t="s">
        <v>4132</v>
      </c>
      <c r="C1533" s="28" t="s">
        <v>178</v>
      </c>
      <c r="D1533" s="29">
        <v>212.0</v>
      </c>
      <c r="E1533" s="28" t="s">
        <v>4133</v>
      </c>
      <c r="F1533" s="7" t="str">
        <f>IFERROR(__xludf.DUMMYFUNCTION("GOOGLETRANSLATE(B1533:B5064,""en"",""fr"")"),"laboratoire")</f>
        <v>laboratoire</v>
      </c>
    </row>
    <row r="1534" ht="19.5" customHeight="1">
      <c r="A1534" s="26" t="s">
        <v>4134</v>
      </c>
      <c r="B1534" s="27" t="s">
        <v>4135</v>
      </c>
      <c r="C1534" s="28" t="s">
        <v>178</v>
      </c>
      <c r="D1534" s="29">
        <v>211.0</v>
      </c>
      <c r="E1534" s="28" t="s">
        <v>4136</v>
      </c>
      <c r="F1534" s="7" t="str">
        <f>IFERROR(__xludf.DUMMYFUNCTION("GOOGLETRANSLATE(B1534:B5064,""en"",""fr"")"),"adresse")</f>
        <v>adresse</v>
      </c>
    </row>
    <row r="1535" ht="19.5" customHeight="1">
      <c r="A1535" s="26" t="s">
        <v>4137</v>
      </c>
      <c r="B1535" s="27" t="s">
        <v>4138</v>
      </c>
      <c r="C1535" s="28" t="s">
        <v>32</v>
      </c>
      <c r="D1535" s="29">
        <v>211.0</v>
      </c>
      <c r="E1535" s="28" t="s">
        <v>4139</v>
      </c>
      <c r="F1535" s="7" t="str">
        <f>IFERROR(__xludf.DUMMYFUNCTION("GOOGLETRANSLATE(B1535:B5064,""en"",""fr"")"),"ascenseur")</f>
        <v>ascenseur</v>
      </c>
    </row>
    <row r="1536" ht="19.5" customHeight="1">
      <c r="A1536" s="26" t="s">
        <v>4140</v>
      </c>
      <c r="B1536" s="27" t="s">
        <v>4141</v>
      </c>
      <c r="C1536" s="28" t="s">
        <v>32</v>
      </c>
      <c r="D1536" s="29">
        <v>210.0</v>
      </c>
      <c r="E1536" s="28" t="s">
        <v>4142</v>
      </c>
      <c r="F1536" s="7" t="str">
        <f>IFERROR(__xludf.DUMMYFUNCTION("GOOGLETRANSLATE(B1536:B5064,""en"",""fr"")"),"préoccupation")</f>
        <v>préoccupation</v>
      </c>
    </row>
    <row r="1537" ht="19.5" customHeight="1">
      <c r="A1537" s="26" t="s">
        <v>4143</v>
      </c>
      <c r="B1537" s="27" t="s">
        <v>4144</v>
      </c>
      <c r="C1537" s="28" t="s">
        <v>150</v>
      </c>
      <c r="D1537" s="29">
        <v>210.0</v>
      </c>
      <c r="E1537" s="28" t="s">
        <v>4145</v>
      </c>
      <c r="F1537" s="7" t="str">
        <f>IFERROR(__xludf.DUMMYFUNCTION("GOOGLETRANSLATE(B1537:B5064,""en"",""fr"")"),"onze")</f>
        <v>onze</v>
      </c>
    </row>
    <row r="1538" ht="19.5" customHeight="1">
      <c r="A1538" s="26" t="s">
        <v>4146</v>
      </c>
      <c r="B1538" s="27" t="s">
        <v>4147</v>
      </c>
      <c r="C1538" s="28" t="s">
        <v>178</v>
      </c>
      <c r="D1538" s="29">
        <v>210.0</v>
      </c>
      <c r="E1538" s="28" t="s">
        <v>4148</v>
      </c>
      <c r="F1538" s="7" t="str">
        <f>IFERROR(__xludf.DUMMYFUNCTION("GOOGLETRANSLATE(B1538:B5064,""en"",""fr"")"),"rond")</f>
        <v>rond</v>
      </c>
    </row>
    <row r="1539" ht="19.5" customHeight="1">
      <c r="A1539" s="26" t="s">
        <v>4149</v>
      </c>
      <c r="B1539" s="27" t="s">
        <v>1085</v>
      </c>
      <c r="C1539" s="28" t="s">
        <v>178</v>
      </c>
      <c r="D1539" s="29">
        <v>210.0</v>
      </c>
      <c r="E1539" s="28" t="s">
        <v>4150</v>
      </c>
      <c r="F1539" s="7" t="str">
        <f>IFERROR(__xludf.DUMMYFUNCTION("GOOGLETRANSLATE(B1539:B5064,""en"",""fr"")"),"souhait")</f>
        <v>souhait</v>
      </c>
    </row>
    <row r="1540" ht="19.5" customHeight="1">
      <c r="A1540" s="26" t="s">
        <v>4151</v>
      </c>
      <c r="B1540" s="27" t="s">
        <v>4152</v>
      </c>
      <c r="C1540" s="28" t="s">
        <v>178</v>
      </c>
      <c r="D1540" s="29">
        <v>209.0</v>
      </c>
      <c r="E1540" s="28" t="s">
        <v>4153</v>
      </c>
      <c r="F1540" s="7" t="str">
        <f>IFERROR(__xludf.DUMMYFUNCTION("GOOGLETRANSLATE(B1540:B5064,""en"",""fr"")"),"garde")</f>
        <v>garde</v>
      </c>
    </row>
    <row r="1541" ht="19.5" customHeight="1">
      <c r="A1541" s="26" t="s">
        <v>4154</v>
      </c>
      <c r="B1541" s="27" t="s">
        <v>4155</v>
      </c>
      <c r="C1541" s="28" t="s">
        <v>178</v>
      </c>
      <c r="D1541" s="29">
        <v>208.0</v>
      </c>
      <c r="E1541" s="28" t="s">
        <v>4156</v>
      </c>
      <c r="F1541" s="7" t="str">
        <f>IFERROR(__xludf.DUMMYFUNCTION("GOOGLETRANSLATE(B1541:B5064,""en"",""fr"")"),"contact")</f>
        <v>contact</v>
      </c>
    </row>
    <row r="1542" ht="19.5" customHeight="1">
      <c r="A1542" s="26" t="s">
        <v>4157</v>
      </c>
      <c r="B1542" s="27" t="s">
        <v>287</v>
      </c>
      <c r="C1542" s="28" t="s">
        <v>134</v>
      </c>
      <c r="D1542" s="29">
        <v>208.0</v>
      </c>
      <c r="E1542" s="28" t="s">
        <v>287</v>
      </c>
      <c r="F1542" s="7" t="str">
        <f>IFERROR(__xludf.DUMMYFUNCTION("GOOGLETRANSLATE(B1542:B5064,""en"",""fr"")"),"sur")</f>
        <v>sur</v>
      </c>
    </row>
    <row r="1543" ht="19.5" customHeight="1">
      <c r="A1543" s="26" t="s">
        <v>4158</v>
      </c>
      <c r="B1543" s="27" t="s">
        <v>4159</v>
      </c>
      <c r="C1543" s="28" t="s">
        <v>178</v>
      </c>
      <c r="D1543" s="29">
        <v>208.0</v>
      </c>
      <c r="E1543" s="28" t="s">
        <v>4160</v>
      </c>
      <c r="F1543" s="7" t="str">
        <f>IFERROR(__xludf.DUMMYFUNCTION("GOOGLETRANSLATE(B1543:B5064,""en"",""fr"")"),"emballer")</f>
        <v>emballer</v>
      </c>
    </row>
    <row r="1544" ht="19.5" customHeight="1">
      <c r="A1544" s="26" t="s">
        <v>4161</v>
      </c>
      <c r="B1544" s="27" t="s">
        <v>4162</v>
      </c>
      <c r="C1544" s="28" t="s">
        <v>32</v>
      </c>
      <c r="D1544" s="29">
        <v>208.0</v>
      </c>
      <c r="E1544" s="28" t="s">
        <v>4163</v>
      </c>
      <c r="F1544" s="7" t="str">
        <f>IFERROR(__xludf.DUMMYFUNCTION("GOOGLETRANSLATE(B1544:B5064,""en"",""fr"")"),"voyage")</f>
        <v>voyage</v>
      </c>
    </row>
    <row r="1545" ht="19.5" customHeight="1">
      <c r="A1545" s="26" t="s">
        <v>4164</v>
      </c>
      <c r="B1545" s="27" t="s">
        <v>4165</v>
      </c>
      <c r="C1545" s="28" t="s">
        <v>150</v>
      </c>
      <c r="D1545" s="29">
        <v>208.0</v>
      </c>
      <c r="E1545" s="28" t="s">
        <v>4166</v>
      </c>
      <c r="F1545" s="7" t="str">
        <f>IFERROR(__xludf.DUMMYFUNCTION("GOOGLETRANSLATE(B1545:B5064,""en"",""fr"")"),"soixante")</f>
        <v>soixante</v>
      </c>
    </row>
    <row r="1546" ht="19.5" customHeight="1">
      <c r="A1546" s="26" t="s">
        <v>4167</v>
      </c>
      <c r="B1546" s="27" t="s">
        <v>4168</v>
      </c>
      <c r="C1546" s="28" t="s">
        <v>178</v>
      </c>
      <c r="D1546" s="29">
        <v>207.0</v>
      </c>
      <c r="E1546" s="28" t="s">
        <v>4169</v>
      </c>
      <c r="F1546" s="7" t="str">
        <f>IFERROR(__xludf.DUMMYFUNCTION("GOOGLETRANSLATE(B1546:B5064,""en"",""fr"")"),"anniversaire")</f>
        <v>anniversaire</v>
      </c>
    </row>
    <row r="1547" ht="19.5" customHeight="1">
      <c r="A1547" s="26" t="s">
        <v>4170</v>
      </c>
      <c r="B1547" s="27" t="s">
        <v>4171</v>
      </c>
      <c r="C1547" s="28" t="s">
        <v>178</v>
      </c>
      <c r="D1547" s="29">
        <v>207.0</v>
      </c>
      <c r="E1547" s="28" t="s">
        <v>4172</v>
      </c>
      <c r="F1547" s="7" t="str">
        <f>IFERROR(__xludf.DUMMYFUNCTION("GOOGLETRANSLATE(B1547:B5064,""en"",""fr"")"),"cent")</f>
        <v>cent</v>
      </c>
    </row>
    <row r="1548" ht="19.5" customHeight="1">
      <c r="A1548" s="26" t="s">
        <v>4173</v>
      </c>
      <c r="B1548" s="27" t="s">
        <v>4174</v>
      </c>
      <c r="C1548" s="28" t="s">
        <v>32</v>
      </c>
      <c r="D1548" s="29">
        <v>207.0</v>
      </c>
      <c r="E1548" s="28" t="s">
        <v>4175</v>
      </c>
      <c r="F1548" s="7" t="str">
        <f>IFERROR(__xludf.DUMMYFUNCTION("GOOGLETRANSLATE(B1548:B5064,""en"",""fr"")"),"forcer")</f>
        <v>forcer</v>
      </c>
    </row>
    <row r="1549" ht="19.5" customHeight="1">
      <c r="A1549" s="26" t="s">
        <v>4176</v>
      </c>
      <c r="B1549" s="27" t="s">
        <v>1513</v>
      </c>
      <c r="C1549" s="28" t="s">
        <v>32</v>
      </c>
      <c r="D1549" s="29">
        <v>207.0</v>
      </c>
      <c r="E1549" s="28" t="s">
        <v>4177</v>
      </c>
      <c r="F1549" s="7" t="str">
        <f>IFERROR(__xludf.DUMMYFUNCTION("GOOGLETRANSLATE(B1549:B5064,""en"",""fr"")"),"repos")</f>
        <v>repos</v>
      </c>
    </row>
    <row r="1550" ht="19.5" customHeight="1">
      <c r="A1550" s="26" t="s">
        <v>4178</v>
      </c>
      <c r="B1550" s="27" t="s">
        <v>4179</v>
      </c>
      <c r="C1550" s="28" t="s">
        <v>32</v>
      </c>
      <c r="D1550" s="29">
        <v>207.0</v>
      </c>
      <c r="E1550" s="28" t="s">
        <v>4180</v>
      </c>
      <c r="F1550" s="7" t="str">
        <f>IFERROR(__xludf.DUMMYFUNCTION("GOOGLETRANSLATE(B1550:B5064,""en"",""fr"")"),"propagé")</f>
        <v>propagé</v>
      </c>
    </row>
    <row r="1551" ht="19.5" customHeight="1">
      <c r="A1551" s="26" t="s">
        <v>4181</v>
      </c>
      <c r="B1551" s="27" t="s">
        <v>4182</v>
      </c>
      <c r="C1551" s="28" t="s">
        <v>134</v>
      </c>
      <c r="D1551" s="29">
        <v>206.0</v>
      </c>
      <c r="E1551" s="28" t="s">
        <v>4182</v>
      </c>
      <c r="F1551" s="7" t="str">
        <f>IFERROR(__xludf.DUMMYFUNCTION("GOOGLETRANSLATE(B1551:B5064,""en"",""fr"")"),"adorable")</f>
        <v>adorable</v>
      </c>
    </row>
    <row r="1552" ht="19.5" customHeight="1">
      <c r="A1552" s="26" t="s">
        <v>4183</v>
      </c>
      <c r="B1552" s="27" t="s">
        <v>4184</v>
      </c>
      <c r="C1552" s="28" t="s">
        <v>178</v>
      </c>
      <c r="D1552" s="29">
        <v>206.0</v>
      </c>
      <c r="E1552" s="28" t="s">
        <v>4185</v>
      </c>
      <c r="F1552" s="7" t="str">
        <f>IFERROR(__xludf.DUMMYFUNCTION("GOOGLETRANSLATE(B1552:B5064,""en"",""fr"")"),"océan")</f>
        <v>océan</v>
      </c>
    </row>
    <row r="1553" ht="19.5" customHeight="1">
      <c r="A1553" s="26" t="s">
        <v>4186</v>
      </c>
      <c r="B1553" s="27" t="s">
        <v>4187</v>
      </c>
      <c r="C1553" s="28" t="s">
        <v>178</v>
      </c>
      <c r="D1553" s="29">
        <v>206.0</v>
      </c>
      <c r="E1553" s="28" t="s">
        <v>4188</v>
      </c>
      <c r="F1553" s="7" t="str">
        <f>IFERROR(__xludf.DUMMYFUNCTION("GOOGLETRANSLATE(B1553:B5064,""en"",""fr"")"),"pour cent")</f>
        <v>pour cent</v>
      </c>
    </row>
    <row r="1554" ht="19.5" customHeight="1">
      <c r="A1554" s="26" t="s">
        <v>4189</v>
      </c>
      <c r="B1554" s="27" t="s">
        <v>2045</v>
      </c>
      <c r="C1554" s="28" t="s">
        <v>85</v>
      </c>
      <c r="D1554" s="29">
        <v>206.0</v>
      </c>
      <c r="E1554" s="28" t="s">
        <v>2045</v>
      </c>
      <c r="F1554" s="7" t="str">
        <f>IFERROR(__xludf.DUMMYFUNCTION("GOOGLETRANSLATE(B1554:B5064,""en"",""fr"")"),"merde")</f>
        <v>merde</v>
      </c>
    </row>
    <row r="1555" ht="19.5" customHeight="1">
      <c r="A1555" s="26" t="s">
        <v>4190</v>
      </c>
      <c r="B1555" s="27" t="s">
        <v>4191</v>
      </c>
      <c r="C1555" s="28" t="s">
        <v>178</v>
      </c>
      <c r="D1555" s="29">
        <v>206.0</v>
      </c>
      <c r="E1555" s="28" t="s">
        <v>4192</v>
      </c>
      <c r="F1555" s="7" t="str">
        <f>IFERROR(__xludf.DUMMYFUNCTION("GOOGLETRANSLATE(B1555:B5064,""en"",""fr"")"),"aile")</f>
        <v>aile</v>
      </c>
    </row>
    <row r="1556" ht="19.5" customHeight="1">
      <c r="A1556" s="26" t="s">
        <v>4193</v>
      </c>
      <c r="B1556" s="27" t="s">
        <v>4194</v>
      </c>
      <c r="C1556" s="28" t="s">
        <v>36</v>
      </c>
      <c r="D1556" s="29">
        <v>205.0</v>
      </c>
      <c r="E1556" s="28" t="s">
        <v>4194</v>
      </c>
      <c r="F1556" s="7" t="str">
        <f>IFERROR(__xludf.DUMMYFUNCTION("GOOGLETRANSLATE(B1556:B5064,""en"",""fr"")"),"au-dessus de")</f>
        <v>au-dessus de</v>
      </c>
    </row>
    <row r="1557" ht="19.5" customHeight="1">
      <c r="A1557" s="26" t="s">
        <v>4195</v>
      </c>
      <c r="B1557" s="27" t="s">
        <v>4196</v>
      </c>
      <c r="C1557" s="28" t="s">
        <v>178</v>
      </c>
      <c r="D1557" s="29">
        <v>205.0</v>
      </c>
      <c r="E1557" s="28" t="s">
        <v>4197</v>
      </c>
      <c r="F1557" s="7" t="str">
        <f>IFERROR(__xludf.DUMMYFUNCTION("GOOGLETRANSLATE(B1557:B5064,""en"",""fr"")"),"alcool")</f>
        <v>alcool</v>
      </c>
    </row>
    <row r="1558" ht="19.5" customHeight="1">
      <c r="A1558" s="26" t="s">
        <v>4198</v>
      </c>
      <c r="B1558" s="27" t="s">
        <v>4199</v>
      </c>
      <c r="C1558" s="28" t="s">
        <v>32</v>
      </c>
      <c r="D1558" s="29">
        <v>205.0</v>
      </c>
      <c r="E1558" s="28" t="s">
        <v>4200</v>
      </c>
      <c r="F1558" s="7" t="str">
        <f>IFERROR(__xludf.DUMMYFUNCTION("GOOGLETRANSLATE(B1558:B5064,""en"",""fr"")"),"accident")</f>
        <v>accident</v>
      </c>
    </row>
    <row r="1559" ht="19.5" customHeight="1">
      <c r="A1559" s="26" t="s">
        <v>4201</v>
      </c>
      <c r="B1559" s="27" t="s">
        <v>4202</v>
      </c>
      <c r="C1559" s="28" t="s">
        <v>178</v>
      </c>
      <c r="D1559" s="29">
        <v>205.0</v>
      </c>
      <c r="E1559" s="28" t="s">
        <v>4203</v>
      </c>
      <c r="F1559" s="7" t="str">
        <f>IFERROR(__xludf.DUMMYFUNCTION("GOOGLETRANSLATE(B1559:B5064,""en"",""fr"")"),"assurance")</f>
        <v>assurance</v>
      </c>
    </row>
    <row r="1560" ht="19.5" customHeight="1">
      <c r="A1560" s="26" t="s">
        <v>4204</v>
      </c>
      <c r="B1560" s="27" t="s">
        <v>4205</v>
      </c>
      <c r="C1560" s="28" t="s">
        <v>134</v>
      </c>
      <c r="D1560" s="29">
        <v>205.0</v>
      </c>
      <c r="E1560" s="28" t="s">
        <v>4205</v>
      </c>
      <c r="F1560" s="7" t="str">
        <f>IFERROR(__xludf.DUMMYFUNCTION("GOOGLETRANSLATE(B1560:B5064,""en"",""fr"")"),"nucléaire")</f>
        <v>nucléaire</v>
      </c>
    </row>
    <row r="1561" ht="19.5" customHeight="1">
      <c r="A1561" s="26" t="s">
        <v>4206</v>
      </c>
      <c r="B1561" s="27" t="s">
        <v>4207</v>
      </c>
      <c r="C1561" s="28" t="s">
        <v>134</v>
      </c>
      <c r="D1561" s="29">
        <v>205.0</v>
      </c>
      <c r="E1561" s="28" t="s">
        <v>4207</v>
      </c>
      <c r="F1561" s="7" t="str">
        <f>IFERROR(__xludf.DUMMYFUNCTION("GOOGLETRANSLATE(B1561:B5064,""en"",""fr"")"),"pathétique")</f>
        <v>pathétique</v>
      </c>
    </row>
    <row r="1562" ht="19.5" customHeight="1">
      <c r="A1562" s="26" t="s">
        <v>4208</v>
      </c>
      <c r="B1562" s="27" t="s">
        <v>4209</v>
      </c>
      <c r="C1562" s="28" t="s">
        <v>178</v>
      </c>
      <c r="D1562" s="29">
        <v>205.0</v>
      </c>
      <c r="E1562" s="28" t="s">
        <v>4210</v>
      </c>
      <c r="F1562" s="7" t="str">
        <f>IFERROR(__xludf.DUMMYFUNCTION("GOOGLETRANSLATE(B1562:B5064,""en"",""fr"")"),"rangée")</f>
        <v>rangée</v>
      </c>
    </row>
    <row r="1563" ht="19.5" customHeight="1">
      <c r="A1563" s="26" t="s">
        <v>4211</v>
      </c>
      <c r="B1563" s="27" t="s">
        <v>4212</v>
      </c>
      <c r="C1563" s="28" t="s">
        <v>178</v>
      </c>
      <c r="D1563" s="29">
        <v>205.0</v>
      </c>
      <c r="E1563" s="28" t="s">
        <v>4213</v>
      </c>
      <c r="F1563" s="7" t="str">
        <f>IFERROR(__xludf.DUMMYFUNCTION("GOOGLETRANSLATE(B1563:B5064,""en"",""fr"")"),"vue")</f>
        <v>vue</v>
      </c>
    </row>
    <row r="1564" ht="19.5" customHeight="1">
      <c r="A1564" s="26" t="s">
        <v>4214</v>
      </c>
      <c r="B1564" s="27" t="s">
        <v>4215</v>
      </c>
      <c r="C1564" s="28" t="s">
        <v>178</v>
      </c>
      <c r="D1564" s="29">
        <v>205.0</v>
      </c>
      <c r="E1564" s="28" t="s">
        <v>4216</v>
      </c>
      <c r="F1564" s="7" t="str">
        <f>IFERROR(__xludf.DUMMYFUNCTION("GOOGLETRANSLATE(B1564:B5064,""en"",""fr"")"),"poubelle")</f>
        <v>poubelle</v>
      </c>
    </row>
    <row r="1565" ht="19.5" customHeight="1">
      <c r="A1565" s="26" t="s">
        <v>4217</v>
      </c>
      <c r="B1565" s="27" t="s">
        <v>4218</v>
      </c>
      <c r="C1565" s="28" t="s">
        <v>134</v>
      </c>
      <c r="D1565" s="29">
        <v>204.0</v>
      </c>
      <c r="E1565" s="28" t="s">
        <v>4218</v>
      </c>
      <c r="F1565" s="7" t="str">
        <f>IFERROR(__xludf.DUMMYFUNCTION("GOOGLETRANSLATE(B1565:B5064,""en"",""fr"")"),"disponible")</f>
        <v>disponible</v>
      </c>
    </row>
    <row r="1566" ht="19.5" customHeight="1">
      <c r="A1566" s="26" t="s">
        <v>4219</v>
      </c>
      <c r="B1566" s="27" t="s">
        <v>4220</v>
      </c>
      <c r="C1566" s="28" t="s">
        <v>134</v>
      </c>
      <c r="D1566" s="29">
        <v>204.0</v>
      </c>
      <c r="E1566" s="28" t="s">
        <v>4221</v>
      </c>
      <c r="F1566" s="7" t="str">
        <f>IFERROR(__xludf.DUMMYFUNCTION("GOOGLETRANSLATE(B1566:B5064,""en"",""fr"")"),"courageux")</f>
        <v>courageux</v>
      </c>
    </row>
    <row r="1567" ht="19.5" customHeight="1">
      <c r="A1567" s="26" t="s">
        <v>4222</v>
      </c>
      <c r="B1567" s="27" t="s">
        <v>4223</v>
      </c>
      <c r="C1567" s="28" t="s">
        <v>32</v>
      </c>
      <c r="D1567" s="29">
        <v>204.0</v>
      </c>
      <c r="E1567" s="28" t="s">
        <v>4224</v>
      </c>
      <c r="F1567" s="7" t="str">
        <f>IFERROR(__xludf.DUMMYFUNCTION("GOOGLETRANSLATE(B1567:B5064,""en"",""fr"")"),"grimper")</f>
        <v>grimper</v>
      </c>
    </row>
    <row r="1568" ht="19.5" customHeight="1">
      <c r="A1568" s="26" t="s">
        <v>4225</v>
      </c>
      <c r="B1568" s="27" t="s">
        <v>4226</v>
      </c>
      <c r="C1568" s="28" t="s">
        <v>32</v>
      </c>
      <c r="D1568" s="29">
        <v>204.0</v>
      </c>
      <c r="E1568" s="28" t="s">
        <v>4227</v>
      </c>
      <c r="F1568" s="7" t="str">
        <f>IFERROR(__xludf.DUMMYFUNCTION("GOOGLETRANSLATE(B1568:B5064,""en"",""fr"")"),"gagner")</f>
        <v>gagner</v>
      </c>
    </row>
    <row r="1569" ht="19.5" customHeight="1">
      <c r="A1569" s="26" t="s">
        <v>4228</v>
      </c>
      <c r="B1569" s="27" t="s">
        <v>4229</v>
      </c>
      <c r="C1569" s="28" t="s">
        <v>178</v>
      </c>
      <c r="D1569" s="29">
        <v>204.0</v>
      </c>
      <c r="E1569" s="28" t="s">
        <v>4230</v>
      </c>
      <c r="F1569" s="7" t="str">
        <f>IFERROR(__xludf.DUMMYFUNCTION("GOOGLETRANSLATE(B1569:B5064,""en"",""fr"")"),"Est")</f>
        <v>Est</v>
      </c>
    </row>
    <row r="1570" ht="19.5" customHeight="1">
      <c r="A1570" s="26" t="s">
        <v>4231</v>
      </c>
      <c r="B1570" s="27" t="s">
        <v>4232</v>
      </c>
      <c r="C1570" s="28" t="s">
        <v>32</v>
      </c>
      <c r="D1570" s="29">
        <v>204.0</v>
      </c>
      <c r="E1570" s="28" t="s">
        <v>4233</v>
      </c>
      <c r="F1570" s="7" t="str">
        <f>IFERROR(__xludf.DUMMYFUNCTION("GOOGLETRANSLATE(B1570:B5064,""en"",""fr"")"),"impressionner")</f>
        <v>impressionner</v>
      </c>
    </row>
    <row r="1571" ht="19.5" customHeight="1">
      <c r="A1571" s="26" t="s">
        <v>4234</v>
      </c>
      <c r="B1571" s="27" t="s">
        <v>4235</v>
      </c>
      <c r="C1571" s="28" t="s">
        <v>178</v>
      </c>
      <c r="D1571" s="29">
        <v>204.0</v>
      </c>
      <c r="E1571" s="28" t="s">
        <v>4236</v>
      </c>
      <c r="F1571" s="7" t="str">
        <f>IFERROR(__xludf.DUMMYFUNCTION("GOOGLETRANSLATE(B1571:B5064,""en"",""fr"")"),"ligue")</f>
        <v>ligue</v>
      </c>
    </row>
    <row r="1572" ht="19.5" customHeight="1">
      <c r="A1572" s="26" t="s">
        <v>4237</v>
      </c>
      <c r="B1572" s="27" t="s">
        <v>4238</v>
      </c>
      <c r="C1572" s="28" t="s">
        <v>134</v>
      </c>
      <c r="D1572" s="29">
        <v>204.0</v>
      </c>
      <c r="E1572" s="28" t="s">
        <v>4238</v>
      </c>
      <c r="F1572" s="7" t="str">
        <f>IFERROR(__xludf.DUMMYFUNCTION("GOOGLETRANSLATE(B1572:B5064,""en"",""fr"")"),"en ligne")</f>
        <v>en ligne</v>
      </c>
    </row>
    <row r="1573" ht="19.5" customHeight="1">
      <c r="A1573" s="26" t="s">
        <v>4239</v>
      </c>
      <c r="B1573" s="27" t="s">
        <v>2827</v>
      </c>
      <c r="C1573" s="28" t="s">
        <v>178</v>
      </c>
      <c r="D1573" s="29">
        <v>204.0</v>
      </c>
      <c r="E1573" s="28" t="s">
        <v>4240</v>
      </c>
      <c r="F1573" s="7" t="str">
        <f>IFERROR(__xludf.DUMMYFUNCTION("GOOGLETRANSLATE(B1573:B5064,""en"",""fr"")"),"déchets")</f>
        <v>déchets</v>
      </c>
    </row>
    <row r="1574" ht="19.5" customHeight="1">
      <c r="A1574" s="26" t="s">
        <v>4241</v>
      </c>
      <c r="B1574" s="27" t="s">
        <v>4242</v>
      </c>
      <c r="C1574" s="28" t="s">
        <v>36</v>
      </c>
      <c r="D1574" s="29">
        <v>204.0</v>
      </c>
      <c r="E1574" s="28" t="s">
        <v>4242</v>
      </c>
      <c r="F1574" s="7" t="str">
        <f>IFERROR(__xludf.DUMMYFUNCTION("GOOGLETRANSLATE(B1574:B5064,""en"",""fr"")"),"dans")</f>
        <v>dans</v>
      </c>
    </row>
    <row r="1575" ht="19.5" customHeight="1">
      <c r="A1575" s="26" t="s">
        <v>4243</v>
      </c>
      <c r="B1575" s="27" t="s">
        <v>4244</v>
      </c>
      <c r="C1575" s="28" t="s">
        <v>178</v>
      </c>
      <c r="D1575" s="29">
        <v>204.0</v>
      </c>
      <c r="E1575" s="28" t="s">
        <v>4245</v>
      </c>
      <c r="F1575" s="7" t="str">
        <f>IFERROR(__xludf.DUMMYFUNCTION("GOOGLETRANSLATE(B1575:B5064,""en"",""fr"")"),"écrivain")</f>
        <v>écrivain</v>
      </c>
    </row>
    <row r="1576" ht="19.5" customHeight="1">
      <c r="A1576" s="26" t="s">
        <v>4246</v>
      </c>
      <c r="B1576" s="27" t="s">
        <v>4247</v>
      </c>
      <c r="C1576" s="28" t="s">
        <v>178</v>
      </c>
      <c r="D1576" s="29">
        <v>203.0</v>
      </c>
      <c r="E1576" s="28" t="s">
        <v>4248</v>
      </c>
      <c r="F1576" s="7" t="str">
        <f>IFERROR(__xludf.DUMMYFUNCTION("GOOGLETRANSLATE(B1576:B5064,""en"",""fr"")"),"foule")</f>
        <v>foule</v>
      </c>
    </row>
    <row r="1577" ht="19.5" customHeight="1">
      <c r="A1577" s="26" t="s">
        <v>4249</v>
      </c>
      <c r="B1577" s="27" t="s">
        <v>4250</v>
      </c>
      <c r="C1577" s="28" t="s">
        <v>32</v>
      </c>
      <c r="D1577" s="29">
        <v>203.0</v>
      </c>
      <c r="E1577" s="28" t="s">
        <v>4251</v>
      </c>
      <c r="F1577" s="7" t="str">
        <f>IFERROR(__xludf.DUMMYFUNCTION("GOOGLETRANSLATE(B1577:B5064,""en"",""fr"")"),"retourner")</f>
        <v>retourner</v>
      </c>
    </row>
    <row r="1578" ht="19.5" customHeight="1">
      <c r="A1578" s="26" t="s">
        <v>4252</v>
      </c>
      <c r="B1578" s="27" t="s">
        <v>4253</v>
      </c>
      <c r="C1578" s="28" t="s">
        <v>178</v>
      </c>
      <c r="D1578" s="29">
        <v>203.0</v>
      </c>
      <c r="E1578" s="28" t="s">
        <v>4254</v>
      </c>
      <c r="F1578" s="7" t="str">
        <f>IFERROR(__xludf.DUMMYFUNCTION("GOOGLETRANSLATE(B1578:B5064,""en"",""fr"")"),"câlin")</f>
        <v>câlin</v>
      </c>
    </row>
    <row r="1579" ht="19.5" customHeight="1">
      <c r="A1579" s="26" t="s">
        <v>4255</v>
      </c>
      <c r="B1579" s="27" t="s">
        <v>4256</v>
      </c>
      <c r="C1579" s="28" t="s">
        <v>32</v>
      </c>
      <c r="D1579" s="29">
        <v>202.0</v>
      </c>
      <c r="E1579" s="28" t="s">
        <v>4257</v>
      </c>
      <c r="F1579" s="7" t="str">
        <f>IFERROR(__xludf.DUMMYFUNCTION("GOOGLETRANSLATE(B1579:B5064,""en"",""fr"")"),"traîner")</f>
        <v>traîner</v>
      </c>
    </row>
    <row r="1580" ht="19.5" customHeight="1">
      <c r="A1580" s="26" t="s">
        <v>4258</v>
      </c>
      <c r="B1580" s="27" t="s">
        <v>4259</v>
      </c>
      <c r="C1580" s="28" t="s">
        <v>178</v>
      </c>
      <c r="D1580" s="29">
        <v>202.0</v>
      </c>
      <c r="E1580" s="28" t="s">
        <v>4260</v>
      </c>
      <c r="F1580" s="7" t="str">
        <f>IFERROR(__xludf.DUMMYFUNCTION("GOOGLETRANSLATE(B1580:B5064,""en"",""fr"")"),"funérailles")</f>
        <v>funérailles</v>
      </c>
    </row>
    <row r="1581" ht="19.5" customHeight="1">
      <c r="A1581" s="26" t="s">
        <v>4261</v>
      </c>
      <c r="B1581" s="27" t="s">
        <v>4262</v>
      </c>
      <c r="C1581" s="28" t="s">
        <v>100</v>
      </c>
      <c r="D1581" s="29">
        <v>202.0</v>
      </c>
      <c r="E1581" s="28" t="s">
        <v>4262</v>
      </c>
      <c r="F1581" s="7" t="str">
        <f>IFERROR(__xludf.DUMMYFUNCTION("GOOGLETRANSLATE(B1581:B5064,""en"",""fr"")"),"littéralement")</f>
        <v>littéralement</v>
      </c>
    </row>
    <row r="1582" ht="19.5" customHeight="1">
      <c r="A1582" s="26" t="s">
        <v>4263</v>
      </c>
      <c r="B1582" s="27" t="s">
        <v>4264</v>
      </c>
      <c r="C1582" s="28" t="s">
        <v>134</v>
      </c>
      <c r="D1582" s="29">
        <v>202.0</v>
      </c>
      <c r="E1582" s="28" t="s">
        <v>4265</v>
      </c>
      <c r="F1582" s="7" t="str">
        <f>IFERROR(__xludf.DUMMYFUNCTION("GOOGLETRANSLATE(B1582:B5064,""en"",""fr"")"),"pouilleux")</f>
        <v>pouilleux</v>
      </c>
    </row>
    <row r="1583" ht="19.5" customHeight="1">
      <c r="A1583" s="26" t="s">
        <v>4266</v>
      </c>
      <c r="B1583" s="27" t="s">
        <v>4267</v>
      </c>
      <c r="C1583" s="28" t="s">
        <v>178</v>
      </c>
      <c r="D1583" s="29">
        <v>202.0</v>
      </c>
      <c r="E1583" s="28" t="s">
        <v>4268</v>
      </c>
      <c r="F1583" s="7" t="str">
        <f>IFERROR(__xludf.DUMMYFUNCTION("GOOGLETRANSLATE(B1583:B5064,""en"",""fr"")"),"avis")</f>
        <v>avis</v>
      </c>
    </row>
    <row r="1584" ht="19.5" customHeight="1">
      <c r="A1584" s="26" t="s">
        <v>4269</v>
      </c>
      <c r="B1584" s="27" t="s">
        <v>3495</v>
      </c>
      <c r="C1584" s="28" t="s">
        <v>178</v>
      </c>
      <c r="D1584" s="29">
        <v>202.0</v>
      </c>
      <c r="E1584" s="28" t="s">
        <v>4270</v>
      </c>
      <c r="F1584" s="7" t="str">
        <f>IFERROR(__xludf.DUMMYFUNCTION("GOOGLETRANSLATE(B1584:B5064,""en"",""fr"")"),"paquet")</f>
        <v>paquet</v>
      </c>
    </row>
    <row r="1585" ht="19.5" customHeight="1">
      <c r="A1585" s="26" t="s">
        <v>4271</v>
      </c>
      <c r="B1585" s="27" t="s">
        <v>4272</v>
      </c>
      <c r="C1585" s="28" t="s">
        <v>32</v>
      </c>
      <c r="D1585" s="29">
        <v>202.0</v>
      </c>
      <c r="E1585" s="28" t="s">
        <v>4273</v>
      </c>
      <c r="F1585" s="7" t="str">
        <f>IFERROR(__xludf.DUMMYFUNCTION("GOOGLETRANSLATE(B1585:B5064,""en"",""fr"")"),"cracher")</f>
        <v>cracher</v>
      </c>
    </row>
    <row r="1586" ht="19.5" customHeight="1">
      <c r="A1586" s="26" t="s">
        <v>4274</v>
      </c>
      <c r="B1586" s="27" t="s">
        <v>4275</v>
      </c>
      <c r="C1586" s="28" t="s">
        <v>178</v>
      </c>
      <c r="D1586" s="29">
        <v>202.0</v>
      </c>
      <c r="E1586" s="28" t="s">
        <v>4276</v>
      </c>
      <c r="F1586" s="7" t="str">
        <f>IFERROR(__xludf.DUMMYFUNCTION("GOOGLETRANSLATE(B1586:B5064,""en"",""fr"")"),"van")</f>
        <v>van</v>
      </c>
    </row>
    <row r="1587" ht="19.5" customHeight="1">
      <c r="A1587" s="26" t="s">
        <v>4277</v>
      </c>
      <c r="B1587" s="27" t="s">
        <v>4278</v>
      </c>
      <c r="C1587" s="28" t="s">
        <v>178</v>
      </c>
      <c r="D1587" s="29">
        <v>201.0</v>
      </c>
      <c r="E1587" s="28" t="s">
        <v>4279</v>
      </c>
      <c r="F1587" s="7" t="str">
        <f>IFERROR(__xludf.DUMMYFUNCTION("GOOGLETRANSLATE(B1587:B5064,""en"",""fr"")"),"comportement")</f>
        <v>comportement</v>
      </c>
    </row>
    <row r="1588" ht="19.5" customHeight="1">
      <c r="A1588" s="26" t="s">
        <v>4280</v>
      </c>
      <c r="B1588" s="27" t="s">
        <v>4281</v>
      </c>
      <c r="C1588" s="28" t="s">
        <v>32</v>
      </c>
      <c r="D1588" s="29">
        <v>201.0</v>
      </c>
      <c r="E1588" s="28" t="s">
        <v>4282</v>
      </c>
      <c r="F1588" s="7" t="str">
        <f>IFERROR(__xludf.DUMMYFUNCTION("GOOGLETRANSLATE(B1588:B5064,""en"",""fr"")"),"se plaindre")</f>
        <v>se plaindre</v>
      </c>
    </row>
    <row r="1589" ht="19.5" customHeight="1">
      <c r="A1589" s="26" t="s">
        <v>4283</v>
      </c>
      <c r="B1589" s="27" t="s">
        <v>2128</v>
      </c>
      <c r="C1589" s="28" t="s">
        <v>134</v>
      </c>
      <c r="D1589" s="29">
        <v>201.0</v>
      </c>
      <c r="E1589" s="28" t="s">
        <v>2129</v>
      </c>
      <c r="F1589" s="7" t="str">
        <f>IFERROR(__xludf.DUMMYFUNCTION("GOOGLETRANSLATE(B1589:B5064,""en"",""fr"")"),"avenir")</f>
        <v>avenir</v>
      </c>
    </row>
    <row r="1590" ht="19.5" customHeight="1">
      <c r="A1590" s="26" t="s">
        <v>4284</v>
      </c>
      <c r="B1590" s="27" t="s">
        <v>4285</v>
      </c>
      <c r="C1590" s="28" t="s">
        <v>178</v>
      </c>
      <c r="D1590" s="29">
        <v>201.0</v>
      </c>
      <c r="E1590" s="28" t="s">
        <v>4286</v>
      </c>
      <c r="F1590" s="7" t="str">
        <f>IFERROR(__xludf.DUMMYFUNCTION("GOOGLETRANSLATE(B1590:B5064,""en"",""fr"")"),"intérêt")</f>
        <v>intérêt</v>
      </c>
    </row>
    <row r="1591" ht="19.5" customHeight="1">
      <c r="A1591" s="26" t="s">
        <v>4287</v>
      </c>
      <c r="B1591" s="27" t="s">
        <v>4288</v>
      </c>
      <c r="C1591" s="28" t="s">
        <v>36</v>
      </c>
      <c r="D1591" s="29">
        <v>201.0</v>
      </c>
      <c r="E1591" s="28" t="s">
        <v>4288</v>
      </c>
      <c r="F1591" s="7" t="str">
        <f>IFERROR(__xludf.DUMMYFUNCTION("GOOGLETRANSLATE(B1591:B5064,""en"",""fr"")"),"lui-même")</f>
        <v>lui-même</v>
      </c>
    </row>
    <row r="1592" ht="19.5" customHeight="1">
      <c r="A1592" s="26" t="s">
        <v>4289</v>
      </c>
      <c r="B1592" s="27" t="s">
        <v>4290</v>
      </c>
      <c r="C1592" s="28" t="s">
        <v>178</v>
      </c>
      <c r="D1592" s="29">
        <v>201.0</v>
      </c>
      <c r="E1592" s="28" t="s">
        <v>4291</v>
      </c>
      <c r="F1592" s="7" t="str">
        <f>IFERROR(__xludf.DUMMYFUNCTION("GOOGLETRANSLATE(B1592:B5064,""en"",""fr"")"),"miroir")</f>
        <v>miroir</v>
      </c>
    </row>
    <row r="1593" ht="19.5" customHeight="1">
      <c r="A1593" s="26" t="s">
        <v>4292</v>
      </c>
      <c r="B1593" s="27" t="s">
        <v>4293</v>
      </c>
      <c r="C1593" s="28" t="s">
        <v>100</v>
      </c>
      <c r="D1593" s="29">
        <v>201.0</v>
      </c>
      <c r="E1593" s="28" t="s">
        <v>4293</v>
      </c>
      <c r="F1593" s="7" t="str">
        <f>IFERROR(__xludf.DUMMYFUNCTION("GOOGLETRANSLATE(B1593:B5064,""en"",""fr"")"),"récemment")</f>
        <v>récemment</v>
      </c>
    </row>
    <row r="1594" ht="19.5" customHeight="1">
      <c r="A1594" s="26" t="s">
        <v>4294</v>
      </c>
      <c r="B1594" s="27" t="s">
        <v>4295</v>
      </c>
      <c r="C1594" s="28" t="s">
        <v>178</v>
      </c>
      <c r="D1594" s="29">
        <v>201.0</v>
      </c>
      <c r="E1594" s="28" t="s">
        <v>4296</v>
      </c>
      <c r="F1594" s="7" t="str">
        <f>IFERROR(__xludf.DUMMYFUNCTION("GOOGLETRANSLATE(B1594:B5064,""en"",""fr"")"),"strip-teaseur")</f>
        <v>strip-teaseur</v>
      </c>
    </row>
    <row r="1595" ht="19.5" customHeight="1">
      <c r="A1595" s="26" t="s">
        <v>4297</v>
      </c>
      <c r="B1595" s="27" t="s">
        <v>4298</v>
      </c>
      <c r="C1595" s="28" t="s">
        <v>178</v>
      </c>
      <c r="D1595" s="29">
        <v>201.0</v>
      </c>
      <c r="E1595" s="28" t="s">
        <v>4299</v>
      </c>
      <c r="F1595" s="7" t="str">
        <f>IFERROR(__xludf.DUMMYFUNCTION("GOOGLETRANSLATE(B1595:B5064,""en"",""fr"")"),"sujet")</f>
        <v>sujet</v>
      </c>
    </row>
    <row r="1596" ht="19.5" customHeight="1">
      <c r="A1596" s="26" t="s">
        <v>4300</v>
      </c>
      <c r="B1596" s="27" t="s">
        <v>4301</v>
      </c>
      <c r="C1596" s="28" t="s">
        <v>134</v>
      </c>
      <c r="D1596" s="29">
        <v>200.0</v>
      </c>
      <c r="E1596" s="28" t="s">
        <v>4302</v>
      </c>
      <c r="F1596" s="7" t="str">
        <f>IFERROR(__xludf.DUMMYFUNCTION("GOOGLETRANSLATE(B1596:B5064,""en"",""fr"")"),"brillant")</f>
        <v>brillant</v>
      </c>
    </row>
    <row r="1597" ht="19.5" customHeight="1">
      <c r="A1597" s="26" t="s">
        <v>4303</v>
      </c>
      <c r="B1597" s="27" t="s">
        <v>4304</v>
      </c>
      <c r="C1597" s="28" t="s">
        <v>32</v>
      </c>
      <c r="D1597" s="29">
        <v>200.0</v>
      </c>
      <c r="E1597" s="28" t="s">
        <v>4305</v>
      </c>
      <c r="F1597" s="7" t="str">
        <f>IFERROR(__xludf.DUMMYFUNCTION("GOOGLETRANSLATE(B1597:B5064,""en"",""fr"")"),"conception")</f>
        <v>conception</v>
      </c>
    </row>
    <row r="1598" ht="19.5" customHeight="1">
      <c r="A1598" s="26" t="s">
        <v>4306</v>
      </c>
      <c r="B1598" s="27" t="s">
        <v>4307</v>
      </c>
      <c r="C1598" s="28" t="s">
        <v>134</v>
      </c>
      <c r="D1598" s="29">
        <v>200.0</v>
      </c>
      <c r="E1598" s="28" t="s">
        <v>4307</v>
      </c>
      <c r="F1598" s="7" t="str">
        <f>IFERROR(__xludf.DUMMYFUNCTION("GOOGLETRANSLATE(B1598:B5064,""en"",""fr"")"),"général")</f>
        <v>général</v>
      </c>
    </row>
    <row r="1599" ht="19.5" customHeight="1">
      <c r="A1599" s="26" t="s">
        <v>4308</v>
      </c>
      <c r="B1599" s="27" t="s">
        <v>4309</v>
      </c>
      <c r="C1599" s="28" t="s">
        <v>178</v>
      </c>
      <c r="D1599" s="29">
        <v>200.0</v>
      </c>
      <c r="E1599" s="28" t="s">
        <v>4310</v>
      </c>
      <c r="F1599" s="7" t="str">
        <f>IFERROR(__xludf.DUMMYFUNCTION("GOOGLETRANSLATE(B1599:B5064,""en"",""fr"")"),"rein")</f>
        <v>rein</v>
      </c>
    </row>
    <row r="1600" ht="19.5" customHeight="1">
      <c r="A1600" s="26" t="s">
        <v>4311</v>
      </c>
      <c r="B1600" s="27" t="s">
        <v>4312</v>
      </c>
      <c r="C1600" s="28" t="s">
        <v>178</v>
      </c>
      <c r="D1600" s="29">
        <v>200.0</v>
      </c>
      <c r="E1600" s="28" t="s">
        <v>4313</v>
      </c>
      <c r="F1600" s="7" t="str">
        <f>IFERROR(__xludf.DUMMYFUNCTION("GOOGLETRANSLATE(B1600:B5064,""en"",""fr"")"),"résultat")</f>
        <v>résultat</v>
      </c>
    </row>
    <row r="1601" ht="19.5" customHeight="1">
      <c r="A1601" s="26" t="s">
        <v>4314</v>
      </c>
      <c r="B1601" s="27" t="s">
        <v>4315</v>
      </c>
      <c r="C1601" s="28" t="s">
        <v>178</v>
      </c>
      <c r="D1601" s="29">
        <v>200.0</v>
      </c>
      <c r="E1601" s="28" t="s">
        <v>4316</v>
      </c>
      <c r="F1601" s="7" t="str">
        <f>IFERROR(__xludf.DUMMYFUNCTION("GOOGLETRANSLATE(B1601:B5064,""en"",""fr"")"),"grève")</f>
        <v>grève</v>
      </c>
    </row>
    <row r="1602" ht="19.5" customHeight="1">
      <c r="A1602" s="26" t="s">
        <v>4317</v>
      </c>
      <c r="B1602" s="27" t="s">
        <v>4318</v>
      </c>
      <c r="C1602" s="28" t="s">
        <v>178</v>
      </c>
      <c r="D1602" s="29">
        <v>199.0</v>
      </c>
      <c r="E1602" s="28" t="s">
        <v>4319</v>
      </c>
      <c r="F1602" s="7" t="str">
        <f>IFERROR(__xludf.DUMMYFUNCTION("GOOGLETRANSLATE(B1602:B5064,""en"",""fr"")"),"maïs")</f>
        <v>maïs</v>
      </c>
    </row>
    <row r="1603" ht="19.5" customHeight="1">
      <c r="A1603" s="26" t="s">
        <v>4320</v>
      </c>
      <c r="B1603" s="27" t="s">
        <v>4321</v>
      </c>
      <c r="C1603" s="28" t="s">
        <v>134</v>
      </c>
      <c r="D1603" s="29">
        <v>199.0</v>
      </c>
      <c r="E1603" s="28" t="s">
        <v>4321</v>
      </c>
      <c r="F1603" s="7" t="str">
        <f>IFERROR(__xludf.DUMMYFUNCTION("GOOGLETRANSLATE(B1603:B5064,""en"",""fr"")"),"correct")</f>
        <v>correct</v>
      </c>
    </row>
    <row r="1604" ht="19.5" customHeight="1">
      <c r="A1604" s="26" t="s">
        <v>4322</v>
      </c>
      <c r="B1604" s="27" t="s">
        <v>4323</v>
      </c>
      <c r="C1604" s="28" t="s">
        <v>178</v>
      </c>
      <c r="D1604" s="29">
        <v>199.0</v>
      </c>
      <c r="E1604" s="28" t="s">
        <v>4324</v>
      </c>
      <c r="F1604" s="7" t="str">
        <f>IFERROR(__xludf.DUMMYFUNCTION("GOOGLETRANSLATE(B1604:B5064,""en"",""fr"")"),"grand-mère")</f>
        <v>grand-mère</v>
      </c>
    </row>
    <row r="1605" ht="19.5" customHeight="1">
      <c r="A1605" s="26" t="s">
        <v>4325</v>
      </c>
      <c r="B1605" s="27" t="s">
        <v>4253</v>
      </c>
      <c r="C1605" s="28" t="s">
        <v>32</v>
      </c>
      <c r="D1605" s="29">
        <v>199.0</v>
      </c>
      <c r="E1605" s="28" t="s">
        <v>4326</v>
      </c>
      <c r="F1605" s="7" t="str">
        <f>IFERROR(__xludf.DUMMYFUNCTION("GOOGLETRANSLATE(B1605:B5064,""en"",""fr"")"),"câlin")</f>
        <v>câlin</v>
      </c>
    </row>
    <row r="1606" ht="19.5" customHeight="1">
      <c r="A1606" s="26" t="s">
        <v>4327</v>
      </c>
      <c r="B1606" s="27" t="s">
        <v>4328</v>
      </c>
      <c r="C1606" s="28" t="s">
        <v>178</v>
      </c>
      <c r="D1606" s="29">
        <v>199.0</v>
      </c>
      <c r="E1606" s="28" t="s">
        <v>4329</v>
      </c>
      <c r="F1606" s="7" t="str">
        <f>IFERROR(__xludf.DUMMYFUNCTION("GOOGLETRANSLATE(B1606:B5064,""en"",""fr"")"),"cauchemar")</f>
        <v>cauchemar</v>
      </c>
    </row>
    <row r="1607" ht="19.5" customHeight="1">
      <c r="A1607" s="26" t="s">
        <v>4330</v>
      </c>
      <c r="B1607" s="27" t="s">
        <v>4331</v>
      </c>
      <c r="C1607" s="28" t="s">
        <v>36</v>
      </c>
      <c r="D1607" s="29">
        <v>199.0</v>
      </c>
      <c r="E1607" s="28" t="s">
        <v>4331</v>
      </c>
      <c r="F1607" s="7" t="str">
        <f>IFERROR(__xludf.DUMMYFUNCTION("GOOGLETRANSLATE(B1607:B5064,""en"",""fr"")"),"les notres")</f>
        <v>les notres</v>
      </c>
    </row>
    <row r="1608" ht="19.5" customHeight="1">
      <c r="A1608" s="26" t="s">
        <v>4332</v>
      </c>
      <c r="B1608" s="27" t="s">
        <v>4333</v>
      </c>
      <c r="C1608" s="28" t="s">
        <v>134</v>
      </c>
      <c r="D1608" s="29">
        <v>199.0</v>
      </c>
      <c r="E1608" s="28" t="s">
        <v>4334</v>
      </c>
      <c r="F1608" s="7" t="str">
        <f>IFERROR(__xludf.DUMMYFUNCTION("GOOGLETRANSLATE(B1608:B5064,""en"",""fr"")"),"jaune")</f>
        <v>jaune</v>
      </c>
    </row>
    <row r="1609" ht="19.5" customHeight="1">
      <c r="A1609" s="26" t="s">
        <v>4335</v>
      </c>
      <c r="B1609" s="27" t="s">
        <v>4336</v>
      </c>
      <c r="C1609" s="28" t="s">
        <v>32</v>
      </c>
      <c r="D1609" s="29">
        <v>199.0</v>
      </c>
      <c r="E1609" s="28" t="s">
        <v>4337</v>
      </c>
      <c r="F1609" s="7" t="str">
        <f>IFERROR(__xludf.DUMMYFUNCTION("GOOGLETRANSLATE(B1609:B5064,""en"",""fr"")"),"augmenter")</f>
        <v>augmenter</v>
      </c>
    </row>
    <row r="1610" ht="19.5" customHeight="1">
      <c r="A1610" s="26" t="s">
        <v>4338</v>
      </c>
      <c r="B1610" s="27" t="s">
        <v>4339</v>
      </c>
      <c r="C1610" s="28" t="s">
        <v>728</v>
      </c>
      <c r="D1610" s="29">
        <v>199.0</v>
      </c>
      <c r="E1610" s="28" t="s">
        <v>4340</v>
      </c>
      <c r="F1610" s="7" t="str">
        <f>IFERROR(__xludf.DUMMYFUNCTION("GOOGLETRANSLATE(B1610:B5064,""en"",""fr"")"),"Christian")</f>
        <v>Christian</v>
      </c>
    </row>
    <row r="1611" ht="19.5" customHeight="1">
      <c r="A1611" s="26" t="s">
        <v>4341</v>
      </c>
      <c r="B1611" s="27" t="s">
        <v>4342</v>
      </c>
      <c r="C1611" s="28" t="s">
        <v>178</v>
      </c>
      <c r="D1611" s="29">
        <v>199.0</v>
      </c>
      <c r="E1611" s="28" t="s">
        <v>4343</v>
      </c>
      <c r="F1611" s="7" t="str">
        <f>IFERROR(__xludf.DUMMYFUNCTION("GOOGLETRANSLATE(B1611:B5064,""en"",""fr"")"),"Donut")</f>
        <v>Donut</v>
      </c>
    </row>
    <row r="1612" ht="19.5" customHeight="1">
      <c r="A1612" s="26" t="s">
        <v>4344</v>
      </c>
      <c r="B1612" s="27" t="s">
        <v>4345</v>
      </c>
      <c r="C1612" s="28" t="s">
        <v>134</v>
      </c>
      <c r="D1612" s="29">
        <v>199.0</v>
      </c>
      <c r="E1612" s="28" t="s">
        <v>4345</v>
      </c>
      <c r="F1612" s="7" t="str">
        <f>IFERROR(__xludf.DUMMYFUNCTION("GOOGLETRANSLATE(B1612:B5064,""en"",""fr"")"),"original")</f>
        <v>original</v>
      </c>
    </row>
    <row r="1613" ht="19.5" customHeight="1">
      <c r="A1613" s="26" t="s">
        <v>4346</v>
      </c>
      <c r="B1613" s="27" t="s">
        <v>4347</v>
      </c>
      <c r="C1613" s="28" t="s">
        <v>178</v>
      </c>
      <c r="D1613" s="29">
        <v>199.0</v>
      </c>
      <c r="E1613" s="28" t="s">
        <v>4348</v>
      </c>
      <c r="F1613" s="7" t="str">
        <f>IFERROR(__xludf.DUMMYFUNCTION("GOOGLETRANSLATE(B1613:B5064,""en"",""fr"")"),"position")</f>
        <v>position</v>
      </c>
    </row>
    <row r="1614" ht="19.5" customHeight="1">
      <c r="A1614" s="26" t="s">
        <v>4349</v>
      </c>
      <c r="B1614" s="27" t="s">
        <v>4350</v>
      </c>
      <c r="C1614" s="28" t="s">
        <v>150</v>
      </c>
      <c r="D1614" s="29">
        <v>199.0</v>
      </c>
      <c r="E1614" s="28" t="s">
        <v>4351</v>
      </c>
      <c r="F1614" s="7" t="str">
        <f>IFERROR(__xludf.DUMMYFUNCTION("GOOGLETRANSLATE(B1614:B5064,""en"",""fr"")"),"quart")</f>
        <v>quart</v>
      </c>
    </row>
    <row r="1615" ht="19.5" customHeight="1">
      <c r="A1615" s="26" t="s">
        <v>4352</v>
      </c>
      <c r="B1615" s="27" t="s">
        <v>3708</v>
      </c>
      <c r="C1615" s="28" t="s">
        <v>32</v>
      </c>
      <c r="D1615" s="29">
        <v>198.0</v>
      </c>
      <c r="E1615" s="28" t="s">
        <v>4353</v>
      </c>
      <c r="F1615" s="7" t="str">
        <f>IFERROR(__xludf.DUMMYFUNCTION("GOOGLETRANSLATE(B1615:B5064,""en"",""fr"")"),"idiot")</f>
        <v>idiot</v>
      </c>
    </row>
    <row r="1616" ht="19.5" customHeight="1">
      <c r="A1616" s="26" t="s">
        <v>4354</v>
      </c>
      <c r="B1616" s="27" t="s">
        <v>4355</v>
      </c>
      <c r="C1616" s="28" t="s">
        <v>32</v>
      </c>
      <c r="D1616" s="29">
        <v>197.0</v>
      </c>
      <c r="E1616" s="28" t="s">
        <v>4356</v>
      </c>
      <c r="F1616" s="7" t="str">
        <f>IFERROR(__xludf.DUMMYFUNCTION("GOOGLETRANSLATE(B1616:B5064,""en"",""fr"")"),"ennuyer")</f>
        <v>ennuyer</v>
      </c>
    </row>
    <row r="1617" ht="19.5" customHeight="1">
      <c r="A1617" s="26" t="s">
        <v>4357</v>
      </c>
      <c r="B1617" s="27" t="s">
        <v>87</v>
      </c>
      <c r="C1617" s="28" t="s">
        <v>178</v>
      </c>
      <c r="D1617" s="29">
        <v>197.0</v>
      </c>
      <c r="E1617" s="28" t="s">
        <v>4358</v>
      </c>
      <c r="F1617" s="7" t="str">
        <f>IFERROR(__xludf.DUMMYFUNCTION("GOOGLETRANSLATE(B1617:B5064,""en"",""fr"")"),"peut")</f>
        <v>peut</v>
      </c>
    </row>
    <row r="1618" ht="19.5" customHeight="1">
      <c r="A1618" s="26" t="s">
        <v>4359</v>
      </c>
      <c r="B1618" s="27" t="s">
        <v>4360</v>
      </c>
      <c r="C1618" s="28" t="s">
        <v>178</v>
      </c>
      <c r="D1618" s="29">
        <v>197.0</v>
      </c>
      <c r="E1618" s="28" t="s">
        <v>4361</v>
      </c>
      <c r="F1618" s="7" t="str">
        <f>IFERROR(__xludf.DUMMYFUNCTION("GOOGLETRANSLATE(B1618:B5064,""en"",""fr"")"),"correspondre")</f>
        <v>correspondre</v>
      </c>
    </row>
    <row r="1619" ht="19.5" customHeight="1">
      <c r="A1619" s="26" t="s">
        <v>4362</v>
      </c>
      <c r="B1619" s="27" t="s">
        <v>454</v>
      </c>
      <c r="C1619" s="28" t="s">
        <v>178</v>
      </c>
      <c r="D1619" s="29">
        <v>197.0</v>
      </c>
      <c r="E1619" s="28" t="s">
        <v>4363</v>
      </c>
      <c r="F1619" s="7" t="str">
        <f>IFERROR(__xludf.DUMMYFUNCTION("GOOGLETRANSLATE(B1619:B5064,""en"",""fr"")"),"jouer")</f>
        <v>jouer</v>
      </c>
    </row>
    <row r="1620" ht="19.5" customHeight="1">
      <c r="A1620" s="26" t="s">
        <v>4364</v>
      </c>
      <c r="B1620" s="27" t="s">
        <v>4365</v>
      </c>
      <c r="C1620" s="28" t="s">
        <v>178</v>
      </c>
      <c r="D1620" s="29">
        <v>197.0</v>
      </c>
      <c r="E1620" s="28" t="s">
        <v>4365</v>
      </c>
      <c r="F1620" s="7" t="str">
        <f>IFERROR(__xludf.DUMMYFUNCTION("GOOGLETRANSLATE(B1620:B5064,""en"",""fr"")"),"trafic")</f>
        <v>trafic</v>
      </c>
    </row>
    <row r="1621" ht="19.5" customHeight="1">
      <c r="A1621" s="26" t="s">
        <v>4366</v>
      </c>
      <c r="B1621" s="27" t="s">
        <v>4367</v>
      </c>
      <c r="C1621" s="28" t="s">
        <v>134</v>
      </c>
      <c r="D1621" s="29">
        <v>196.0</v>
      </c>
      <c r="E1621" s="28" t="s">
        <v>4367</v>
      </c>
      <c r="F1621" s="7" t="str">
        <f>IFERROR(__xludf.DUMMYFUNCTION("GOOGLETRANSLATE(B1621:B5064,""en"",""fr"")"),"réel")</f>
        <v>réel</v>
      </c>
    </row>
    <row r="1622" ht="19.5" customHeight="1">
      <c r="A1622" s="26" t="s">
        <v>4368</v>
      </c>
      <c r="B1622" s="27" t="s">
        <v>4369</v>
      </c>
      <c r="C1622" s="28" t="s">
        <v>178</v>
      </c>
      <c r="D1622" s="29">
        <v>196.0</v>
      </c>
      <c r="E1622" s="28" t="s">
        <v>4370</v>
      </c>
      <c r="F1622" s="7" t="str">
        <f>IFERROR(__xludf.DUMMYFUNCTION("GOOGLETRANSLATE(B1622:B5064,""en"",""fr"")"),"banane")</f>
        <v>banane</v>
      </c>
    </row>
    <row r="1623" ht="19.5" customHeight="1">
      <c r="A1623" s="26" t="s">
        <v>4371</v>
      </c>
      <c r="B1623" s="27" t="s">
        <v>4372</v>
      </c>
      <c r="C1623" s="28" t="s">
        <v>178</v>
      </c>
      <c r="D1623" s="29">
        <v>196.0</v>
      </c>
      <c r="E1623" s="28" t="s">
        <v>4373</v>
      </c>
      <c r="F1623" s="7" t="str">
        <f>IFERROR(__xludf.DUMMYFUNCTION("GOOGLETRANSLATE(B1623:B5064,""en"",""fr"")"),"conférence")</f>
        <v>conférence</v>
      </c>
    </row>
    <row r="1624" ht="19.5" customHeight="1">
      <c r="A1624" s="26" t="s">
        <v>4374</v>
      </c>
      <c r="B1624" s="27" t="s">
        <v>4375</v>
      </c>
      <c r="C1624" s="28" t="s">
        <v>178</v>
      </c>
      <c r="D1624" s="29">
        <v>196.0</v>
      </c>
      <c r="E1624" s="28" t="s">
        <v>4376</v>
      </c>
      <c r="F1624" s="7" t="str">
        <f>IFERROR(__xludf.DUMMYFUNCTION("GOOGLETRANSLATE(B1624:B5064,""en"",""fr"")"),"lac")</f>
        <v>lac</v>
      </c>
    </row>
    <row r="1625" ht="19.5" customHeight="1">
      <c r="A1625" s="26" t="s">
        <v>4377</v>
      </c>
      <c r="B1625" s="27" t="s">
        <v>4378</v>
      </c>
      <c r="C1625" s="28" t="s">
        <v>134</v>
      </c>
      <c r="D1625" s="29">
        <v>196.0</v>
      </c>
      <c r="E1625" s="28" t="s">
        <v>4378</v>
      </c>
      <c r="F1625" s="7" t="str">
        <f>IFERROR(__xludf.DUMMYFUNCTION("GOOGLETRANSLATE(B1625:B5064,""en"",""fr"")"),"médical")</f>
        <v>médical</v>
      </c>
    </row>
    <row r="1626" ht="19.5" customHeight="1">
      <c r="A1626" s="26" t="s">
        <v>4379</v>
      </c>
      <c r="B1626" s="27" t="s">
        <v>4380</v>
      </c>
      <c r="C1626" s="28" t="s">
        <v>178</v>
      </c>
      <c r="D1626" s="29">
        <v>196.0</v>
      </c>
      <c r="E1626" s="28" t="s">
        <v>4381</v>
      </c>
      <c r="F1626" s="7" t="str">
        <f>IFERROR(__xludf.DUMMYFUNCTION("GOOGLETRANSLATE(B1626:B5064,""en"",""fr"")"),"médecine")</f>
        <v>médecine</v>
      </c>
    </row>
    <row r="1627" ht="19.5" customHeight="1">
      <c r="A1627" s="26" t="s">
        <v>4382</v>
      </c>
      <c r="B1627" s="27" t="s">
        <v>4383</v>
      </c>
      <c r="C1627" s="28" t="s">
        <v>32</v>
      </c>
      <c r="D1627" s="29">
        <v>196.0</v>
      </c>
      <c r="E1627" s="28" t="s">
        <v>4384</v>
      </c>
      <c r="F1627" s="7" t="str">
        <f>IFERROR(__xludf.DUMMYFUNCTION("GOOGLETRANSLATE(B1627:B5064,""en"",""fr"")"),"prier")</f>
        <v>prier</v>
      </c>
    </row>
    <row r="1628" ht="19.5" customHeight="1">
      <c r="A1628" s="26" t="s">
        <v>4385</v>
      </c>
      <c r="B1628" s="27" t="s">
        <v>4386</v>
      </c>
      <c r="C1628" s="28" t="s">
        <v>32</v>
      </c>
      <c r="D1628" s="29">
        <v>196.0</v>
      </c>
      <c r="E1628" s="28" t="s">
        <v>4387</v>
      </c>
      <c r="F1628" s="7" t="str">
        <f>IFERROR(__xludf.DUMMYFUNCTION("GOOGLETRANSLATE(B1628:B5064,""en"",""fr"")"),"raser")</f>
        <v>raser</v>
      </c>
    </row>
    <row r="1629" ht="19.5" customHeight="1">
      <c r="A1629" s="26" t="s">
        <v>4388</v>
      </c>
      <c r="B1629" s="27" t="s">
        <v>4389</v>
      </c>
      <c r="C1629" s="28" t="s">
        <v>178</v>
      </c>
      <c r="D1629" s="29">
        <v>196.0</v>
      </c>
      <c r="E1629" s="28" t="s">
        <v>4390</v>
      </c>
      <c r="F1629" s="7" t="str">
        <f>IFERROR(__xludf.DUMMYFUNCTION("GOOGLETRANSLATE(B1629:B5064,""en"",""fr"")"),"baignoire")</f>
        <v>baignoire</v>
      </c>
    </row>
    <row r="1630" ht="19.5" customHeight="1">
      <c r="A1630" s="26" t="s">
        <v>4391</v>
      </c>
      <c r="B1630" s="27" t="s">
        <v>4392</v>
      </c>
      <c r="C1630" s="28" t="s">
        <v>32</v>
      </c>
      <c r="D1630" s="29">
        <v>195.0</v>
      </c>
      <c r="E1630" s="28" t="s">
        <v>4393</v>
      </c>
      <c r="F1630" s="7" t="str">
        <f>IFERROR(__xludf.DUMMYFUNCTION("GOOGLETRANSLATE(B1630:B5064,""en"",""fr"")"),"cuire")</f>
        <v>cuire</v>
      </c>
    </row>
    <row r="1631" ht="19.5" customHeight="1">
      <c r="A1631" s="26" t="s">
        <v>4394</v>
      </c>
      <c r="B1631" s="27" t="s">
        <v>4395</v>
      </c>
      <c r="C1631" s="28" t="s">
        <v>178</v>
      </c>
      <c r="D1631" s="29">
        <v>195.0</v>
      </c>
      <c r="E1631" s="28" t="s">
        <v>4396</v>
      </c>
      <c r="F1631" s="7" t="str">
        <f>IFERROR(__xludf.DUMMYFUNCTION("GOOGLETRANSLATE(B1631:B5064,""en"",""fr"")"),"option")</f>
        <v>option</v>
      </c>
    </row>
    <row r="1632" ht="19.5" customHeight="1">
      <c r="A1632" s="26" t="s">
        <v>4397</v>
      </c>
      <c r="B1632" s="27" t="s">
        <v>4398</v>
      </c>
      <c r="C1632" s="28" t="s">
        <v>178</v>
      </c>
      <c r="D1632" s="29">
        <v>195.0</v>
      </c>
      <c r="E1632" s="28" t="s">
        <v>4398</v>
      </c>
      <c r="F1632" s="7" t="str">
        <f>IFERROR(__xludf.DUMMYFUNCTION("GOOGLETRANSLATE(B1632:B5064,""en"",""fr"")"),"Sud")</f>
        <v>Sud</v>
      </c>
    </row>
    <row r="1633" ht="19.5" customHeight="1">
      <c r="A1633" s="26" t="s">
        <v>4399</v>
      </c>
      <c r="B1633" s="27" t="s">
        <v>4400</v>
      </c>
      <c r="C1633" s="28" t="s">
        <v>134</v>
      </c>
      <c r="D1633" s="29">
        <v>194.0</v>
      </c>
      <c r="E1633" s="28" t="s">
        <v>4401</v>
      </c>
      <c r="F1633" s="7" t="str">
        <f>IFERROR(__xludf.DUMMYFUNCTION("GOOGLETRANSLATE(B1633:B5064,""en"",""fr"")"),"effrayant")</f>
        <v>effrayant</v>
      </c>
    </row>
    <row r="1634" ht="19.5" customHeight="1">
      <c r="A1634" s="26" t="s">
        <v>4402</v>
      </c>
      <c r="B1634" s="27" t="s">
        <v>4403</v>
      </c>
      <c r="C1634" s="28" t="s">
        <v>178</v>
      </c>
      <c r="D1634" s="29">
        <v>194.0</v>
      </c>
      <c r="E1634" s="28" t="s">
        <v>4404</v>
      </c>
      <c r="F1634" s="7" t="str">
        <f>IFERROR(__xludf.DUMMYFUNCTION("GOOGLETRANSLATE(B1634:B5064,""en"",""fr"")"),"douche")</f>
        <v>douche</v>
      </c>
    </row>
    <row r="1635" ht="19.5" customHeight="1">
      <c r="A1635" s="26" t="s">
        <v>4405</v>
      </c>
      <c r="B1635" s="27" t="s">
        <v>4406</v>
      </c>
      <c r="C1635" s="28" t="s">
        <v>100</v>
      </c>
      <c r="D1635" s="29">
        <v>194.0</v>
      </c>
      <c r="E1635" s="28" t="s">
        <v>4406</v>
      </c>
      <c r="F1635" s="7" t="str">
        <f>IFERROR(__xludf.DUMMYFUNCTION("GOOGLETRANSLATE(B1635:B5064,""en"",""fr"")"),"finalement")</f>
        <v>finalement</v>
      </c>
    </row>
    <row r="1636" ht="19.5" customHeight="1">
      <c r="A1636" s="26" t="s">
        <v>4407</v>
      </c>
      <c r="B1636" s="27" t="s">
        <v>4408</v>
      </c>
      <c r="C1636" s="28" t="s">
        <v>32</v>
      </c>
      <c r="D1636" s="29">
        <v>194.0</v>
      </c>
      <c r="E1636" s="28" t="s">
        <v>4409</v>
      </c>
      <c r="F1636" s="7" t="str">
        <f>IFERROR(__xludf.DUMMYFUNCTION("GOOGLETRANSLATE(B1636:B5064,""en"",""fr"")"),"interrompre")</f>
        <v>interrompre</v>
      </c>
    </row>
    <row r="1637" ht="19.5" customHeight="1">
      <c r="A1637" s="26" t="s">
        <v>4410</v>
      </c>
      <c r="B1637" s="27" t="s">
        <v>4411</v>
      </c>
      <c r="C1637" s="28" t="s">
        <v>178</v>
      </c>
      <c r="D1637" s="29">
        <v>194.0</v>
      </c>
      <c r="E1637" s="28" t="s">
        <v>4412</v>
      </c>
      <c r="F1637" s="7" t="str">
        <f>IFERROR(__xludf.DUMMYFUNCTION("GOOGLETRANSLATE(B1637:B5064,""en"",""fr"")"),"bibliothèque")</f>
        <v>bibliothèque</v>
      </c>
    </row>
    <row r="1638" ht="19.5" customHeight="1">
      <c r="A1638" s="26" t="s">
        <v>4413</v>
      </c>
      <c r="B1638" s="27" t="s">
        <v>4414</v>
      </c>
      <c r="C1638" s="28" t="s">
        <v>134</v>
      </c>
      <c r="D1638" s="29">
        <v>194.0</v>
      </c>
      <c r="E1638" s="28" t="s">
        <v>4415</v>
      </c>
      <c r="F1638" s="7" t="str">
        <f>IFERROR(__xludf.DUMMYFUNCTION("GOOGLETRANSLATE(B1638:B5064,""en"",""fr"")"),"grossier")</f>
        <v>grossier</v>
      </c>
    </row>
    <row r="1639" ht="19.5" customHeight="1">
      <c r="A1639" s="26" t="s">
        <v>4416</v>
      </c>
      <c r="B1639" s="27" t="s">
        <v>4417</v>
      </c>
      <c r="C1639" s="28" t="s">
        <v>178</v>
      </c>
      <c r="D1639" s="29">
        <v>193.0</v>
      </c>
      <c r="E1639" s="28" t="s">
        <v>4418</v>
      </c>
      <c r="F1639" s="7" t="str">
        <f>IFERROR(__xludf.DUMMYFUNCTION("GOOGLETRANSLATE(B1639:B5064,""en"",""fr"")"),"publicité")</f>
        <v>publicité</v>
      </c>
    </row>
    <row r="1640" ht="19.5" customHeight="1">
      <c r="A1640" s="26" t="s">
        <v>4419</v>
      </c>
      <c r="B1640" s="27" t="s">
        <v>4420</v>
      </c>
      <c r="C1640" s="28" t="s">
        <v>178</v>
      </c>
      <c r="D1640" s="29">
        <v>193.0</v>
      </c>
      <c r="E1640" s="28" t="s">
        <v>4421</v>
      </c>
      <c r="F1640" s="7" t="str">
        <f>IFERROR(__xludf.DUMMYFUNCTION("GOOGLETRANSLATE(B1640:B5064,""en"",""fr"")"),"danger")</f>
        <v>danger</v>
      </c>
    </row>
    <row r="1641" ht="19.5" customHeight="1">
      <c r="A1641" s="26" t="s">
        <v>4422</v>
      </c>
      <c r="B1641" s="27" t="s">
        <v>4423</v>
      </c>
      <c r="C1641" s="28" t="s">
        <v>150</v>
      </c>
      <c r="D1641" s="29">
        <v>193.0</v>
      </c>
      <c r="E1641" s="28" t="s">
        <v>4424</v>
      </c>
      <c r="F1641" s="7" t="str">
        <f>IFERROR(__xludf.DUMMYFUNCTION("GOOGLETRANSLATE(B1641:B5064,""en"",""fr"")"),"quatorze")</f>
        <v>quatorze</v>
      </c>
    </row>
    <row r="1642" ht="19.5" customHeight="1">
      <c r="A1642" s="26" t="s">
        <v>4425</v>
      </c>
      <c r="B1642" s="27" t="s">
        <v>4426</v>
      </c>
      <c r="C1642" s="28" t="s">
        <v>178</v>
      </c>
      <c r="D1642" s="29">
        <v>193.0</v>
      </c>
      <c r="E1642" s="28" t="s">
        <v>4427</v>
      </c>
      <c r="F1642" s="7" t="str">
        <f>IFERROR(__xludf.DUMMYFUNCTION("GOOGLETRANSLATE(B1642:B5064,""en"",""fr"")"),"maître")</f>
        <v>maître</v>
      </c>
    </row>
    <row r="1643" ht="19.5" customHeight="1">
      <c r="A1643" s="26" t="s">
        <v>4428</v>
      </c>
      <c r="B1643" s="27" t="s">
        <v>4429</v>
      </c>
      <c r="C1643" s="28" t="s">
        <v>178</v>
      </c>
      <c r="D1643" s="29">
        <v>193.0</v>
      </c>
      <c r="E1643" s="28" t="s">
        <v>4430</v>
      </c>
      <c r="F1643" s="7" t="str">
        <f>IFERROR(__xludf.DUMMYFUNCTION("GOOGLETRANSLATE(B1643:B5064,""en"",""fr"")"),"mathématiques")</f>
        <v>mathématiques</v>
      </c>
    </row>
    <row r="1644" ht="19.5" customHeight="1">
      <c r="A1644" s="26" t="s">
        <v>4431</v>
      </c>
      <c r="B1644" s="27" t="s">
        <v>4432</v>
      </c>
      <c r="C1644" s="28" t="s">
        <v>32</v>
      </c>
      <c r="D1644" s="29">
        <v>193.0</v>
      </c>
      <c r="E1644" s="28" t="s">
        <v>4433</v>
      </c>
      <c r="F1644" s="7" t="str">
        <f>IFERROR(__xludf.DUMMYFUNCTION("GOOGLETRANSLATE(B1644:B5064,""en"",""fr"")"),"proposer")</f>
        <v>proposer</v>
      </c>
    </row>
    <row r="1645" ht="19.5" customHeight="1">
      <c r="A1645" s="26" t="s">
        <v>4434</v>
      </c>
      <c r="B1645" s="27" t="s">
        <v>4435</v>
      </c>
      <c r="C1645" s="28" t="s">
        <v>728</v>
      </c>
      <c r="D1645" s="29">
        <v>193.0</v>
      </c>
      <c r="E1645" s="28" t="s">
        <v>4436</v>
      </c>
      <c r="F1645" s="7" t="str">
        <f>IFERROR(__xludf.DUMMYFUNCTION("GOOGLETRANSLATE(B1645:B5064,""en"",""fr"")"),"Jeudi")</f>
        <v>Jeudi</v>
      </c>
    </row>
    <row r="1646" ht="19.5" customHeight="1">
      <c r="A1646" s="26" t="s">
        <v>4437</v>
      </c>
      <c r="B1646" s="27" t="s">
        <v>4438</v>
      </c>
      <c r="C1646" s="28" t="s">
        <v>100</v>
      </c>
      <c r="D1646" s="29">
        <v>192.0</v>
      </c>
      <c r="E1646" s="28" t="s">
        <v>4438</v>
      </c>
      <c r="F1646" s="7" t="str">
        <f>IFERROR(__xludf.DUMMYFUNCTION("GOOGLETRANSLATE(B1646:B5064,""en"",""fr"")"),"à part")</f>
        <v>à part</v>
      </c>
    </row>
    <row r="1647" ht="19.5" customHeight="1">
      <c r="A1647" s="26" t="s">
        <v>4439</v>
      </c>
      <c r="B1647" s="27" t="s">
        <v>4440</v>
      </c>
      <c r="C1647" s="28" t="s">
        <v>178</v>
      </c>
      <c r="D1647" s="29">
        <v>192.0</v>
      </c>
      <c r="E1647" s="28" t="s">
        <v>4441</v>
      </c>
      <c r="F1647" s="7" t="str">
        <f>IFERROR(__xludf.DUMMYFUNCTION("GOOGLETRANSLATE(B1647:B5064,""en"",""fr"")"),"chéri")</f>
        <v>chéri</v>
      </c>
    </row>
    <row r="1648" ht="19.5" customHeight="1">
      <c r="A1648" s="26" t="s">
        <v>4442</v>
      </c>
      <c r="B1648" s="27" t="s">
        <v>4443</v>
      </c>
      <c r="C1648" s="28" t="s">
        <v>32</v>
      </c>
      <c r="D1648" s="29">
        <v>192.0</v>
      </c>
      <c r="E1648" s="28" t="s">
        <v>4444</v>
      </c>
      <c r="F1648" s="7" t="str">
        <f>IFERROR(__xludf.DUMMYFUNCTION("GOOGLETRANSLATE(B1648:B5064,""en"",""fr"")"),"rassembler")</f>
        <v>rassembler</v>
      </c>
    </row>
    <row r="1649" ht="19.5" customHeight="1">
      <c r="A1649" s="26" t="s">
        <v>4445</v>
      </c>
      <c r="B1649" s="27" t="s">
        <v>4446</v>
      </c>
      <c r="C1649" s="28" t="s">
        <v>100</v>
      </c>
      <c r="D1649" s="29">
        <v>192.0</v>
      </c>
      <c r="E1649" s="28" t="s">
        <v>4446</v>
      </c>
      <c r="F1649" s="7" t="str">
        <f>IFERROR(__xludf.DUMMYFUNCTION("GOOGLETRANSLATE(B1649:B5064,""en"",""fr"")"),"surtout")</f>
        <v>surtout</v>
      </c>
    </row>
    <row r="1650" ht="19.5" customHeight="1">
      <c r="A1650" s="26" t="s">
        <v>4447</v>
      </c>
      <c r="B1650" s="27" t="s">
        <v>3933</v>
      </c>
      <c r="C1650" s="28" t="s">
        <v>178</v>
      </c>
      <c r="D1650" s="29">
        <v>192.0</v>
      </c>
      <c r="E1650" s="28" t="s">
        <v>4448</v>
      </c>
      <c r="F1650" s="7" t="str">
        <f>IFERROR(__xludf.DUMMYFUNCTION("GOOGLETRANSLATE(B1650:B5064,""en"",""fr"")"),"soutien")</f>
        <v>soutien</v>
      </c>
    </row>
    <row r="1651" ht="19.5" customHeight="1">
      <c r="A1651" s="26" t="s">
        <v>4449</v>
      </c>
      <c r="B1651" s="27" t="s">
        <v>4450</v>
      </c>
      <c r="C1651" s="28" t="s">
        <v>178</v>
      </c>
      <c r="D1651" s="29">
        <v>191.0</v>
      </c>
      <c r="E1651" s="28" t="s">
        <v>4451</v>
      </c>
      <c r="F1651" s="7" t="str">
        <f>IFERROR(__xludf.DUMMYFUNCTION("GOOGLETRANSLATE(B1651:B5064,""en"",""fr"")"),"bulle")</f>
        <v>bulle</v>
      </c>
    </row>
    <row r="1652" ht="19.5" customHeight="1">
      <c r="A1652" s="26" t="s">
        <v>4452</v>
      </c>
      <c r="B1652" s="27" t="s">
        <v>4453</v>
      </c>
      <c r="C1652" s="28" t="s">
        <v>178</v>
      </c>
      <c r="D1652" s="29">
        <v>191.0</v>
      </c>
      <c r="E1652" s="28" t="s">
        <v>4454</v>
      </c>
      <c r="F1652" s="7" t="str">
        <f>IFERROR(__xludf.DUMMYFUNCTION("GOOGLETRANSLATE(B1652:B5064,""en"",""fr"")"),"énergie")</f>
        <v>énergie</v>
      </c>
    </row>
    <row r="1653" ht="19.5" customHeight="1">
      <c r="A1653" s="26" t="s">
        <v>4455</v>
      </c>
      <c r="B1653" s="27" t="s">
        <v>4456</v>
      </c>
      <c r="C1653" s="28" t="s">
        <v>134</v>
      </c>
      <c r="D1653" s="29">
        <v>191.0</v>
      </c>
      <c r="E1653" s="28" t="s">
        <v>4457</v>
      </c>
      <c r="F1653" s="7" t="str">
        <f>IFERROR(__xludf.DUMMYFUNCTION("GOOGLETRANSLATE(B1653:B5064,""en"",""fr"")"),"lourd")</f>
        <v>lourd</v>
      </c>
    </row>
    <row r="1654" ht="19.5" customHeight="1">
      <c r="A1654" s="26" t="s">
        <v>4458</v>
      </c>
      <c r="B1654" s="27" t="s">
        <v>4459</v>
      </c>
      <c r="C1654" s="28" t="s">
        <v>178</v>
      </c>
      <c r="D1654" s="29">
        <v>191.0</v>
      </c>
      <c r="E1654" s="28" t="s">
        <v>4460</v>
      </c>
      <c r="F1654" s="7" t="str">
        <f>IFERROR(__xludf.DUMMYFUNCTION("GOOGLETRANSLATE(B1654:B5064,""en"",""fr"")"),"laser")</f>
        <v>laser</v>
      </c>
    </row>
    <row r="1655" ht="19.5" customHeight="1">
      <c r="A1655" s="26" t="s">
        <v>4461</v>
      </c>
      <c r="B1655" s="27" t="s">
        <v>4462</v>
      </c>
      <c r="C1655" s="28" t="s">
        <v>32</v>
      </c>
      <c r="D1655" s="29">
        <v>191.0</v>
      </c>
      <c r="E1655" s="28" t="s">
        <v>4463</v>
      </c>
      <c r="F1655" s="7" t="str">
        <f>IFERROR(__xludf.DUMMYFUNCTION("GOOGLETRANSLATE(B1655:B5064,""en"",""fr"")"),"gérer")</f>
        <v>gérer</v>
      </c>
    </row>
    <row r="1656" ht="19.5" customHeight="1">
      <c r="A1656" s="26" t="s">
        <v>4464</v>
      </c>
      <c r="B1656" s="27" t="s">
        <v>4465</v>
      </c>
      <c r="C1656" s="28" t="s">
        <v>100</v>
      </c>
      <c r="D1656" s="29">
        <v>191.0</v>
      </c>
      <c r="E1656" s="28" t="s">
        <v>4465</v>
      </c>
      <c r="F1656" s="7" t="str">
        <f>IFERROR(__xludf.DUMMYFUNCTION("GOOGLETRANSLATE(B1656:B5064,""en"",""fr"")"),"entre-temps")</f>
        <v>entre-temps</v>
      </c>
    </row>
    <row r="1657" ht="19.5" customHeight="1">
      <c r="A1657" s="26" t="s">
        <v>4466</v>
      </c>
      <c r="B1657" s="27" t="s">
        <v>4467</v>
      </c>
      <c r="C1657" s="28" t="s">
        <v>178</v>
      </c>
      <c r="D1657" s="29">
        <v>191.0</v>
      </c>
      <c r="E1657" s="28" t="s">
        <v>4468</v>
      </c>
      <c r="F1657" s="7" t="str">
        <f>IFERROR(__xludf.DUMMYFUNCTION("GOOGLETRANSLATE(B1657:B5064,""en"",""fr"")"),"réseau")</f>
        <v>réseau</v>
      </c>
    </row>
    <row r="1658" ht="19.5" customHeight="1">
      <c r="A1658" s="26" t="s">
        <v>4469</v>
      </c>
      <c r="B1658" s="27" t="s">
        <v>4470</v>
      </c>
      <c r="C1658" s="28" t="s">
        <v>178</v>
      </c>
      <c r="D1658" s="29">
        <v>191.0</v>
      </c>
      <c r="E1658" s="28" t="s">
        <v>4471</v>
      </c>
      <c r="F1658" s="7" t="str">
        <f>IFERROR(__xludf.DUMMYFUNCTION("GOOGLETRANSLATE(B1658:B5064,""en"",""fr"")"),"arme")</f>
        <v>arme</v>
      </c>
    </row>
    <row r="1659" ht="19.5" customHeight="1">
      <c r="A1659" s="26" t="s">
        <v>4472</v>
      </c>
      <c r="B1659" s="27" t="s">
        <v>4473</v>
      </c>
      <c r="C1659" s="28" t="s">
        <v>178</v>
      </c>
      <c r="D1659" s="29">
        <v>190.0</v>
      </c>
      <c r="E1659" s="28" t="s">
        <v>4474</v>
      </c>
      <c r="F1659" s="7" t="str">
        <f>IFERROR(__xludf.DUMMYFUNCTION("GOOGLETRANSLATE(B1659:B5064,""en"",""fr"")"),"condition")</f>
        <v>condition</v>
      </c>
    </row>
    <row r="1660" ht="19.5" customHeight="1">
      <c r="A1660" s="26" t="s">
        <v>4475</v>
      </c>
      <c r="B1660" s="27" t="s">
        <v>4476</v>
      </c>
      <c r="C1660" s="28" t="s">
        <v>178</v>
      </c>
      <c r="D1660" s="29">
        <v>190.0</v>
      </c>
      <c r="E1660" s="28" t="s">
        <v>4477</v>
      </c>
      <c r="F1660" s="7" t="str">
        <f>IFERROR(__xludf.DUMMYFUNCTION("GOOGLETRANSLATE(B1660:B5064,""en"",""fr"")"),"copie")</f>
        <v>copie</v>
      </c>
    </row>
    <row r="1661" ht="19.5" customHeight="1">
      <c r="A1661" s="26" t="s">
        <v>4478</v>
      </c>
      <c r="B1661" s="27" t="s">
        <v>4479</v>
      </c>
      <c r="C1661" s="28" t="s">
        <v>134</v>
      </c>
      <c r="D1661" s="29">
        <v>190.0</v>
      </c>
      <c r="E1661" s="28" t="s">
        <v>4479</v>
      </c>
      <c r="F1661" s="7" t="str">
        <f>IFERROR(__xludf.DUMMYFUNCTION("GOOGLETRANSLATE(B1661:B5064,""en"",""fr"")"),"femelle")</f>
        <v>femelle</v>
      </c>
    </row>
    <row r="1662" ht="19.5" customHeight="1">
      <c r="A1662" s="26" t="s">
        <v>4480</v>
      </c>
      <c r="B1662" s="27" t="s">
        <v>2437</v>
      </c>
      <c r="C1662" s="28" t="s">
        <v>32</v>
      </c>
      <c r="D1662" s="29">
        <v>190.0</v>
      </c>
      <c r="E1662" s="28" t="s">
        <v>4481</v>
      </c>
      <c r="F1662" s="7" t="str">
        <f>IFERROR(__xludf.DUMMYFUNCTION("GOOGLETRANSLATE(B1662:B5064,""en"",""fr"")"),"parc")</f>
        <v>parc</v>
      </c>
    </row>
    <row r="1663" ht="19.5" customHeight="1">
      <c r="A1663" s="26" t="s">
        <v>4482</v>
      </c>
      <c r="B1663" s="27" t="s">
        <v>4483</v>
      </c>
      <c r="C1663" s="28" t="s">
        <v>100</v>
      </c>
      <c r="D1663" s="29">
        <v>190.0</v>
      </c>
      <c r="E1663" s="28" t="s">
        <v>4483</v>
      </c>
      <c r="F1663" s="7" t="str">
        <f>IFERROR(__xludf.DUMMYFUNCTION("GOOGLETRANSLATE(B1663:B5064,""en"",""fr"")"),"rapidement")</f>
        <v>rapidement</v>
      </c>
    </row>
    <row r="1664" ht="19.5" customHeight="1">
      <c r="A1664" s="26" t="s">
        <v>4484</v>
      </c>
      <c r="B1664" s="27" t="s">
        <v>4485</v>
      </c>
      <c r="C1664" s="28" t="s">
        <v>178</v>
      </c>
      <c r="D1664" s="29">
        <v>190.0</v>
      </c>
      <c r="E1664" s="28" t="s">
        <v>4486</v>
      </c>
      <c r="F1664" s="7" t="str">
        <f>IFERROR(__xludf.DUMMYFUNCTION("GOOGLETRANSLATE(B1664:B5064,""en"",""fr"")"),"religion")</f>
        <v>religion</v>
      </c>
    </row>
    <row r="1665" ht="19.5" customHeight="1">
      <c r="A1665" s="26" t="s">
        <v>4487</v>
      </c>
      <c r="B1665" s="27" t="s">
        <v>4488</v>
      </c>
      <c r="C1665" s="28" t="s">
        <v>178</v>
      </c>
      <c r="D1665" s="29">
        <v>190.0</v>
      </c>
      <c r="E1665" s="28" t="s">
        <v>4489</v>
      </c>
      <c r="F1665" s="7" t="str">
        <f>IFERROR(__xludf.DUMMYFUNCTION("GOOGLETRANSLATE(B1665:B5064,""en"",""fr"")"),"neige")</f>
        <v>neige</v>
      </c>
    </row>
    <row r="1666" ht="19.5" customHeight="1">
      <c r="A1666" s="26" t="s">
        <v>4490</v>
      </c>
      <c r="B1666" s="27" t="s">
        <v>4491</v>
      </c>
      <c r="C1666" s="28" t="s">
        <v>728</v>
      </c>
      <c r="D1666" s="29">
        <v>190.0</v>
      </c>
      <c r="E1666" s="28" t="s">
        <v>4492</v>
      </c>
      <c r="F1666" s="7" t="str">
        <f>IFERROR(__xludf.DUMMYFUNCTION("GOOGLETRANSLATE(B1666:B5064,""en"",""fr"")"),"Mardi")</f>
        <v>Mardi</v>
      </c>
    </row>
    <row r="1667" ht="19.5" customHeight="1">
      <c r="A1667" s="26" t="s">
        <v>4493</v>
      </c>
      <c r="B1667" s="27" t="s">
        <v>4494</v>
      </c>
      <c r="C1667" s="28" t="s">
        <v>178</v>
      </c>
      <c r="D1667" s="29">
        <v>190.0</v>
      </c>
      <c r="E1667" s="28" t="s">
        <v>4495</v>
      </c>
      <c r="F1667" s="7" t="str">
        <f>IFERROR(__xludf.DUMMYFUNCTION("GOOGLETRANSLATE(B1667:B5064,""en"",""fr"")"),"version")</f>
        <v>version</v>
      </c>
    </row>
    <row r="1668" ht="19.5" customHeight="1">
      <c r="A1668" s="26" t="s">
        <v>4496</v>
      </c>
      <c r="B1668" s="27" t="s">
        <v>4497</v>
      </c>
      <c r="C1668" s="28" t="s">
        <v>178</v>
      </c>
      <c r="D1668" s="29">
        <v>190.0</v>
      </c>
      <c r="E1668" s="28" t="s">
        <v>4498</v>
      </c>
      <c r="F1668" s="7" t="str">
        <f>IFERROR(__xludf.DUMMYFUNCTION("GOOGLETRANSLATE(B1668:B5064,""en"",""fr"")"),"bombe")</f>
        <v>bombe</v>
      </c>
    </row>
    <row r="1669" ht="19.5" customHeight="1">
      <c r="A1669" s="26" t="s">
        <v>4499</v>
      </c>
      <c r="B1669" s="27" t="s">
        <v>1909</v>
      </c>
      <c r="C1669" s="28" t="s">
        <v>32</v>
      </c>
      <c r="D1669" s="29">
        <v>189.0</v>
      </c>
      <c r="E1669" s="28" t="s">
        <v>4500</v>
      </c>
      <c r="F1669" s="7" t="str">
        <f>IFERROR(__xludf.DUMMYFUNCTION("GOOGLETRANSLATE(B1669:B5064,""en"",""fr"")"),"clair")</f>
        <v>clair</v>
      </c>
    </row>
    <row r="1670" ht="19.5" customHeight="1">
      <c r="A1670" s="26" t="s">
        <v>4501</v>
      </c>
      <c r="B1670" s="27" t="s">
        <v>4502</v>
      </c>
      <c r="C1670" s="28" t="s">
        <v>178</v>
      </c>
      <c r="D1670" s="29">
        <v>189.0</v>
      </c>
      <c r="E1670" s="28" t="s">
        <v>4503</v>
      </c>
      <c r="F1670" s="7" t="str">
        <f>IFERROR(__xludf.DUMMYFUNCTION("GOOGLETRANSLATE(B1670:B5064,""en"",""fr"")"),"foi")</f>
        <v>foi</v>
      </c>
    </row>
    <row r="1671" ht="19.5" customHeight="1">
      <c r="A1671" s="26" t="s">
        <v>4504</v>
      </c>
      <c r="B1671" s="27" t="s">
        <v>4505</v>
      </c>
      <c r="C1671" s="28" t="s">
        <v>134</v>
      </c>
      <c r="D1671" s="29">
        <v>189.0</v>
      </c>
      <c r="E1671" s="28" t="s">
        <v>4505</v>
      </c>
      <c r="F1671" s="7" t="str">
        <f>IFERROR(__xludf.DUMMYFUNCTION("GOOGLETRANSLATE(B1671:B5064,""en"",""fr"")"),"innocent")</f>
        <v>innocent</v>
      </c>
    </row>
    <row r="1672" ht="19.5" customHeight="1">
      <c r="A1672" s="26" t="s">
        <v>4506</v>
      </c>
      <c r="B1672" s="27" t="s">
        <v>4507</v>
      </c>
      <c r="C1672" s="28" t="s">
        <v>32</v>
      </c>
      <c r="D1672" s="29">
        <v>189.0</v>
      </c>
      <c r="E1672" s="28" t="s">
        <v>4508</v>
      </c>
      <c r="F1672" s="7" t="str">
        <f>IFERROR(__xludf.DUMMYFUNCTION("GOOGLETRANSLATE(B1672:B5064,""en"",""fr"")"),"retirer")</f>
        <v>retirer</v>
      </c>
    </row>
    <row r="1673" ht="19.5" customHeight="1">
      <c r="A1673" s="26" t="s">
        <v>4509</v>
      </c>
      <c r="B1673" s="27" t="s">
        <v>4510</v>
      </c>
      <c r="C1673" s="28" t="s">
        <v>32</v>
      </c>
      <c r="D1673" s="29">
        <v>189.0</v>
      </c>
      <c r="E1673" s="28" t="s">
        <v>4511</v>
      </c>
      <c r="F1673" s="7" t="str">
        <f>IFERROR(__xludf.DUMMYFUNCTION("GOOGLETRANSLATE(B1673:B5064,""en"",""fr"")"),"survivre")</f>
        <v>survivre</v>
      </c>
    </row>
    <row r="1674" ht="19.5" customHeight="1">
      <c r="A1674" s="26" t="s">
        <v>4512</v>
      </c>
      <c r="B1674" s="27" t="s">
        <v>4513</v>
      </c>
      <c r="C1674" s="28" t="s">
        <v>178</v>
      </c>
      <c r="D1674" s="29">
        <v>188.0</v>
      </c>
      <c r="E1674" s="28" t="s">
        <v>4514</v>
      </c>
      <c r="F1674" s="7" t="str">
        <f>IFERROR(__xludf.DUMMYFUNCTION("GOOGLETRANSLATE(B1674:B5064,""en"",""fr"")"),"abeille")</f>
        <v>abeille</v>
      </c>
    </row>
    <row r="1675" ht="19.5" customHeight="1">
      <c r="A1675" s="26" t="s">
        <v>4515</v>
      </c>
      <c r="B1675" s="27" t="s">
        <v>4516</v>
      </c>
      <c r="C1675" s="28" t="s">
        <v>178</v>
      </c>
      <c r="D1675" s="29">
        <v>188.0</v>
      </c>
      <c r="E1675" s="28" t="s">
        <v>4517</v>
      </c>
      <c r="F1675" s="7" t="str">
        <f>IFERROR(__xludf.DUMMYFUNCTION("GOOGLETRANSLATE(B1675:B5064,""en"",""fr"")"),"mariée")</f>
        <v>mariée</v>
      </c>
    </row>
    <row r="1676" ht="19.5" customHeight="1">
      <c r="A1676" s="26" t="s">
        <v>4518</v>
      </c>
      <c r="B1676" s="27" t="s">
        <v>2755</v>
      </c>
      <c r="C1676" s="28" t="s">
        <v>178</v>
      </c>
      <c r="D1676" s="29">
        <v>188.0</v>
      </c>
      <c r="E1676" s="28" t="s">
        <v>4519</v>
      </c>
      <c r="F1676" s="7" t="str">
        <f>IFERROR(__xludf.DUMMYFUNCTION("GOOGLETRANSLATE(B1676:B5064,""en"",""fr"")"),"cause")</f>
        <v>cause</v>
      </c>
    </row>
    <row r="1677" ht="19.5" customHeight="1">
      <c r="A1677" s="26" t="s">
        <v>4520</v>
      </c>
      <c r="B1677" s="27" t="s">
        <v>4521</v>
      </c>
      <c r="C1677" s="28" t="s">
        <v>150</v>
      </c>
      <c r="D1677" s="29">
        <v>188.0</v>
      </c>
      <c r="E1677" s="28" t="s">
        <v>4522</v>
      </c>
      <c r="F1677" s="7" t="str">
        <f>IFERROR(__xludf.DUMMYFUNCTION("GOOGLETRANSLATE(B1677:B5064,""en"",""fr"")"),"cinquième")</f>
        <v>cinquième</v>
      </c>
    </row>
    <row r="1678" ht="19.5" customHeight="1">
      <c r="A1678" s="26" t="s">
        <v>4523</v>
      </c>
      <c r="B1678" s="27" t="s">
        <v>4524</v>
      </c>
      <c r="C1678" s="28" t="s">
        <v>36</v>
      </c>
      <c r="D1678" s="29">
        <v>188.0</v>
      </c>
      <c r="E1678" s="28" t="s">
        <v>4524</v>
      </c>
      <c r="F1678" s="7" t="str">
        <f>IFERROR(__xludf.DUMMYFUNCTION("GOOGLETRANSLATE(B1678:B5064,""en"",""fr"")"),"plusieurs")</f>
        <v>plusieurs</v>
      </c>
    </row>
    <row r="1679" ht="19.5" customHeight="1">
      <c r="A1679" s="26" t="s">
        <v>4525</v>
      </c>
      <c r="B1679" s="27" t="s">
        <v>4526</v>
      </c>
      <c r="C1679" s="28" t="s">
        <v>178</v>
      </c>
      <c r="D1679" s="29">
        <v>187.0</v>
      </c>
      <c r="E1679" s="28" t="s">
        <v>4527</v>
      </c>
      <c r="F1679" s="7" t="str">
        <f>IFERROR(__xludf.DUMMYFUNCTION("GOOGLETRANSLATE(B1679:B5064,""en"",""fr"")"),"basket-ball")</f>
        <v>basket-ball</v>
      </c>
    </row>
    <row r="1680" ht="19.5" customHeight="1">
      <c r="A1680" s="26" t="s">
        <v>4528</v>
      </c>
      <c r="B1680" s="27" t="s">
        <v>4529</v>
      </c>
      <c r="C1680" s="28" t="s">
        <v>178</v>
      </c>
      <c r="D1680" s="29">
        <v>187.0</v>
      </c>
      <c r="E1680" s="28" t="s">
        <v>4529</v>
      </c>
      <c r="F1680" s="7" t="str">
        <f>IFERROR(__xludf.DUMMYFUNCTION("GOOGLETRANSLATE(B1680:B5064,""en"",""fr"")"),"centre ville")</f>
        <v>centre ville</v>
      </c>
    </row>
    <row r="1681" ht="19.5" customHeight="1">
      <c r="A1681" s="26" t="s">
        <v>4530</v>
      </c>
      <c r="B1681" s="27" t="s">
        <v>4531</v>
      </c>
      <c r="C1681" s="28" t="s">
        <v>178</v>
      </c>
      <c r="D1681" s="29">
        <v>187.0</v>
      </c>
      <c r="E1681" s="28" t="s">
        <v>4532</v>
      </c>
      <c r="F1681" s="7" t="str">
        <f>IFERROR(__xludf.DUMMYFUNCTION("GOOGLETRANSLATE(B1681:B5064,""en"",""fr"")"),"éléphant")</f>
        <v>éléphant</v>
      </c>
    </row>
    <row r="1682" ht="19.5" customHeight="1">
      <c r="A1682" s="26" t="s">
        <v>4533</v>
      </c>
      <c r="B1682" s="27" t="s">
        <v>1674</v>
      </c>
      <c r="C1682" s="28" t="s">
        <v>178</v>
      </c>
      <c r="D1682" s="29">
        <v>187.0</v>
      </c>
      <c r="E1682" s="28" t="s">
        <v>4534</v>
      </c>
      <c r="F1682" s="7" t="str">
        <f>IFERROR(__xludf.DUMMYFUNCTION("GOOGLETRANSLATE(B1682:B5064,""en"",""fr"")"),"monstre")</f>
        <v>monstre</v>
      </c>
    </row>
    <row r="1683" ht="19.5" customHeight="1">
      <c r="A1683" s="26" t="s">
        <v>4535</v>
      </c>
      <c r="B1683" s="27" t="s">
        <v>4536</v>
      </c>
      <c r="C1683" s="28" t="s">
        <v>32</v>
      </c>
      <c r="D1683" s="29">
        <v>187.0</v>
      </c>
      <c r="E1683" s="28" t="s">
        <v>4537</v>
      </c>
      <c r="F1683" s="7" t="str">
        <f>IFERROR(__xludf.DUMMYFUNCTION("GOOGLETRANSLATE(B1683:B5064,""en"",""fr"")"),"essuyer")</f>
        <v>essuyer</v>
      </c>
    </row>
    <row r="1684" ht="19.5" customHeight="1">
      <c r="A1684" s="26" t="s">
        <v>4538</v>
      </c>
      <c r="B1684" s="27" t="s">
        <v>4539</v>
      </c>
      <c r="C1684" s="28" t="s">
        <v>32</v>
      </c>
      <c r="D1684" s="29">
        <v>186.0</v>
      </c>
      <c r="E1684" s="28" t="s">
        <v>4540</v>
      </c>
      <c r="F1684" s="7" t="str">
        <f>IFERROR(__xludf.DUMMYFUNCTION("GOOGLETRANSLATE(B1684:B5064,""en"",""fr"")"),"arrêter")</f>
        <v>arrêter</v>
      </c>
    </row>
    <row r="1685" ht="19.5" customHeight="1">
      <c r="A1685" s="26" t="s">
        <v>4541</v>
      </c>
      <c r="B1685" s="27" t="s">
        <v>4542</v>
      </c>
      <c r="C1685" s="28" t="s">
        <v>134</v>
      </c>
      <c r="D1685" s="29">
        <v>186.0</v>
      </c>
      <c r="E1685" s="28" t="s">
        <v>4542</v>
      </c>
      <c r="F1685" s="7" t="str">
        <f>IFERROR(__xludf.DUMMYFUNCTION("GOOGLETRANSLATE(B1685:B5064,""en"",""fr"")"),"ennuyé")</f>
        <v>ennuyé</v>
      </c>
    </row>
    <row r="1686" ht="19.5" customHeight="1">
      <c r="A1686" s="26" t="s">
        <v>4543</v>
      </c>
      <c r="B1686" s="27" t="s">
        <v>4544</v>
      </c>
      <c r="C1686" s="28" t="s">
        <v>178</v>
      </c>
      <c r="D1686" s="29">
        <v>186.0</v>
      </c>
      <c r="E1686" s="28" t="s">
        <v>4545</v>
      </c>
      <c r="F1686" s="7" t="str">
        <f>IFERROR(__xludf.DUMMYFUNCTION("GOOGLETRANSLATE(B1686:B5064,""en"",""fr"")"),"intimidateur")</f>
        <v>intimidateur</v>
      </c>
    </row>
    <row r="1687" ht="19.5" customHeight="1">
      <c r="A1687" s="26" t="s">
        <v>4546</v>
      </c>
      <c r="B1687" s="27" t="s">
        <v>4547</v>
      </c>
      <c r="C1687" s="28" t="s">
        <v>178</v>
      </c>
      <c r="D1687" s="29">
        <v>186.0</v>
      </c>
      <c r="E1687" s="28" t="s">
        <v>4548</v>
      </c>
      <c r="F1687" s="7" t="str">
        <f>IFERROR(__xludf.DUMMYFUNCTION("GOOGLETRANSLATE(B1687:B5064,""en"",""fr"")"),"horloge")</f>
        <v>horloge</v>
      </c>
    </row>
    <row r="1688" ht="19.5" customHeight="1">
      <c r="A1688" s="26" t="s">
        <v>4549</v>
      </c>
      <c r="B1688" s="27" t="s">
        <v>4550</v>
      </c>
      <c r="C1688" s="28" t="s">
        <v>100</v>
      </c>
      <c r="D1688" s="29">
        <v>186.0</v>
      </c>
      <c r="E1688" s="28" t="s">
        <v>4550</v>
      </c>
      <c r="F1688" s="7" t="str">
        <f>IFERROR(__xludf.DUMMYFUNCTION("GOOGLETRANSLATE(B1688:B5064,""en"",""fr"")"),"en effet")</f>
        <v>en effet</v>
      </c>
    </row>
    <row r="1689" ht="19.5" customHeight="1">
      <c r="A1689" s="26" t="s">
        <v>4551</v>
      </c>
      <c r="B1689" s="27" t="s">
        <v>4552</v>
      </c>
      <c r="C1689" s="28" t="s">
        <v>178</v>
      </c>
      <c r="D1689" s="29">
        <v>186.0</v>
      </c>
      <c r="E1689" s="28" t="s">
        <v>4553</v>
      </c>
      <c r="F1689" s="7" t="str">
        <f>IFERROR(__xludf.DUMMYFUNCTION("GOOGLETRANSLATE(B1689:B5064,""en"",""fr"")"),"massage")</f>
        <v>massage</v>
      </c>
    </row>
    <row r="1690" ht="19.5" customHeight="1">
      <c r="A1690" s="26" t="s">
        <v>4554</v>
      </c>
      <c r="B1690" s="27" t="s">
        <v>4555</v>
      </c>
      <c r="C1690" s="28" t="s">
        <v>178</v>
      </c>
      <c r="D1690" s="29">
        <v>186.0</v>
      </c>
      <c r="E1690" s="28" t="s">
        <v>4556</v>
      </c>
      <c r="F1690" s="7" t="str">
        <f>IFERROR(__xludf.DUMMYFUNCTION("GOOGLETRANSLATE(B1690:B5064,""en"",""fr"")"),"forme")</f>
        <v>forme</v>
      </c>
    </row>
    <row r="1691" ht="19.5" customHeight="1">
      <c r="A1691" s="26" t="s">
        <v>4557</v>
      </c>
      <c r="B1691" s="27" t="s">
        <v>4558</v>
      </c>
      <c r="C1691" s="28" t="s">
        <v>32</v>
      </c>
      <c r="D1691" s="29">
        <v>186.0</v>
      </c>
      <c r="E1691" s="28" t="s">
        <v>4559</v>
      </c>
      <c r="F1691" s="7" t="str">
        <f>IFERROR(__xludf.DUMMYFUNCTION("GOOGLETRANSLATE(B1691:B5064,""en"",""fr"")"),"sauter")</f>
        <v>sauter</v>
      </c>
    </row>
    <row r="1692" ht="19.5" customHeight="1">
      <c r="A1692" s="26" t="s">
        <v>4560</v>
      </c>
      <c r="B1692" s="27" t="s">
        <v>4315</v>
      </c>
      <c r="C1692" s="28" t="s">
        <v>32</v>
      </c>
      <c r="D1692" s="29">
        <v>186.0</v>
      </c>
      <c r="E1692" s="28" t="s">
        <v>4561</v>
      </c>
      <c r="F1692" s="7" t="str">
        <f>IFERROR(__xludf.DUMMYFUNCTION("GOOGLETRANSLATE(B1692:B5064,""en"",""fr"")"),"grève")</f>
        <v>grève</v>
      </c>
    </row>
    <row r="1693" ht="19.5" customHeight="1">
      <c r="A1693" s="26" t="s">
        <v>4562</v>
      </c>
      <c r="B1693" s="27" t="s">
        <v>4563</v>
      </c>
      <c r="C1693" s="28" t="s">
        <v>134</v>
      </c>
      <c r="D1693" s="29">
        <v>185.0</v>
      </c>
      <c r="E1693" s="28" t="s">
        <v>4564</v>
      </c>
      <c r="F1693" s="7" t="str">
        <f>IFERROR(__xludf.DUMMYFUNCTION("GOOGLETRANSLATE(B1693:B5064,""en"",""fr"")"),"sec")</f>
        <v>sec</v>
      </c>
    </row>
    <row r="1694" ht="19.5" customHeight="1">
      <c r="A1694" s="26" t="s">
        <v>4565</v>
      </c>
      <c r="B1694" s="27" t="s">
        <v>4566</v>
      </c>
      <c r="C1694" s="28" t="s">
        <v>32</v>
      </c>
      <c r="D1694" s="29">
        <v>185.0</v>
      </c>
      <c r="E1694" s="28" t="s">
        <v>4567</v>
      </c>
      <c r="F1694" s="7" t="str">
        <f>IFERROR(__xludf.DUMMYFUNCTION("GOOGLETRANSLATE(B1694:B5064,""en"",""fr"")"),"rester")</f>
        <v>rester</v>
      </c>
    </row>
    <row r="1695" ht="19.5" customHeight="1">
      <c r="A1695" s="26" t="s">
        <v>4568</v>
      </c>
      <c r="B1695" s="27" t="s">
        <v>4569</v>
      </c>
      <c r="C1695" s="28" t="s">
        <v>178</v>
      </c>
      <c r="D1695" s="29">
        <v>185.0</v>
      </c>
      <c r="E1695" s="28" t="s">
        <v>4570</v>
      </c>
      <c r="F1695" s="7" t="str">
        <f>IFERROR(__xludf.DUMMYFUNCTION("GOOGLETRANSLATE(B1695:B5064,""en"",""fr"")"),"style")</f>
        <v>style</v>
      </c>
    </row>
    <row r="1696" ht="19.5" customHeight="1">
      <c r="A1696" s="26" t="s">
        <v>4571</v>
      </c>
      <c r="B1696" s="27" t="s">
        <v>4572</v>
      </c>
      <c r="C1696" s="28" t="s">
        <v>178</v>
      </c>
      <c r="D1696" s="29">
        <v>185.0</v>
      </c>
      <c r="E1696" s="28" t="s">
        <v>4573</v>
      </c>
      <c r="F1696" s="7" t="str">
        <f>IFERROR(__xludf.DUMMYFUNCTION("GOOGLETRANSLATE(B1696:B5064,""en"",""fr"")"),"chirurgie")</f>
        <v>chirurgie</v>
      </c>
    </row>
    <row r="1697" ht="19.5" customHeight="1">
      <c r="A1697" s="26" t="s">
        <v>4574</v>
      </c>
      <c r="B1697" s="27" t="s">
        <v>4575</v>
      </c>
      <c r="C1697" s="28" t="s">
        <v>178</v>
      </c>
      <c r="D1697" s="29">
        <v>185.0</v>
      </c>
      <c r="E1697" s="28" t="s">
        <v>4576</v>
      </c>
      <c r="F1697" s="7" t="str">
        <f>IFERROR(__xludf.DUMMYFUNCTION("GOOGLETRANSLATE(B1697:B5064,""en"",""fr"")"),"doigt de pied")</f>
        <v>doigt de pied</v>
      </c>
    </row>
    <row r="1698" ht="19.5" customHeight="1">
      <c r="A1698" s="26" t="s">
        <v>4577</v>
      </c>
      <c r="B1698" s="27" t="s">
        <v>4578</v>
      </c>
      <c r="C1698" s="28" t="s">
        <v>178</v>
      </c>
      <c r="D1698" s="29">
        <v>185.0</v>
      </c>
      <c r="E1698" s="28" t="s">
        <v>4579</v>
      </c>
      <c r="F1698" s="7" t="str">
        <f>IFERROR(__xludf.DUMMYFUNCTION("GOOGLETRANSLATE(B1698:B5064,""en"",""fr"")"),"cour")</f>
        <v>cour</v>
      </c>
    </row>
    <row r="1699" ht="19.5" customHeight="1">
      <c r="A1699" s="26" t="s">
        <v>4580</v>
      </c>
      <c r="B1699" s="27" t="s">
        <v>4581</v>
      </c>
      <c r="C1699" s="28" t="s">
        <v>134</v>
      </c>
      <c r="D1699" s="29">
        <v>184.0</v>
      </c>
      <c r="E1699" s="28" t="s">
        <v>4581</v>
      </c>
      <c r="F1699" s="7" t="str">
        <f>IFERROR(__xludf.DUMMYFUNCTION("GOOGLETRANSLATE(B1699:B5064,""en"",""fr"")"),"brillant")</f>
        <v>brillant</v>
      </c>
    </row>
    <row r="1700" ht="19.5" customHeight="1">
      <c r="A1700" s="26" t="s">
        <v>4582</v>
      </c>
      <c r="B1700" s="27" t="s">
        <v>4583</v>
      </c>
      <c r="C1700" s="28" t="s">
        <v>178</v>
      </c>
      <c r="D1700" s="29">
        <v>184.0</v>
      </c>
      <c r="E1700" s="28" t="s">
        <v>4584</v>
      </c>
      <c r="F1700" s="7" t="str">
        <f>IFERROR(__xludf.DUMMYFUNCTION("GOOGLETRANSLATE(B1700:B5064,""en"",""fr"")"),"cercle")</f>
        <v>cercle</v>
      </c>
    </row>
    <row r="1701" ht="19.5" customHeight="1">
      <c r="A1701" s="26" t="s">
        <v>4585</v>
      </c>
      <c r="B1701" s="27" t="s">
        <v>4586</v>
      </c>
      <c r="C1701" s="28" t="s">
        <v>178</v>
      </c>
      <c r="D1701" s="29">
        <v>184.0</v>
      </c>
      <c r="E1701" s="28" t="s">
        <v>4587</v>
      </c>
      <c r="F1701" s="7" t="str">
        <f>IFERROR(__xludf.DUMMYFUNCTION("GOOGLETRANSLATE(B1701:B5064,""en"",""fr"")"),"devoir")</f>
        <v>devoir</v>
      </c>
    </row>
    <row r="1702" ht="19.5" customHeight="1">
      <c r="A1702" s="26" t="s">
        <v>4588</v>
      </c>
      <c r="B1702" s="27" t="s">
        <v>4589</v>
      </c>
      <c r="C1702" s="28" t="s">
        <v>178</v>
      </c>
      <c r="D1702" s="29">
        <v>184.0</v>
      </c>
      <c r="E1702" s="28" t="s">
        <v>4590</v>
      </c>
      <c r="F1702" s="7" t="str">
        <f>IFERROR(__xludf.DUMMYFUNCTION("GOOGLETRANSLATE(B1702:B5064,""en"",""fr"")"),"ennemi")</f>
        <v>ennemi</v>
      </c>
    </row>
    <row r="1703" ht="19.5" customHeight="1">
      <c r="A1703" s="26" t="s">
        <v>4591</v>
      </c>
      <c r="B1703" s="27" t="s">
        <v>4592</v>
      </c>
      <c r="C1703" s="28" t="s">
        <v>178</v>
      </c>
      <c r="D1703" s="29">
        <v>184.0</v>
      </c>
      <c r="E1703" s="28" t="s">
        <v>4593</v>
      </c>
      <c r="F1703" s="7" t="str">
        <f>IFERROR(__xludf.DUMMYFUNCTION("GOOGLETRANSLATE(B1703:B5064,""en"",""fr"")"),"se concentrer")</f>
        <v>se concentrer</v>
      </c>
    </row>
    <row r="1704" ht="19.5" customHeight="1">
      <c r="A1704" s="26" t="s">
        <v>4594</v>
      </c>
      <c r="B1704" s="27" t="s">
        <v>4595</v>
      </c>
      <c r="C1704" s="28" t="s">
        <v>178</v>
      </c>
      <c r="D1704" s="29">
        <v>184.0</v>
      </c>
      <c r="E1704" s="28" t="s">
        <v>4596</v>
      </c>
      <c r="F1704" s="7" t="str">
        <f>IFERROR(__xludf.DUMMYFUNCTION("GOOGLETRANSLATE(B1704:B5064,""en"",""fr"")"),"amoureux")</f>
        <v>amoureux</v>
      </c>
    </row>
    <row r="1705" ht="19.5" customHeight="1">
      <c r="A1705" s="26" t="s">
        <v>4597</v>
      </c>
      <c r="B1705" s="27" t="s">
        <v>4598</v>
      </c>
      <c r="C1705" s="28" t="s">
        <v>178</v>
      </c>
      <c r="D1705" s="29">
        <v>184.0</v>
      </c>
      <c r="E1705" s="28" t="s">
        <v>4598</v>
      </c>
      <c r="F1705" s="7" t="str">
        <f>IFERROR(__xludf.DUMMYFUNCTION("GOOGLETRANSLATE(B1705:B5064,""en"",""fr"")"),"minuit")</f>
        <v>minuit</v>
      </c>
    </row>
    <row r="1706" ht="19.5" customHeight="1">
      <c r="A1706" s="26" t="s">
        <v>4599</v>
      </c>
      <c r="B1706" s="27" t="s">
        <v>4600</v>
      </c>
      <c r="C1706" s="28" t="s">
        <v>100</v>
      </c>
      <c r="D1706" s="29">
        <v>184.0</v>
      </c>
      <c r="E1706" s="28" t="s">
        <v>4600</v>
      </c>
      <c r="F1706" s="7" t="str">
        <f>IFERROR(__xludf.DUMMYFUNCTION("GOOGLETRANSLATE(B1706:B5064,""en"",""fr"")"),"simplement")</f>
        <v>simplement</v>
      </c>
    </row>
    <row r="1707" ht="19.5" customHeight="1">
      <c r="A1707" s="26" t="s">
        <v>4601</v>
      </c>
      <c r="B1707" s="27" t="s">
        <v>4602</v>
      </c>
      <c r="C1707" s="28" t="s">
        <v>728</v>
      </c>
      <c r="D1707" s="29">
        <v>184.0</v>
      </c>
      <c r="E1707" s="28" t="s">
        <v>4602</v>
      </c>
      <c r="F1707" s="7" t="str">
        <f>IFERROR(__xludf.DUMMYFUNCTION("GOOGLETRANSLATE(B1707:B5064,""en"",""fr"")"),"Espagnol")</f>
        <v>Espagnol</v>
      </c>
    </row>
    <row r="1708" ht="19.5" customHeight="1">
      <c r="A1708" s="26" t="s">
        <v>4603</v>
      </c>
      <c r="B1708" s="27" t="s">
        <v>4604</v>
      </c>
      <c r="C1708" s="28" t="s">
        <v>85</v>
      </c>
      <c r="D1708" s="29">
        <v>183.0</v>
      </c>
      <c r="E1708" s="28" t="s">
        <v>4604</v>
      </c>
      <c r="F1708" s="7" t="str">
        <f>IFERROR(__xludf.DUMMYFUNCTION("GOOGLETRANSLATE(B1708:B5064,""en"",""fr"")"),"boom")</f>
        <v>boom</v>
      </c>
    </row>
    <row r="1709" ht="19.5" customHeight="1">
      <c r="A1709" s="26" t="s">
        <v>4605</v>
      </c>
      <c r="B1709" s="27" t="s">
        <v>4606</v>
      </c>
      <c r="C1709" s="28" t="s">
        <v>32</v>
      </c>
      <c r="D1709" s="29">
        <v>183.0</v>
      </c>
      <c r="E1709" s="28" t="s">
        <v>4607</v>
      </c>
      <c r="F1709" s="7" t="str">
        <f>IFERROR(__xludf.DUMMYFUNCTION("GOOGLETRANSLATE(B1709:B5064,""en"",""fr"")"),"décrire")</f>
        <v>décrire</v>
      </c>
    </row>
    <row r="1710" ht="19.5" customHeight="1">
      <c r="A1710" s="26" t="s">
        <v>4608</v>
      </c>
      <c r="B1710" s="27" t="s">
        <v>4609</v>
      </c>
      <c r="C1710" s="28" t="s">
        <v>134</v>
      </c>
      <c r="D1710" s="29">
        <v>183.0</v>
      </c>
      <c r="E1710" s="28" t="s">
        <v>4609</v>
      </c>
      <c r="F1710" s="7" t="str">
        <f>IFERROR(__xludf.DUMMYFUNCTION("GOOGLETRANSLATE(B1710:B5064,""en"",""fr"")"),"légal")</f>
        <v>légal</v>
      </c>
    </row>
    <row r="1711" ht="19.5" customHeight="1">
      <c r="A1711" s="26" t="s">
        <v>4610</v>
      </c>
      <c r="B1711" s="27" t="s">
        <v>4611</v>
      </c>
      <c r="C1711" s="28" t="s">
        <v>728</v>
      </c>
      <c r="D1711" s="29">
        <v>183.0</v>
      </c>
      <c r="E1711" s="28" t="s">
        <v>4612</v>
      </c>
      <c r="F1711" s="7" t="str">
        <f>IFERROR(__xludf.DUMMYFUNCTION("GOOGLETRANSLATE(B1711:B5064,""en"",""fr"")"),"mexicain")</f>
        <v>mexicain</v>
      </c>
    </row>
    <row r="1712" ht="19.5" customHeight="1">
      <c r="A1712" s="26" t="s">
        <v>4613</v>
      </c>
      <c r="B1712" s="27" t="s">
        <v>4614</v>
      </c>
      <c r="C1712" s="28" t="s">
        <v>134</v>
      </c>
      <c r="D1712" s="29">
        <v>183.0</v>
      </c>
      <c r="E1712" s="28" t="s">
        <v>4615</v>
      </c>
      <c r="F1712" s="7" t="str">
        <f>IFERROR(__xludf.DUMMYFUNCTION("GOOGLETRANSLATE(B1712:B5064,""en"",""fr"")"),"puissant")</f>
        <v>puissant</v>
      </c>
    </row>
    <row r="1713" ht="19.5" customHeight="1">
      <c r="A1713" s="26" t="s">
        <v>4616</v>
      </c>
      <c r="B1713" s="27" t="s">
        <v>4617</v>
      </c>
      <c r="C1713" s="28" t="s">
        <v>178</v>
      </c>
      <c r="D1713" s="29">
        <v>183.0</v>
      </c>
      <c r="E1713" s="28" t="s">
        <v>4617</v>
      </c>
      <c r="F1713" s="7" t="str">
        <f>IFERROR(__xludf.DUMMYFUNCTION("GOOGLETRANSLATE(B1713:B5064,""en"",""fr"")"),"série")</f>
        <v>série</v>
      </c>
    </row>
    <row r="1714" ht="19.5" customHeight="1">
      <c r="A1714" s="26" t="s">
        <v>4618</v>
      </c>
      <c r="B1714" s="27" t="s">
        <v>4619</v>
      </c>
      <c r="C1714" s="28" t="s">
        <v>178</v>
      </c>
      <c r="D1714" s="29">
        <v>183.0</v>
      </c>
      <c r="E1714" s="28" t="s">
        <v>4620</v>
      </c>
      <c r="F1714" s="7" t="str">
        <f>IFERROR(__xludf.DUMMYFUNCTION("GOOGLETRANSLATE(B1714:B5064,""en"",""fr"")"),"fil")</f>
        <v>fil</v>
      </c>
    </row>
    <row r="1715" ht="19.5" customHeight="1">
      <c r="A1715" s="26" t="s">
        <v>4621</v>
      </c>
      <c r="B1715" s="27" t="s">
        <v>4622</v>
      </c>
      <c r="C1715" s="28" t="s">
        <v>178</v>
      </c>
      <c r="D1715" s="29">
        <v>182.0</v>
      </c>
      <c r="E1715" s="28" t="s">
        <v>4623</v>
      </c>
      <c r="F1715" s="7" t="str">
        <f>IFERROR(__xludf.DUMMYFUNCTION("GOOGLETRANSLATE(B1715:B5064,""en"",""fr"")"),"bougie")</f>
        <v>bougie</v>
      </c>
    </row>
    <row r="1716" ht="19.5" customHeight="1">
      <c r="A1716" s="26" t="s">
        <v>4624</v>
      </c>
      <c r="B1716" s="27" t="s">
        <v>4625</v>
      </c>
      <c r="C1716" s="28" t="s">
        <v>178</v>
      </c>
      <c r="D1716" s="29">
        <v>182.0</v>
      </c>
      <c r="E1716" s="28" t="s">
        <v>4626</v>
      </c>
      <c r="F1716" s="7" t="str">
        <f>IFERROR(__xludf.DUMMYFUNCTION("GOOGLETRANSLATE(B1716:B5064,""en"",""fr"")"),"couche")</f>
        <v>couche</v>
      </c>
    </row>
    <row r="1717" ht="19.5" customHeight="1">
      <c r="A1717" s="26" t="s">
        <v>4627</v>
      </c>
      <c r="B1717" s="27" t="s">
        <v>4628</v>
      </c>
      <c r="C1717" s="28" t="s">
        <v>178</v>
      </c>
      <c r="D1717" s="29">
        <v>182.0</v>
      </c>
      <c r="E1717" s="28" t="s">
        <v>4629</v>
      </c>
      <c r="F1717" s="7" t="str">
        <f>IFERROR(__xludf.DUMMYFUNCTION("GOOGLETRANSLATE(B1717:B5064,""en"",""fr"")"),"direction")</f>
        <v>direction</v>
      </c>
    </row>
    <row r="1718" ht="19.5" customHeight="1">
      <c r="A1718" s="26" t="s">
        <v>4630</v>
      </c>
      <c r="B1718" s="27" t="s">
        <v>3790</v>
      </c>
      <c r="C1718" s="28" t="s">
        <v>32</v>
      </c>
      <c r="D1718" s="29">
        <v>182.0</v>
      </c>
      <c r="E1718" s="28" t="s">
        <v>4631</v>
      </c>
      <c r="F1718" s="7" t="str">
        <f>IFERROR(__xludf.DUMMYFUNCTION("GOOGLETRANSLATE(B1718:B5064,""en"",""fr"")"),"divorce")</f>
        <v>divorce</v>
      </c>
    </row>
    <row r="1719" ht="19.5" customHeight="1">
      <c r="A1719" s="26" t="s">
        <v>4632</v>
      </c>
      <c r="B1719" s="27" t="s">
        <v>4633</v>
      </c>
      <c r="C1719" s="28" t="s">
        <v>150</v>
      </c>
      <c r="D1719" s="29">
        <v>182.0</v>
      </c>
      <c r="E1719" s="28" t="s">
        <v>4634</v>
      </c>
      <c r="F1719" s="7" t="str">
        <f>IFERROR(__xludf.DUMMYFUNCTION("GOOGLETRANSLATE(B1719:B5064,""en"",""fr"")"),"dix-huit")</f>
        <v>dix-huit</v>
      </c>
    </row>
    <row r="1720" ht="19.5" customHeight="1">
      <c r="A1720" s="26" t="s">
        <v>4635</v>
      </c>
      <c r="B1720" s="27" t="s">
        <v>4636</v>
      </c>
      <c r="C1720" s="28" t="s">
        <v>32</v>
      </c>
      <c r="D1720" s="29">
        <v>182.0</v>
      </c>
      <c r="E1720" s="28" t="s">
        <v>4637</v>
      </c>
      <c r="F1720" s="7" t="str">
        <f>IFERROR(__xludf.DUMMYFUNCTION("GOOGLETRANSLATE(B1720:B5064,""en"",""fr"")"),"exprimer")</f>
        <v>exprimer</v>
      </c>
    </row>
    <row r="1721" ht="19.5" customHeight="1">
      <c r="A1721" s="26" t="s">
        <v>4638</v>
      </c>
      <c r="B1721" s="27" t="s">
        <v>4639</v>
      </c>
      <c r="C1721" s="28" t="s">
        <v>178</v>
      </c>
      <c r="D1721" s="29">
        <v>182.0</v>
      </c>
      <c r="E1721" s="28" t="s">
        <v>4640</v>
      </c>
      <c r="F1721" s="7" t="str">
        <f>IFERROR(__xludf.DUMMYFUNCTION("GOOGLETRANSLATE(B1721:B5064,""en"",""fr"")"),"Plastique")</f>
        <v>Plastique</v>
      </c>
    </row>
    <row r="1722" ht="19.5" customHeight="1">
      <c r="A1722" s="26" t="s">
        <v>4641</v>
      </c>
      <c r="B1722" s="27" t="s">
        <v>4642</v>
      </c>
      <c r="C1722" s="28" t="s">
        <v>178</v>
      </c>
      <c r="D1722" s="29">
        <v>182.0</v>
      </c>
      <c r="E1722" s="28" t="s">
        <v>4643</v>
      </c>
      <c r="F1722" s="7" t="str">
        <f>IFERROR(__xludf.DUMMYFUNCTION("GOOGLETRANSLATE(B1722:B5064,""en"",""fr"")"),"responsabilité")</f>
        <v>responsabilité</v>
      </c>
    </row>
    <row r="1723" ht="19.5" customHeight="1">
      <c r="A1723" s="26" t="s">
        <v>4644</v>
      </c>
      <c r="B1723" s="27" t="s">
        <v>4645</v>
      </c>
      <c r="C1723" s="28" t="s">
        <v>32</v>
      </c>
      <c r="D1723" s="29">
        <v>182.0</v>
      </c>
      <c r="E1723" s="28" t="s">
        <v>4646</v>
      </c>
      <c r="F1723" s="7" t="str">
        <f>IFERROR(__xludf.DUMMYFUNCTION("GOOGLETRANSLATE(B1723:B5064,""en"",""fr"")"),"affamer")</f>
        <v>affamer</v>
      </c>
    </row>
    <row r="1724" ht="19.5" customHeight="1">
      <c r="A1724" s="26" t="s">
        <v>4647</v>
      </c>
      <c r="B1724" s="27" t="s">
        <v>4648</v>
      </c>
      <c r="C1724" s="28" t="s">
        <v>134</v>
      </c>
      <c r="D1724" s="29">
        <v>182.0</v>
      </c>
      <c r="E1724" s="28" t="s">
        <v>4648</v>
      </c>
      <c r="F1724" s="7" t="str">
        <f>IFERROR(__xludf.DUMMYFUNCTION("GOOGLETRANSLATE(B1724:B5064,""en"",""fr"")"),"uni")</f>
        <v>uni</v>
      </c>
    </row>
    <row r="1725" ht="19.5" customHeight="1">
      <c r="A1725" s="26" t="s">
        <v>4649</v>
      </c>
      <c r="B1725" s="27" t="s">
        <v>4650</v>
      </c>
      <c r="C1725" s="28" t="s">
        <v>178</v>
      </c>
      <c r="D1725" s="29">
        <v>182.0</v>
      </c>
      <c r="E1725" s="28" t="s">
        <v>4651</v>
      </c>
      <c r="F1725" s="7" t="str">
        <f>IFERROR(__xludf.DUMMYFUNCTION("GOOGLETRANSLATE(B1725:B5064,""en"",""fr"")"),"ouvrier")</f>
        <v>ouvrier</v>
      </c>
    </row>
    <row r="1726" ht="19.5" customHeight="1">
      <c r="A1726" s="26" t="s">
        <v>4652</v>
      </c>
      <c r="B1726" s="27" t="s">
        <v>4653</v>
      </c>
      <c r="C1726" s="28" t="s">
        <v>4654</v>
      </c>
      <c r="D1726" s="29">
        <v>181.0</v>
      </c>
      <c r="E1726" s="28" t="s">
        <v>4653</v>
      </c>
      <c r="F1726" s="7" t="str">
        <f>IFERROR(__xludf.DUMMYFUNCTION("GOOGLETRANSLATE(B1726:B5064,""en"",""fr"")"),"sida")</f>
        <v>sida</v>
      </c>
    </row>
    <row r="1727" ht="19.5" customHeight="1">
      <c r="A1727" s="26" t="s">
        <v>4655</v>
      </c>
      <c r="B1727" s="27" t="s">
        <v>811</v>
      </c>
      <c r="C1727" s="28" t="s">
        <v>178</v>
      </c>
      <c r="D1727" s="29">
        <v>181.0</v>
      </c>
      <c r="E1727" s="28" t="s">
        <v>4656</v>
      </c>
      <c r="F1727" s="7" t="str">
        <f>IFERROR(__xludf.DUMMYFUNCTION("GOOGLETRANSLATE(B1727:B5064,""en"",""fr"")"),"espoir")</f>
        <v>espoir</v>
      </c>
    </row>
    <row r="1728" ht="19.5" customHeight="1">
      <c r="A1728" s="26" t="s">
        <v>4657</v>
      </c>
      <c r="B1728" s="27" t="s">
        <v>4658</v>
      </c>
      <c r="C1728" s="28" t="s">
        <v>100</v>
      </c>
      <c r="D1728" s="29">
        <v>181.0</v>
      </c>
      <c r="E1728" s="28" t="s">
        <v>4658</v>
      </c>
      <c r="F1728" s="7" t="str">
        <f>IFERROR(__xludf.DUMMYFUNCTION("GOOGLETRANSLATE(B1728:B5064,""en"",""fr"")"),"immédiatement")</f>
        <v>immédiatement</v>
      </c>
    </row>
    <row r="1729" ht="19.5" customHeight="1">
      <c r="A1729" s="26" t="s">
        <v>4659</v>
      </c>
      <c r="B1729" s="27" t="s">
        <v>4660</v>
      </c>
      <c r="C1729" s="28" t="s">
        <v>100</v>
      </c>
      <c r="D1729" s="29">
        <v>181.0</v>
      </c>
      <c r="E1729" s="28" t="s">
        <v>4660</v>
      </c>
      <c r="F1729" s="7" t="str">
        <f>IFERROR(__xludf.DUMMYFUNCTION("GOOGLETRANSLATE(B1729:B5064,""en"",""fr"")"),"nulle part")</f>
        <v>nulle part</v>
      </c>
    </row>
    <row r="1730" ht="19.5" customHeight="1">
      <c r="A1730" s="26" t="s">
        <v>4661</v>
      </c>
      <c r="B1730" s="27" t="s">
        <v>4662</v>
      </c>
      <c r="C1730" s="28" t="s">
        <v>32</v>
      </c>
      <c r="D1730" s="29">
        <v>181.0</v>
      </c>
      <c r="E1730" s="28" t="s">
        <v>4663</v>
      </c>
      <c r="F1730" s="7" t="str">
        <f>IFERROR(__xludf.DUMMYFUNCTION("GOOGLETRANSLATE(B1730:B5064,""en"",""fr"")"),"séparé")</f>
        <v>séparé</v>
      </c>
    </row>
    <row r="1731" ht="19.5" customHeight="1">
      <c r="A1731" s="26" t="s">
        <v>4664</v>
      </c>
      <c r="B1731" s="27" t="s">
        <v>536</v>
      </c>
      <c r="C1731" s="28" t="s">
        <v>178</v>
      </c>
      <c r="D1731" s="29">
        <v>181.0</v>
      </c>
      <c r="E1731" s="28" t="s">
        <v>4665</v>
      </c>
      <c r="F1731" s="7" t="str">
        <f>IFERROR(__xludf.DUMMYFUNCTION("GOOGLETRANSLATE(B1731:B5064,""en"",""fr"")"),"montre")</f>
        <v>montre</v>
      </c>
    </row>
    <row r="1732" ht="19.5" customHeight="1">
      <c r="A1732" s="26" t="s">
        <v>4666</v>
      </c>
      <c r="B1732" s="27" t="s">
        <v>4667</v>
      </c>
      <c r="C1732" s="28" t="s">
        <v>134</v>
      </c>
      <c r="D1732" s="29">
        <v>180.0</v>
      </c>
      <c r="E1732" s="28" t="s">
        <v>4667</v>
      </c>
      <c r="F1732" s="7" t="str">
        <f>IFERROR(__xludf.DUMMYFUNCTION("GOOGLETRANSLATE(B1732:B5064,""en"",""fr"")"),"émotionnel")</f>
        <v>émotionnel</v>
      </c>
    </row>
    <row r="1733" ht="19.5" customHeight="1">
      <c r="A1733" s="26" t="s">
        <v>4668</v>
      </c>
      <c r="B1733" s="27" t="s">
        <v>4669</v>
      </c>
      <c r="C1733" s="28" t="s">
        <v>100</v>
      </c>
      <c r="D1733" s="29">
        <v>180.0</v>
      </c>
      <c r="E1733" s="28" t="s">
        <v>4669</v>
      </c>
      <c r="F1733" s="7" t="str">
        <f>IFERROR(__xludf.DUMMYFUNCTION("GOOGLETRANSLATE(B1733:B5064,""en"",""fr"")"),"à peine")</f>
        <v>à peine</v>
      </c>
    </row>
    <row r="1734" ht="19.5" customHeight="1">
      <c r="A1734" s="26" t="s">
        <v>4670</v>
      </c>
      <c r="B1734" s="27" t="s">
        <v>4671</v>
      </c>
      <c r="C1734" s="28" t="s">
        <v>178</v>
      </c>
      <c r="D1734" s="29">
        <v>180.0</v>
      </c>
      <c r="E1734" s="28" t="s">
        <v>4672</v>
      </c>
      <c r="F1734" s="7" t="str">
        <f>IFERROR(__xludf.DUMMYFUNCTION("GOOGLETRANSLATE(B1734:B5064,""en"",""fr"")"),"pilote")</f>
        <v>pilote</v>
      </c>
    </row>
    <row r="1735" ht="19.5" customHeight="1">
      <c r="A1735" s="26" t="s">
        <v>4673</v>
      </c>
      <c r="B1735" s="27" t="s">
        <v>4674</v>
      </c>
      <c r="C1735" s="28" t="s">
        <v>178</v>
      </c>
      <c r="D1735" s="29">
        <v>180.0</v>
      </c>
      <c r="E1735" s="28" t="s">
        <v>4675</v>
      </c>
      <c r="F1735" s="7" t="str">
        <f>IFERROR(__xludf.DUMMYFUNCTION("GOOGLETRANSLATE(B1735:B5064,""en"",""fr"")"),"vampire")</f>
        <v>vampire</v>
      </c>
    </row>
    <row r="1736" ht="19.5" customHeight="1">
      <c r="A1736" s="26" t="s">
        <v>4676</v>
      </c>
      <c r="B1736" s="27" t="s">
        <v>4677</v>
      </c>
      <c r="C1736" s="28" t="s">
        <v>178</v>
      </c>
      <c r="D1736" s="29">
        <v>179.0</v>
      </c>
      <c r="E1736" s="28" t="s">
        <v>4678</v>
      </c>
      <c r="F1736" s="7" t="str">
        <f>IFERROR(__xludf.DUMMYFUNCTION("GOOGLETRANSLATE(B1736:B5064,""en"",""fr"")"),"attitude")</f>
        <v>attitude</v>
      </c>
    </row>
    <row r="1737" ht="19.5" customHeight="1">
      <c r="A1737" s="26" t="s">
        <v>4679</v>
      </c>
      <c r="B1737" s="27" t="s">
        <v>4680</v>
      </c>
      <c r="C1737" s="28" t="s">
        <v>178</v>
      </c>
      <c r="D1737" s="29">
        <v>179.0</v>
      </c>
      <c r="E1737" s="28" t="s">
        <v>4681</v>
      </c>
      <c r="F1737" s="7" t="str">
        <f>IFERROR(__xludf.DUMMYFUNCTION("GOOGLETRANSLATE(B1737:B5064,""en"",""fr"")"),"ballon")</f>
        <v>ballon</v>
      </c>
    </row>
    <row r="1738" ht="19.5" customHeight="1">
      <c r="A1738" s="26" t="s">
        <v>4682</v>
      </c>
      <c r="B1738" s="27" t="s">
        <v>4683</v>
      </c>
      <c r="C1738" s="28" t="s">
        <v>134</v>
      </c>
      <c r="D1738" s="29">
        <v>179.0</v>
      </c>
      <c r="E1738" s="28" t="s">
        <v>4683</v>
      </c>
      <c r="F1738" s="7" t="str">
        <f>IFERROR(__xludf.DUMMYFUNCTION("GOOGLETRANSLATE(B1738:B5064,""en"",""fr"")"),"exact")</f>
        <v>exact</v>
      </c>
    </row>
    <row r="1739" ht="19.5" customHeight="1">
      <c r="A1739" s="26" t="s">
        <v>4684</v>
      </c>
      <c r="B1739" s="27" t="s">
        <v>4685</v>
      </c>
      <c r="C1739" s="28" t="s">
        <v>100</v>
      </c>
      <c r="D1739" s="29">
        <v>179.0</v>
      </c>
      <c r="E1739" s="28" t="s">
        <v>4685</v>
      </c>
      <c r="F1739" s="7" t="str">
        <f>IFERROR(__xludf.DUMMYFUNCTION("GOOGLETRANSLATE(B1739:B5064,""en"",""fr"")"),"franchement")</f>
        <v>franchement</v>
      </c>
    </row>
    <row r="1740" ht="19.5" customHeight="1">
      <c r="A1740" s="26" t="s">
        <v>4686</v>
      </c>
      <c r="B1740" s="27" t="s">
        <v>4687</v>
      </c>
      <c r="C1740" s="28" t="s">
        <v>178</v>
      </c>
      <c r="D1740" s="29">
        <v>179.0</v>
      </c>
      <c r="E1740" s="28" t="s">
        <v>4688</v>
      </c>
      <c r="F1740" s="7" t="str">
        <f>IFERROR(__xludf.DUMMYFUNCTION("GOOGLETRANSLATE(B1740:B5064,""en"",""fr"")"),"hanche")</f>
        <v>hanche</v>
      </c>
    </row>
    <row r="1741" ht="19.5" customHeight="1">
      <c r="A1741" s="26" t="s">
        <v>4689</v>
      </c>
      <c r="B1741" s="27" t="s">
        <v>4690</v>
      </c>
      <c r="C1741" s="28" t="s">
        <v>178</v>
      </c>
      <c r="D1741" s="29">
        <v>179.0</v>
      </c>
      <c r="E1741" s="28" t="s">
        <v>4691</v>
      </c>
      <c r="F1741" s="7" t="str">
        <f>IFERROR(__xludf.DUMMYFUNCTION("GOOGLETRANSLATE(B1741:B5064,""en"",""fr"")"),"animal de compagnie")</f>
        <v>animal de compagnie</v>
      </c>
    </row>
    <row r="1742" ht="19.5" customHeight="1">
      <c r="A1742" s="26" t="s">
        <v>4692</v>
      </c>
      <c r="B1742" s="27" t="s">
        <v>4693</v>
      </c>
      <c r="C1742" s="28" t="s">
        <v>178</v>
      </c>
      <c r="D1742" s="29">
        <v>179.0</v>
      </c>
      <c r="E1742" s="28" t="s">
        <v>4694</v>
      </c>
      <c r="F1742" s="7" t="str">
        <f>IFERROR(__xludf.DUMMYFUNCTION("GOOGLETRANSLATE(B1742:B5064,""en"",""fr"")"),"blague")</f>
        <v>blague</v>
      </c>
    </row>
    <row r="1743" ht="19.5" customHeight="1">
      <c r="A1743" s="26" t="s">
        <v>4695</v>
      </c>
      <c r="B1743" s="27" t="s">
        <v>4696</v>
      </c>
      <c r="C1743" s="28" t="s">
        <v>178</v>
      </c>
      <c r="D1743" s="29">
        <v>178.0</v>
      </c>
      <c r="E1743" s="28" t="s">
        <v>4697</v>
      </c>
      <c r="F1743" s="7" t="str">
        <f>IFERROR(__xludf.DUMMYFUNCTION("GOOGLETRANSLATE(B1743:B5064,""en"",""fr"")"),"annonce")</f>
        <v>annonce</v>
      </c>
    </row>
    <row r="1744" ht="19.5" customHeight="1">
      <c r="A1744" s="26" t="s">
        <v>4698</v>
      </c>
      <c r="B1744" s="27" t="s">
        <v>4699</v>
      </c>
      <c r="C1744" s="28" t="s">
        <v>178</v>
      </c>
      <c r="D1744" s="29">
        <v>178.0</v>
      </c>
      <c r="E1744" s="28" t="s">
        <v>4700</v>
      </c>
      <c r="F1744" s="7" t="str">
        <f>IFERROR(__xludf.DUMMYFUNCTION("GOOGLETRANSLATE(B1744:B5064,""en"",""fr"")"),"effet")</f>
        <v>effet</v>
      </c>
    </row>
    <row r="1745" ht="19.5" customHeight="1">
      <c r="A1745" s="26" t="s">
        <v>4701</v>
      </c>
      <c r="B1745" s="27" t="s">
        <v>4702</v>
      </c>
      <c r="C1745" s="28" t="s">
        <v>32</v>
      </c>
      <c r="D1745" s="29">
        <v>178.0</v>
      </c>
      <c r="E1745" s="28" t="s">
        <v>4703</v>
      </c>
      <c r="F1745" s="7" t="str">
        <f>IFERROR(__xludf.DUMMYFUNCTION("GOOGLETRANSLATE(B1745:B5064,""en"",""fr"")"),"s'échapper")</f>
        <v>s'échapper</v>
      </c>
    </row>
    <row r="1746" ht="19.5" customHeight="1">
      <c r="A1746" s="26" t="s">
        <v>4704</v>
      </c>
      <c r="B1746" s="27" t="s">
        <v>4705</v>
      </c>
      <c r="C1746" s="28" t="s">
        <v>134</v>
      </c>
      <c r="D1746" s="29">
        <v>178.0</v>
      </c>
      <c r="E1746" s="28" t="s">
        <v>4705</v>
      </c>
      <c r="F1746" s="7" t="str">
        <f>IFERROR(__xludf.DUMMYFUNCTION("GOOGLETRANSLATE(B1746:B5064,""en"",""fr"")"),"doré")</f>
        <v>doré</v>
      </c>
    </row>
    <row r="1747" ht="19.5" customHeight="1">
      <c r="A1747" s="26" t="s">
        <v>4706</v>
      </c>
      <c r="B1747" s="27" t="s">
        <v>4707</v>
      </c>
      <c r="C1747" s="28" t="s">
        <v>178</v>
      </c>
      <c r="D1747" s="29">
        <v>178.0</v>
      </c>
      <c r="E1747" s="28" t="s">
        <v>4708</v>
      </c>
      <c r="F1747" s="7" t="str">
        <f>IFERROR(__xludf.DUMMYFUNCTION("GOOGLETRANSLATE(B1747:B5064,""en"",""fr"")"),"mamelon")</f>
        <v>mamelon</v>
      </c>
    </row>
    <row r="1748" ht="19.5" customHeight="1">
      <c r="A1748" s="26" t="s">
        <v>4709</v>
      </c>
      <c r="B1748" s="27" t="s">
        <v>4710</v>
      </c>
      <c r="C1748" s="28" t="s">
        <v>134</v>
      </c>
      <c r="D1748" s="29">
        <v>178.0</v>
      </c>
      <c r="E1748" s="28" t="s">
        <v>4711</v>
      </c>
      <c r="F1748" s="7" t="str">
        <f>IFERROR(__xludf.DUMMYFUNCTION("GOOGLETRANSLATE(B1748:B5064,""en"",""fr"")"),"rugueux")</f>
        <v>rugueux</v>
      </c>
    </row>
    <row r="1749" ht="19.5" customHeight="1">
      <c r="A1749" s="26" t="s">
        <v>4712</v>
      </c>
      <c r="B1749" s="27" t="s">
        <v>1153</v>
      </c>
      <c r="C1749" s="28" t="s">
        <v>178</v>
      </c>
      <c r="D1749" s="29">
        <v>178.0</v>
      </c>
      <c r="E1749" s="28" t="s">
        <v>4713</v>
      </c>
      <c r="F1749" s="7" t="str">
        <f>IFERROR(__xludf.DUMMYFUNCTION("GOOGLETRANSLATE(B1749:B5064,""en"",""fr"")"),"bâton")</f>
        <v>bâton</v>
      </c>
    </row>
    <row r="1750" ht="19.5" customHeight="1">
      <c r="A1750" s="26" t="s">
        <v>4714</v>
      </c>
      <c r="B1750" s="27" t="s">
        <v>4715</v>
      </c>
      <c r="C1750" s="28" t="s">
        <v>32</v>
      </c>
      <c r="D1750" s="29">
        <v>178.0</v>
      </c>
      <c r="E1750" s="28" t="s">
        <v>4716</v>
      </c>
      <c r="F1750" s="7" t="str">
        <f>IFERROR(__xludf.DUMMYFUNCTION("GOOGLETRANSLATE(B1750:B5064,""en"",""fr"")"),"commerce")</f>
        <v>commerce</v>
      </c>
    </row>
    <row r="1751" ht="19.5" customHeight="1">
      <c r="A1751" s="26" t="s">
        <v>4717</v>
      </c>
      <c r="B1751" s="27" t="s">
        <v>4718</v>
      </c>
      <c r="C1751" s="28" t="s">
        <v>178</v>
      </c>
      <c r="D1751" s="29">
        <v>178.0</v>
      </c>
      <c r="E1751" s="28" t="s">
        <v>4719</v>
      </c>
      <c r="F1751" s="7" t="str">
        <f>IFERROR(__xludf.DUMMYFUNCTION("GOOGLETRANSLATE(B1751:B5064,""en"",""fr"")"),"double")</f>
        <v>double</v>
      </c>
    </row>
    <row r="1752" ht="19.5" customHeight="1">
      <c r="A1752" s="26" t="s">
        <v>4720</v>
      </c>
      <c r="B1752" s="27" t="s">
        <v>4721</v>
      </c>
      <c r="C1752" s="28" t="s">
        <v>178</v>
      </c>
      <c r="D1752" s="29">
        <v>178.0</v>
      </c>
      <c r="E1752" s="28" t="s">
        <v>4722</v>
      </c>
      <c r="F1752" s="7" t="str">
        <f>IFERROR(__xludf.DUMMYFUNCTION("GOOGLETRANSLATE(B1752:B5064,""en"",""fr"")"),"serveur")</f>
        <v>serveur</v>
      </c>
    </row>
    <row r="1753" ht="19.5" customHeight="1">
      <c r="A1753" s="26" t="s">
        <v>4723</v>
      </c>
      <c r="B1753" s="27" t="s">
        <v>4724</v>
      </c>
      <c r="C1753" s="28" t="s">
        <v>178</v>
      </c>
      <c r="D1753" s="29">
        <v>177.0</v>
      </c>
      <c r="E1753" s="28" t="s">
        <v>4725</v>
      </c>
      <c r="F1753" s="7" t="str">
        <f>IFERROR(__xludf.DUMMYFUNCTION("GOOGLETRANSLATE(B1753:B5064,""en"",""fr"")"),"architecte")</f>
        <v>architecte</v>
      </c>
    </row>
    <row r="1754" ht="19.5" customHeight="1">
      <c r="A1754" s="26" t="s">
        <v>4726</v>
      </c>
      <c r="B1754" s="27" t="s">
        <v>4727</v>
      </c>
      <c r="C1754" s="28" t="s">
        <v>178</v>
      </c>
      <c r="D1754" s="29">
        <v>177.0</v>
      </c>
      <c r="E1754" s="28" t="s">
        <v>4728</v>
      </c>
      <c r="F1754" s="7" t="str">
        <f>IFERROR(__xludf.DUMMYFUNCTION("GOOGLETRANSLATE(B1754:B5064,""en"",""fr"")"),"beauté")</f>
        <v>beauté</v>
      </c>
    </row>
    <row r="1755" ht="19.5" customHeight="1">
      <c r="A1755" s="26" t="s">
        <v>4729</v>
      </c>
      <c r="B1755" s="27" t="s">
        <v>4730</v>
      </c>
      <c r="C1755" s="28" t="s">
        <v>178</v>
      </c>
      <c r="D1755" s="29">
        <v>177.0</v>
      </c>
      <c r="E1755" s="28" t="s">
        <v>4731</v>
      </c>
      <c r="F1755" s="7" t="str">
        <f>IFERROR(__xludf.DUMMYFUNCTION("GOOGLETRANSLATE(B1755:B5064,""en"",""fr"")"),"copain")</f>
        <v>copain</v>
      </c>
    </row>
    <row r="1756" ht="19.5" customHeight="1">
      <c r="A1756" s="26" t="s">
        <v>4732</v>
      </c>
      <c r="B1756" s="27" t="s">
        <v>4733</v>
      </c>
      <c r="C1756" s="28" t="s">
        <v>134</v>
      </c>
      <c r="D1756" s="29">
        <v>177.0</v>
      </c>
      <c r="E1756" s="28" t="s">
        <v>4733</v>
      </c>
      <c r="F1756" s="7" t="str">
        <f>IFERROR(__xludf.DUMMYFUNCTION("GOOGLETRANSLATE(B1756:B5064,""en"",""fr"")"),"officiel")</f>
        <v>officiel</v>
      </c>
    </row>
    <row r="1757" ht="19.5" customHeight="1">
      <c r="A1757" s="26" t="s">
        <v>4734</v>
      </c>
      <c r="B1757" s="27" t="s">
        <v>4735</v>
      </c>
      <c r="C1757" s="28" t="s">
        <v>32</v>
      </c>
      <c r="D1757" s="29">
        <v>177.0</v>
      </c>
      <c r="E1757" s="28" t="s">
        <v>4736</v>
      </c>
      <c r="F1757" s="7" t="str">
        <f>IFERROR(__xludf.DUMMYFUNCTION("GOOGLETRANSLATE(B1757:B5064,""en"",""fr"")"),"pratique")</f>
        <v>pratique</v>
      </c>
    </row>
    <row r="1758" ht="19.5" customHeight="1">
      <c r="A1758" s="26" t="s">
        <v>4737</v>
      </c>
      <c r="B1758" s="27" t="s">
        <v>4738</v>
      </c>
      <c r="C1758" s="28" t="s">
        <v>178</v>
      </c>
      <c r="D1758" s="29">
        <v>177.0</v>
      </c>
      <c r="E1758" s="28" t="s">
        <v>4739</v>
      </c>
      <c r="F1758" s="7" t="str">
        <f>IFERROR(__xludf.DUMMYFUNCTION("GOOGLETRANSLATE(B1758:B5064,""en"",""fr"")"),"T-shirt")</f>
        <v>T-shirt</v>
      </c>
    </row>
    <row r="1759" ht="19.5" customHeight="1">
      <c r="A1759" s="26" t="s">
        <v>4740</v>
      </c>
      <c r="B1759" s="27" t="s">
        <v>4741</v>
      </c>
      <c r="C1759" s="28" t="s">
        <v>178</v>
      </c>
      <c r="D1759" s="29">
        <v>176.0</v>
      </c>
      <c r="E1759" s="28" t="s">
        <v>4742</v>
      </c>
      <c r="F1759" s="7" t="str">
        <f>IFERROR(__xludf.DUMMYFUNCTION("GOOGLETRANSLATE(B1759:B5064,""en"",""fr"")"),"bogue")</f>
        <v>bogue</v>
      </c>
    </row>
    <row r="1760" ht="19.5" customHeight="1">
      <c r="A1760" s="26" t="s">
        <v>4743</v>
      </c>
      <c r="B1760" s="27" t="s">
        <v>4744</v>
      </c>
      <c r="C1760" s="28" t="s">
        <v>32</v>
      </c>
      <c r="D1760" s="29">
        <v>176.0</v>
      </c>
      <c r="E1760" s="28" t="s">
        <v>4745</v>
      </c>
      <c r="F1760" s="7" t="str">
        <f>IFERROR(__xludf.DUMMYFUNCTION("GOOGLETRANSLATE(B1760:B5064,""en"",""fr"")"),"fissure")</f>
        <v>fissure</v>
      </c>
    </row>
    <row r="1761" ht="19.5" customHeight="1">
      <c r="A1761" s="26" t="s">
        <v>4746</v>
      </c>
      <c r="B1761" s="27" t="s">
        <v>4747</v>
      </c>
      <c r="C1761" s="28" t="s">
        <v>150</v>
      </c>
      <c r="D1761" s="29">
        <v>176.0</v>
      </c>
      <c r="E1761" s="28" t="s">
        <v>4747</v>
      </c>
      <c r="F1761" s="7" t="str">
        <f>IFERROR(__xludf.DUMMYFUNCTION("GOOGLETRANSLATE(B1761:B5064,""en"",""fr"")"),"quatre cents")</f>
        <v>quatre cents</v>
      </c>
    </row>
    <row r="1762" ht="19.5" customHeight="1">
      <c r="A1762" s="26" t="s">
        <v>4748</v>
      </c>
      <c r="B1762" s="27" t="s">
        <v>1941</v>
      </c>
      <c r="C1762" s="28" t="s">
        <v>178</v>
      </c>
      <c r="D1762" s="29">
        <v>176.0</v>
      </c>
      <c r="E1762" s="28" t="s">
        <v>2454</v>
      </c>
      <c r="F1762" s="7" t="str">
        <f>IFERROR(__xludf.DUMMYFUNCTION("GOOGLETRANSLATE(B1762:B5064,""en"",""fr"")"),"moitié")</f>
        <v>moitié</v>
      </c>
    </row>
    <row r="1763" ht="19.5" customHeight="1">
      <c r="A1763" s="26" t="s">
        <v>4749</v>
      </c>
      <c r="B1763" s="27" t="s">
        <v>2003</v>
      </c>
      <c r="C1763" s="28" t="s">
        <v>178</v>
      </c>
      <c r="D1763" s="29">
        <v>176.0</v>
      </c>
      <c r="E1763" s="28" t="s">
        <v>4750</v>
      </c>
      <c r="F1763" s="7" t="str">
        <f>IFERROR(__xludf.DUMMYFUNCTION("GOOGLETRANSLATE(B1763:B5064,""en"",""fr"")"),"fumée")</f>
        <v>fumée</v>
      </c>
    </row>
    <row r="1764" ht="19.5" customHeight="1">
      <c r="A1764" s="26" t="s">
        <v>4751</v>
      </c>
      <c r="B1764" s="27" t="s">
        <v>4752</v>
      </c>
      <c r="C1764" s="28" t="s">
        <v>178</v>
      </c>
      <c r="D1764" s="29">
        <v>175.0</v>
      </c>
      <c r="E1764" s="28" t="s">
        <v>4753</v>
      </c>
      <c r="F1764" s="7" t="str">
        <f>IFERROR(__xludf.DUMMYFUNCTION("GOOGLETRANSLATE(B1764:B5064,""en"",""fr"")"),"contracter")</f>
        <v>contracter</v>
      </c>
    </row>
    <row r="1765" ht="19.5" customHeight="1">
      <c r="A1765" s="26" t="s">
        <v>4754</v>
      </c>
      <c r="B1765" s="27" t="s">
        <v>4755</v>
      </c>
      <c r="C1765" s="28" t="s">
        <v>178</v>
      </c>
      <c r="D1765" s="29">
        <v>175.0</v>
      </c>
      <c r="E1765" s="28" t="s">
        <v>4756</v>
      </c>
      <c r="F1765" s="7" t="str">
        <f>IFERROR(__xludf.DUMMYFUNCTION("GOOGLETRANSLATE(B1765:B5064,""en"",""fr"")"),"clou")</f>
        <v>clou</v>
      </c>
    </row>
    <row r="1766" ht="19.5" customHeight="1">
      <c r="A1766" s="26" t="s">
        <v>4757</v>
      </c>
      <c r="B1766" s="27" t="s">
        <v>4758</v>
      </c>
      <c r="C1766" s="28" t="s">
        <v>32</v>
      </c>
      <c r="D1766" s="29">
        <v>175.0</v>
      </c>
      <c r="E1766" s="28" t="s">
        <v>4759</v>
      </c>
      <c r="F1766" s="7" t="str">
        <f>IFERROR(__xludf.DUMMYFUNCTION("GOOGLETRANSLATE(B1766:B5064,""en"",""fr"")"),"reconnaître")</f>
        <v>reconnaître</v>
      </c>
    </row>
    <row r="1767" ht="19.5" customHeight="1">
      <c r="A1767" s="26" t="s">
        <v>4760</v>
      </c>
      <c r="B1767" s="27" t="s">
        <v>4761</v>
      </c>
      <c r="C1767" s="28" t="s">
        <v>178</v>
      </c>
      <c r="D1767" s="29">
        <v>175.0</v>
      </c>
      <c r="E1767" s="28" t="s">
        <v>4762</v>
      </c>
      <c r="F1767" s="7" t="str">
        <f>IFERROR(__xludf.DUMMYFUNCTION("GOOGLETRANSLATE(B1767:B5064,""en"",""fr"")"),"scientifique")</f>
        <v>scientifique</v>
      </c>
    </row>
    <row r="1768" ht="19.5" customHeight="1">
      <c r="A1768" s="26" t="s">
        <v>4763</v>
      </c>
      <c r="B1768" s="27" t="s">
        <v>1134</v>
      </c>
      <c r="C1768" s="28" t="s">
        <v>178</v>
      </c>
      <c r="D1768" s="29">
        <v>175.0</v>
      </c>
      <c r="E1768" s="28" t="s">
        <v>4764</v>
      </c>
      <c r="F1768" s="7" t="str">
        <f>IFERROR(__xludf.DUMMYFUNCTION("GOOGLETRANSLATE(B1768:B5064,""en"",""fr"")"),"ensemble")</f>
        <v>ensemble</v>
      </c>
    </row>
    <row r="1769" ht="19.5" customHeight="1">
      <c r="A1769" s="26" t="s">
        <v>4765</v>
      </c>
      <c r="B1769" s="27" t="s">
        <v>4766</v>
      </c>
      <c r="C1769" s="28" t="s">
        <v>178</v>
      </c>
      <c r="D1769" s="29">
        <v>175.0</v>
      </c>
      <c r="E1769" s="28" t="s">
        <v>4767</v>
      </c>
      <c r="F1769" s="7" t="str">
        <f>IFERROR(__xludf.DUMMYFUNCTION("GOOGLETRANSLATE(B1769:B5064,""en"",""fr"")"),"épaule")</f>
        <v>épaule</v>
      </c>
    </row>
    <row r="1770" ht="19.5" customHeight="1">
      <c r="A1770" s="26" t="s">
        <v>4768</v>
      </c>
      <c r="B1770" s="27" t="s">
        <v>4769</v>
      </c>
      <c r="C1770" s="28" t="s">
        <v>134</v>
      </c>
      <c r="D1770" s="29">
        <v>175.0</v>
      </c>
      <c r="E1770" s="28" t="s">
        <v>4769</v>
      </c>
      <c r="F1770" s="7" t="str">
        <f>IFERROR(__xludf.DUMMYFUNCTION("GOOGLETRANSLATE(B1770:B5064,""en"",""fr"")"),"réussi")</f>
        <v>réussi</v>
      </c>
    </row>
    <row r="1771" ht="19.5" customHeight="1">
      <c r="A1771" s="26" t="s">
        <v>4770</v>
      </c>
      <c r="B1771" s="27" t="s">
        <v>4771</v>
      </c>
      <c r="C1771" s="28" t="s">
        <v>178</v>
      </c>
      <c r="D1771" s="29">
        <v>175.0</v>
      </c>
      <c r="E1771" s="28" t="s">
        <v>4772</v>
      </c>
      <c r="F1771" s="7" t="str">
        <f>IFERROR(__xludf.DUMMYFUNCTION("GOOGLETRANSLATE(B1771:B5064,""en"",""fr"")"),"merde")</f>
        <v>merde</v>
      </c>
    </row>
    <row r="1772" ht="19.5" customHeight="1">
      <c r="A1772" s="26" t="s">
        <v>4773</v>
      </c>
      <c r="B1772" s="27" t="s">
        <v>4774</v>
      </c>
      <c r="C1772" s="28" t="s">
        <v>178</v>
      </c>
      <c r="D1772" s="29">
        <v>175.0</v>
      </c>
      <c r="E1772" s="28" t="s">
        <v>4775</v>
      </c>
      <c r="F1772" s="7" t="str">
        <f>IFERROR(__xludf.DUMMYFUNCTION("GOOGLETRANSLATE(B1772:B5064,""en"",""fr"")"),"voir")</f>
        <v>voir</v>
      </c>
    </row>
    <row r="1773" ht="19.5" customHeight="1">
      <c r="A1773" s="26" t="s">
        <v>4776</v>
      </c>
      <c r="B1773" s="27" t="s">
        <v>4777</v>
      </c>
      <c r="C1773" s="28" t="s">
        <v>178</v>
      </c>
      <c r="D1773" s="29">
        <v>174.0</v>
      </c>
      <c r="E1773" s="28" t="s">
        <v>4778</v>
      </c>
      <c r="F1773" s="7" t="str">
        <f>IFERROR(__xludf.DUMMYFUNCTION("GOOGLETRANSLATE(B1773:B5064,""en"",""fr"")"),"sous-sol")</f>
        <v>sous-sol</v>
      </c>
    </row>
    <row r="1774" ht="19.5" customHeight="1">
      <c r="A1774" s="26" t="s">
        <v>4779</v>
      </c>
      <c r="B1774" s="27" t="s">
        <v>4780</v>
      </c>
      <c r="C1774" s="28" t="s">
        <v>178</v>
      </c>
      <c r="D1774" s="29">
        <v>174.0</v>
      </c>
      <c r="E1774" s="28" t="s">
        <v>4781</v>
      </c>
      <c r="F1774" s="7" t="str">
        <f>IFERROR(__xludf.DUMMYFUNCTION("GOOGLETRANSLATE(B1774:B5064,""en"",""fr"")"),"degré")</f>
        <v>degré</v>
      </c>
    </row>
    <row r="1775" ht="19.5" customHeight="1">
      <c r="A1775" s="26" t="s">
        <v>4782</v>
      </c>
      <c r="B1775" s="27" t="s">
        <v>4783</v>
      </c>
      <c r="C1775" s="28" t="s">
        <v>178</v>
      </c>
      <c r="D1775" s="29">
        <v>174.0</v>
      </c>
      <c r="E1775" s="28" t="s">
        <v>4784</v>
      </c>
      <c r="F1775" s="7" t="str">
        <f>IFERROR(__xludf.DUMMYFUNCTION("GOOGLETRANSLATE(B1775:B5064,""en"",""fr"")"),"fortune")</f>
        <v>fortune</v>
      </c>
    </row>
    <row r="1776" ht="19.5" customHeight="1">
      <c r="A1776" s="26" t="s">
        <v>4785</v>
      </c>
      <c r="B1776" s="27" t="s">
        <v>933</v>
      </c>
      <c r="C1776" s="28" t="s">
        <v>178</v>
      </c>
      <c r="D1776" s="29">
        <v>174.0</v>
      </c>
      <c r="E1776" s="28" t="s">
        <v>4786</v>
      </c>
      <c r="F1776" s="7" t="str">
        <f>IFERROR(__xludf.DUMMYFUNCTION("GOOGLETRANSLATE(B1776:B5064,""en"",""fr"")"),"frapper")</f>
        <v>frapper</v>
      </c>
    </row>
    <row r="1777" ht="19.5" customHeight="1">
      <c r="A1777" s="26" t="s">
        <v>4787</v>
      </c>
      <c r="B1777" s="27" t="s">
        <v>4788</v>
      </c>
      <c r="C1777" s="28" t="s">
        <v>178</v>
      </c>
      <c r="D1777" s="29">
        <v>174.0</v>
      </c>
      <c r="E1777" s="28" t="s">
        <v>4789</v>
      </c>
      <c r="F1777" s="7" t="str">
        <f>IFERROR(__xludf.DUMMYFUNCTION("GOOGLETRANSLATE(B1777:B5064,""en"",""fr"")"),"invitation")</f>
        <v>invitation</v>
      </c>
    </row>
    <row r="1778" ht="19.5" customHeight="1">
      <c r="A1778" s="26" t="s">
        <v>4790</v>
      </c>
      <c r="B1778" s="27" t="s">
        <v>4755</v>
      </c>
      <c r="C1778" s="28" t="s">
        <v>32</v>
      </c>
      <c r="D1778" s="29">
        <v>174.0</v>
      </c>
      <c r="E1778" s="28" t="s">
        <v>4791</v>
      </c>
      <c r="F1778" s="7" t="str">
        <f>IFERROR(__xludf.DUMMYFUNCTION("GOOGLETRANSLATE(B1778:B5064,""en"",""fr"")"),"clou")</f>
        <v>clou</v>
      </c>
    </row>
    <row r="1779" ht="19.5" customHeight="1">
      <c r="A1779" s="26" t="s">
        <v>4792</v>
      </c>
      <c r="B1779" s="27" t="s">
        <v>4793</v>
      </c>
      <c r="C1779" s="28" t="s">
        <v>85</v>
      </c>
      <c r="D1779" s="29">
        <v>174.0</v>
      </c>
      <c r="E1779" s="28" t="s">
        <v>4793</v>
      </c>
      <c r="F1779" s="7" t="str">
        <f>IFERROR(__xludf.DUMMYFUNCTION("GOOGLETRANSLATE(B1779:B5064,""en"",""fr"")"),"Oops")</f>
        <v>Oops</v>
      </c>
    </row>
    <row r="1780" ht="19.5" customHeight="1">
      <c r="A1780" s="26" t="s">
        <v>4794</v>
      </c>
      <c r="B1780" s="27" t="s">
        <v>4795</v>
      </c>
      <c r="C1780" s="28" t="s">
        <v>134</v>
      </c>
      <c r="D1780" s="29">
        <v>174.0</v>
      </c>
      <c r="E1780" s="28" t="s">
        <v>4795</v>
      </c>
      <c r="F1780" s="7" t="str">
        <f>IFERROR(__xludf.DUMMYFUNCTION("GOOGLETRANSLATE(B1780:B5064,""en"",""fr"")"),"professionnel")</f>
        <v>professionnel</v>
      </c>
    </row>
    <row r="1781" ht="19.5" customHeight="1">
      <c r="A1781" s="26" t="s">
        <v>4796</v>
      </c>
      <c r="B1781" s="27" t="s">
        <v>4797</v>
      </c>
      <c r="C1781" s="28" t="s">
        <v>178</v>
      </c>
      <c r="D1781" s="29">
        <v>174.0</v>
      </c>
      <c r="E1781" s="28" t="s">
        <v>4798</v>
      </c>
      <c r="F1781" s="7" t="str">
        <f>IFERROR(__xludf.DUMMYFUNCTION("GOOGLETRANSLATE(B1781:B5064,""en"",""fr"")"),"recherche")</f>
        <v>recherche</v>
      </c>
    </row>
    <row r="1782" ht="19.5" customHeight="1">
      <c r="A1782" s="26" t="s">
        <v>4799</v>
      </c>
      <c r="B1782" s="27" t="s">
        <v>4800</v>
      </c>
      <c r="C1782" s="28" t="s">
        <v>32</v>
      </c>
      <c r="D1782" s="29">
        <v>174.0</v>
      </c>
      <c r="E1782" s="28" t="s">
        <v>4801</v>
      </c>
      <c r="F1782" s="7" t="str">
        <f>IFERROR(__xludf.DUMMYFUNCTION("GOOGLETRANSLATE(B1782:B5064,""en"",""fr"")"),"balançoire")</f>
        <v>balançoire</v>
      </c>
    </row>
    <row r="1783" ht="19.5" customHeight="1">
      <c r="A1783" s="26" t="s">
        <v>4802</v>
      </c>
      <c r="B1783" s="27" t="s">
        <v>2564</v>
      </c>
      <c r="C1783" s="28" t="s">
        <v>32</v>
      </c>
      <c r="D1783" s="29">
        <v>174.0</v>
      </c>
      <c r="E1783" s="28" t="s">
        <v>4803</v>
      </c>
      <c r="F1783" s="7" t="str">
        <f>IFERROR(__xludf.DUMMYFUNCTION("GOOGLETRANSLATE(B1783:B5064,""en"",""fr"")"),"former")</f>
        <v>former</v>
      </c>
    </row>
    <row r="1784" ht="19.5" customHeight="1">
      <c r="A1784" s="26" t="s">
        <v>4804</v>
      </c>
      <c r="B1784" s="27" t="s">
        <v>4805</v>
      </c>
      <c r="C1784" s="28" t="s">
        <v>178</v>
      </c>
      <c r="D1784" s="29">
        <v>174.0</v>
      </c>
      <c r="E1784" s="28" t="s">
        <v>4806</v>
      </c>
      <c r="F1784" s="7" t="str">
        <f>IFERROR(__xludf.DUMMYFUNCTION("GOOGLETRANSLATE(B1784:B5064,""en"",""fr"")"),"météo")</f>
        <v>météo</v>
      </c>
    </row>
    <row r="1785" ht="19.5" customHeight="1">
      <c r="A1785" s="26" t="s">
        <v>4807</v>
      </c>
      <c r="B1785" s="27" t="s">
        <v>4808</v>
      </c>
      <c r="C1785" s="28" t="s">
        <v>178</v>
      </c>
      <c r="D1785" s="29">
        <v>173.0</v>
      </c>
      <c r="E1785" s="28" t="s">
        <v>4809</v>
      </c>
      <c r="F1785" s="7" t="str">
        <f>IFERROR(__xludf.DUMMYFUNCTION("GOOGLETRANSLATE(B1785:B5064,""en"",""fr"")"),"alarme")</f>
        <v>alarme</v>
      </c>
    </row>
    <row r="1786" ht="19.5" customHeight="1">
      <c r="A1786" s="26" t="s">
        <v>4810</v>
      </c>
      <c r="B1786" s="27" t="s">
        <v>600</v>
      </c>
      <c r="C1786" s="28" t="s">
        <v>134</v>
      </c>
      <c r="D1786" s="29">
        <v>173.0</v>
      </c>
      <c r="E1786" s="28" t="s">
        <v>4811</v>
      </c>
      <c r="F1786" s="7" t="str">
        <f>IFERROR(__xludf.DUMMYFUNCTION("GOOGLETRANSLATE(B1786:B5064,""en"",""fr"")"),"amusant")</f>
        <v>amusant</v>
      </c>
    </row>
    <row r="1787" ht="19.5" customHeight="1">
      <c r="A1787" s="26" t="s">
        <v>4812</v>
      </c>
      <c r="B1787" s="27" t="s">
        <v>4813</v>
      </c>
      <c r="C1787" s="28" t="s">
        <v>178</v>
      </c>
      <c r="D1787" s="29">
        <v>173.0</v>
      </c>
      <c r="E1787" s="28" t="s">
        <v>4814</v>
      </c>
      <c r="F1787" s="7" t="str">
        <f>IFERROR(__xludf.DUMMYFUNCTION("GOOGLETRANSLATE(B1787:B5064,""en"",""fr"")"),"minou")</f>
        <v>minou</v>
      </c>
    </row>
    <row r="1788" ht="19.5" customHeight="1">
      <c r="A1788" s="26" t="s">
        <v>4815</v>
      </c>
      <c r="B1788" s="27" t="s">
        <v>4816</v>
      </c>
      <c r="C1788" s="28" t="s">
        <v>178</v>
      </c>
      <c r="D1788" s="29">
        <v>173.0</v>
      </c>
      <c r="E1788" s="28" t="s">
        <v>4817</v>
      </c>
      <c r="F1788" s="7" t="str">
        <f>IFERROR(__xludf.DUMMYFUNCTION("GOOGLETRANSLATE(B1788:B5064,""en"",""fr"")"),"sieste")</f>
        <v>sieste</v>
      </c>
    </row>
    <row r="1789" ht="19.5" customHeight="1">
      <c r="A1789" s="26" t="s">
        <v>4818</v>
      </c>
      <c r="B1789" s="27" t="s">
        <v>4735</v>
      </c>
      <c r="C1789" s="28" t="s">
        <v>178</v>
      </c>
      <c r="D1789" s="29">
        <v>173.0</v>
      </c>
      <c r="E1789" s="28" t="s">
        <v>4819</v>
      </c>
      <c r="F1789" s="7" t="str">
        <f>IFERROR(__xludf.DUMMYFUNCTION("GOOGLETRANSLATE(B1789:B5064,""en"",""fr"")"),"pratique")</f>
        <v>pratique</v>
      </c>
    </row>
    <row r="1790" ht="19.5" customHeight="1">
      <c r="A1790" s="26" t="s">
        <v>4820</v>
      </c>
      <c r="B1790" s="27" t="s">
        <v>4821</v>
      </c>
      <c r="C1790" s="28" t="s">
        <v>134</v>
      </c>
      <c r="D1790" s="29">
        <v>173.0</v>
      </c>
      <c r="E1790" s="28" t="s">
        <v>4821</v>
      </c>
      <c r="F1790" s="7" t="str">
        <f>IFERROR(__xludf.DUMMYFUNCTION("GOOGLETRANSLATE(B1790:B5064,""en"",""fr"")"),"précieux")</f>
        <v>précieux</v>
      </c>
    </row>
    <row r="1791" ht="19.5" customHeight="1">
      <c r="A1791" s="26" t="s">
        <v>4822</v>
      </c>
      <c r="B1791" s="27" t="s">
        <v>4823</v>
      </c>
      <c r="C1791" s="28" t="s">
        <v>178</v>
      </c>
      <c r="D1791" s="29">
        <v>173.0</v>
      </c>
      <c r="E1791" s="28" t="s">
        <v>4824</v>
      </c>
      <c r="F1791" s="7" t="str">
        <f>IFERROR(__xludf.DUMMYFUNCTION("GOOGLETRANSLATE(B1791:B5064,""en"",""fr"")"),"produit")</f>
        <v>produit</v>
      </c>
    </row>
    <row r="1792" ht="19.5" customHeight="1">
      <c r="A1792" s="26" t="s">
        <v>4825</v>
      </c>
      <c r="B1792" s="27" t="s">
        <v>4826</v>
      </c>
      <c r="C1792" s="28" t="s">
        <v>178</v>
      </c>
      <c r="D1792" s="29">
        <v>173.0</v>
      </c>
      <c r="E1792" s="28" t="s">
        <v>4827</v>
      </c>
      <c r="F1792" s="7" t="str">
        <f>IFERROR(__xludf.DUMMYFUNCTION("GOOGLETRANSLATE(B1792:B5064,""en"",""fr"")"),"lapin")</f>
        <v>lapin</v>
      </c>
    </row>
    <row r="1793" ht="19.5" customHeight="1">
      <c r="A1793" s="26" t="s">
        <v>4828</v>
      </c>
      <c r="B1793" s="27" t="s">
        <v>4829</v>
      </c>
      <c r="C1793" s="28" t="s">
        <v>178</v>
      </c>
      <c r="D1793" s="29">
        <v>173.0</v>
      </c>
      <c r="E1793" s="28" t="s">
        <v>4830</v>
      </c>
      <c r="F1793" s="7" t="str">
        <f>IFERROR(__xludf.DUMMYFUNCTION("GOOGLETRANSLATE(B1793:B5064,""en"",""fr"")"),"rôle")</f>
        <v>rôle</v>
      </c>
    </row>
    <row r="1794" ht="19.5" customHeight="1">
      <c r="A1794" s="26" t="s">
        <v>4831</v>
      </c>
      <c r="B1794" s="27" t="s">
        <v>4832</v>
      </c>
      <c r="C1794" s="28" t="s">
        <v>178</v>
      </c>
      <c r="D1794" s="29">
        <v>173.0</v>
      </c>
      <c r="E1794" s="28" t="s">
        <v>4833</v>
      </c>
      <c r="F1794" s="7" t="str">
        <f>IFERROR(__xludf.DUMMYFUNCTION("GOOGLETRANSLATE(B1794:B5064,""en"",""fr"")"),"collation")</f>
        <v>collation</v>
      </c>
    </row>
    <row r="1795" ht="19.5" customHeight="1">
      <c r="A1795" s="26" t="s">
        <v>4834</v>
      </c>
      <c r="B1795" s="27" t="s">
        <v>4835</v>
      </c>
      <c r="C1795" s="28" t="s">
        <v>178</v>
      </c>
      <c r="D1795" s="29">
        <v>173.0</v>
      </c>
      <c r="E1795" s="28" t="s">
        <v>4836</v>
      </c>
      <c r="F1795" s="7" t="str">
        <f>IFERROR(__xludf.DUMMYFUNCTION("GOOGLETRANSLATE(B1795:B5064,""en"",""fr"")"),"ventouse")</f>
        <v>ventouse</v>
      </c>
    </row>
    <row r="1796" ht="19.5" customHeight="1">
      <c r="A1796" s="26" t="s">
        <v>4837</v>
      </c>
      <c r="B1796" s="27" t="s">
        <v>4838</v>
      </c>
      <c r="C1796" s="28" t="s">
        <v>178</v>
      </c>
      <c r="D1796" s="29">
        <v>173.0</v>
      </c>
      <c r="E1796" s="28" t="s">
        <v>4839</v>
      </c>
      <c r="F1796" s="7" t="str">
        <f>IFERROR(__xludf.DUMMYFUNCTION("GOOGLETRANSLATE(B1796:B5064,""en"",""fr"")"),"étiqueter")</f>
        <v>étiqueter</v>
      </c>
    </row>
    <row r="1797" ht="19.5" customHeight="1">
      <c r="A1797" s="26" t="s">
        <v>4840</v>
      </c>
      <c r="B1797" s="27" t="s">
        <v>4841</v>
      </c>
      <c r="C1797" s="28" t="s">
        <v>178</v>
      </c>
      <c r="D1797" s="29">
        <v>172.0</v>
      </c>
      <c r="E1797" s="28" t="s">
        <v>4842</v>
      </c>
      <c r="F1797" s="7" t="str">
        <f>IFERROR(__xludf.DUMMYFUNCTION("GOOGLETRANSLATE(B1797:B5064,""en"",""fr"")"),"chef")</f>
        <v>chef</v>
      </c>
    </row>
    <row r="1798" ht="19.5" customHeight="1">
      <c r="A1798" s="26" t="s">
        <v>4843</v>
      </c>
      <c r="B1798" s="27" t="s">
        <v>4844</v>
      </c>
      <c r="C1798" s="28" t="s">
        <v>32</v>
      </c>
      <c r="D1798" s="29">
        <v>172.0</v>
      </c>
      <c r="E1798" s="28" t="s">
        <v>4845</v>
      </c>
      <c r="F1798" s="7" t="str">
        <f>IFERROR(__xludf.DUMMYFUNCTION("GOOGLETRANSLATE(B1798:B5064,""en"",""fr"")"),"mâcher")</f>
        <v>mâcher</v>
      </c>
    </row>
    <row r="1799" ht="19.5" customHeight="1">
      <c r="A1799" s="26" t="s">
        <v>4846</v>
      </c>
      <c r="B1799" s="27" t="s">
        <v>4847</v>
      </c>
      <c r="C1799" s="28" t="s">
        <v>178</v>
      </c>
      <c r="D1799" s="29">
        <v>172.0</v>
      </c>
      <c r="E1799" s="28" t="s">
        <v>4847</v>
      </c>
      <c r="F1799" s="7" t="str">
        <f>IFERROR(__xludf.DUMMYFUNCTION("GOOGLETRANSLATE(B1799:B5064,""en"",""fr"")"),"preuve")</f>
        <v>preuve</v>
      </c>
    </row>
    <row r="1800" ht="19.5" customHeight="1">
      <c r="A1800" s="26" t="s">
        <v>4848</v>
      </c>
      <c r="B1800" s="27" t="s">
        <v>4849</v>
      </c>
      <c r="C1800" s="28" t="s">
        <v>178</v>
      </c>
      <c r="D1800" s="29">
        <v>172.0</v>
      </c>
      <c r="E1800" s="28" t="s">
        <v>4850</v>
      </c>
      <c r="F1800" s="7" t="str">
        <f>IFERROR(__xludf.DUMMYFUNCTION("GOOGLETRANSLATE(B1800:B5064,""en"",""fr"")"),"fantaisie")</f>
        <v>fantaisie</v>
      </c>
    </row>
    <row r="1801" ht="19.5" customHeight="1">
      <c r="A1801" s="26" t="s">
        <v>4851</v>
      </c>
      <c r="B1801" s="27" t="s">
        <v>4852</v>
      </c>
      <c r="C1801" s="28" t="s">
        <v>178</v>
      </c>
      <c r="D1801" s="29">
        <v>172.0</v>
      </c>
      <c r="E1801" s="28" t="s">
        <v>4853</v>
      </c>
      <c r="F1801" s="7" t="str">
        <f>IFERROR(__xludf.DUMMYFUNCTION("GOOGLETRANSLATE(B1801:B5064,""en"",""fr"")"),"opération")</f>
        <v>opération</v>
      </c>
    </row>
    <row r="1802" ht="19.5" customHeight="1">
      <c r="A1802" s="26" t="s">
        <v>4854</v>
      </c>
      <c r="B1802" s="27" t="s">
        <v>4855</v>
      </c>
      <c r="C1802" s="28" t="s">
        <v>178</v>
      </c>
      <c r="D1802" s="29">
        <v>172.0</v>
      </c>
      <c r="E1802" s="28" t="s">
        <v>4856</v>
      </c>
      <c r="F1802" s="7" t="str">
        <f>IFERROR(__xludf.DUMMYFUNCTION("GOOGLETRANSLATE(B1802:B5064,""en"",""fr"")"),"chiot")</f>
        <v>chiot</v>
      </c>
    </row>
    <row r="1803" ht="19.5" customHeight="1">
      <c r="A1803" s="26" t="s">
        <v>4857</v>
      </c>
      <c r="B1803" s="27" t="s">
        <v>4858</v>
      </c>
      <c r="C1803" s="28" t="s">
        <v>178</v>
      </c>
      <c r="D1803" s="29">
        <v>172.0</v>
      </c>
      <c r="E1803" s="28" t="s">
        <v>4859</v>
      </c>
      <c r="F1803" s="7" t="str">
        <f>IFERROR(__xludf.DUMMYFUNCTION("GOOGLETRANSLATE(B1803:B5064,""en"",""fr"")"),"pluie")</f>
        <v>pluie</v>
      </c>
    </row>
    <row r="1804" ht="19.5" customHeight="1">
      <c r="A1804" s="26" t="s">
        <v>4860</v>
      </c>
      <c r="B1804" s="27" t="s">
        <v>4861</v>
      </c>
      <c r="C1804" s="28" t="s">
        <v>32</v>
      </c>
      <c r="D1804" s="29">
        <v>172.0</v>
      </c>
      <c r="E1804" s="28" t="s">
        <v>4862</v>
      </c>
      <c r="F1804" s="7" t="str">
        <f>IFERROR(__xludf.DUMMYFUNCTION("GOOGLETRANSLATE(B1804:B5064,""en"",""fr"")"),"rotation")</f>
        <v>rotation</v>
      </c>
    </row>
    <row r="1805" ht="19.5" customHeight="1">
      <c r="A1805" s="26" t="s">
        <v>4863</v>
      </c>
      <c r="B1805" s="27" t="s">
        <v>4864</v>
      </c>
      <c r="C1805" s="28" t="s">
        <v>178</v>
      </c>
      <c r="D1805" s="29">
        <v>172.0</v>
      </c>
      <c r="E1805" s="28" t="s">
        <v>4865</v>
      </c>
      <c r="F1805" s="7" t="str">
        <f>IFERROR(__xludf.DUMMYFUNCTION("GOOGLETRANSLATE(B1805:B5064,""en"",""fr"")"),"gorge")</f>
        <v>gorge</v>
      </c>
    </row>
    <row r="1806" ht="19.5" customHeight="1">
      <c r="A1806" s="26" t="s">
        <v>4866</v>
      </c>
      <c r="B1806" s="27" t="s">
        <v>4867</v>
      </c>
      <c r="C1806" s="28" t="s">
        <v>32</v>
      </c>
      <c r="D1806" s="29">
        <v>171.0</v>
      </c>
      <c r="E1806" s="28" t="s">
        <v>4868</v>
      </c>
      <c r="F1806" s="7" t="str">
        <f>IFERROR(__xludf.DUMMYFUNCTION("GOOGLETRANSLATE(B1806:B5064,""en"",""fr"")"),"e-mail")</f>
        <v>e-mail</v>
      </c>
    </row>
    <row r="1807" ht="19.5" customHeight="1">
      <c r="A1807" s="26" t="s">
        <v>4869</v>
      </c>
      <c r="B1807" s="27" t="s">
        <v>1749</v>
      </c>
      <c r="C1807" s="28" t="s">
        <v>32</v>
      </c>
      <c r="D1807" s="29">
        <v>171.0</v>
      </c>
      <c r="E1807" s="28" t="s">
        <v>4870</v>
      </c>
      <c r="F1807" s="7" t="str">
        <f>IFERROR(__xludf.DUMMYFUNCTION("GOOGLETRANSLATE(B1807:B5064,""en"",""fr"")"),"présent")</f>
        <v>présent</v>
      </c>
    </row>
    <row r="1808" ht="19.5" customHeight="1">
      <c r="A1808" s="26" t="s">
        <v>4871</v>
      </c>
      <c r="B1808" s="27" t="s">
        <v>4872</v>
      </c>
      <c r="C1808" s="28" t="s">
        <v>178</v>
      </c>
      <c r="D1808" s="29">
        <v>171.0</v>
      </c>
      <c r="E1808" s="28" t="s">
        <v>4873</v>
      </c>
      <c r="F1808" s="7" t="str">
        <f>IFERROR(__xludf.DUMMYFUNCTION("GOOGLETRANSLATE(B1808:B5064,""en"",""fr"")"),"réalité")</f>
        <v>réalité</v>
      </c>
    </row>
    <row r="1809" ht="19.5" customHeight="1">
      <c r="A1809" s="26" t="s">
        <v>4874</v>
      </c>
      <c r="B1809" s="27" t="s">
        <v>4875</v>
      </c>
      <c r="C1809" s="28" t="s">
        <v>178</v>
      </c>
      <c r="D1809" s="29">
        <v>171.0</v>
      </c>
      <c r="E1809" s="28" t="s">
        <v>4876</v>
      </c>
      <c r="F1809" s="7" t="str">
        <f>IFERROR(__xludf.DUMMYFUNCTION("GOOGLETRANSLATE(B1809:B5064,""en"",""fr"")"),"Saint")</f>
        <v>Saint</v>
      </c>
    </row>
    <row r="1810" ht="19.5" customHeight="1">
      <c r="A1810" s="26" t="s">
        <v>4877</v>
      </c>
      <c r="B1810" s="27" t="s">
        <v>1631</v>
      </c>
      <c r="C1810" s="28" t="s">
        <v>134</v>
      </c>
      <c r="D1810" s="29">
        <v>171.0</v>
      </c>
      <c r="E1810" s="28" t="s">
        <v>1631</v>
      </c>
      <c r="F1810" s="7" t="str">
        <f>IFERROR(__xludf.DUMMYFUNCTION("GOOGLETRANSLATE(B1810:B5064,""en"",""fr"")"),"haut")</f>
        <v>haut</v>
      </c>
    </row>
    <row r="1811" ht="19.5" customHeight="1">
      <c r="A1811" s="26" t="s">
        <v>4878</v>
      </c>
      <c r="B1811" s="27" t="s">
        <v>4879</v>
      </c>
      <c r="C1811" s="28" t="s">
        <v>178</v>
      </c>
      <c r="D1811" s="29">
        <v>171.0</v>
      </c>
      <c r="E1811" s="28" t="s">
        <v>4880</v>
      </c>
      <c r="F1811" s="7" t="str">
        <f>IFERROR(__xludf.DUMMYFUNCTION("GOOGLETRANSLATE(B1811:B5064,""en"",""fr"")"),"victime")</f>
        <v>victime</v>
      </c>
    </row>
    <row r="1812" ht="19.5" customHeight="1">
      <c r="A1812" s="26" t="s">
        <v>4881</v>
      </c>
      <c r="B1812" s="27" t="s">
        <v>4882</v>
      </c>
      <c r="C1812" s="28" t="s">
        <v>178</v>
      </c>
      <c r="D1812" s="29">
        <v>171.0</v>
      </c>
      <c r="E1812" s="28" t="s">
        <v>4883</v>
      </c>
      <c r="F1812" s="7" t="str">
        <f>IFERROR(__xludf.DUMMYFUNCTION("GOOGLETRANSLATE(B1812:B5064,""en"",""fr"")"),"serveuse")</f>
        <v>serveuse</v>
      </c>
    </row>
    <row r="1813" ht="19.5" customHeight="1">
      <c r="A1813" s="26" t="s">
        <v>4884</v>
      </c>
      <c r="B1813" s="27" t="s">
        <v>4885</v>
      </c>
      <c r="C1813" s="28" t="s">
        <v>178</v>
      </c>
      <c r="D1813" s="29">
        <v>170.0</v>
      </c>
      <c r="E1813" s="28" t="s">
        <v>4886</v>
      </c>
      <c r="F1813" s="7" t="str">
        <f>IFERROR(__xludf.DUMMYFUNCTION("GOOGLETRANSLATE(B1813:B5064,""en"",""fr"")"),"biberonner")</f>
        <v>biberonner</v>
      </c>
    </row>
    <row r="1814" ht="19.5" customHeight="1">
      <c r="A1814" s="26" t="s">
        <v>4887</v>
      </c>
      <c r="B1814" s="27" t="s">
        <v>4888</v>
      </c>
      <c r="C1814" s="28" t="s">
        <v>178</v>
      </c>
      <c r="D1814" s="29">
        <v>170.0</v>
      </c>
      <c r="E1814" s="28" t="s">
        <v>4889</v>
      </c>
      <c r="F1814" s="7" t="str">
        <f>IFERROR(__xludf.DUMMYFUNCTION("GOOGLETRANSLATE(B1814:B5064,""en"",""fr"")"),"préservatif")</f>
        <v>préservatif</v>
      </c>
    </row>
    <row r="1815" ht="19.5" customHeight="1">
      <c r="A1815" s="26" t="s">
        <v>4890</v>
      </c>
      <c r="B1815" s="27" t="s">
        <v>4891</v>
      </c>
      <c r="C1815" s="28" t="s">
        <v>178</v>
      </c>
      <c r="D1815" s="29">
        <v>170.0</v>
      </c>
      <c r="E1815" s="28" t="s">
        <v>4892</v>
      </c>
      <c r="F1815" s="7" t="str">
        <f>IFERROR(__xludf.DUMMYFUNCTION("GOOGLETRANSLATE(B1815:B5064,""en"",""fr"")"),"directeur")</f>
        <v>directeur</v>
      </c>
    </row>
    <row r="1816" ht="19.5" customHeight="1">
      <c r="A1816" s="26" t="s">
        <v>4893</v>
      </c>
      <c r="B1816" s="27" t="s">
        <v>4894</v>
      </c>
      <c r="C1816" s="28" t="s">
        <v>32</v>
      </c>
      <c r="D1816" s="29">
        <v>170.0</v>
      </c>
      <c r="E1816" s="28" t="s">
        <v>4895</v>
      </c>
      <c r="F1816" s="7" t="str">
        <f>IFERROR(__xludf.DUMMYFUNCTION("GOOGLETRANSLATE(B1816:B5064,""en"",""fr"")"),"chasse")</f>
        <v>chasse</v>
      </c>
    </row>
    <row r="1817" ht="19.5" customHeight="1">
      <c r="A1817" s="26" t="s">
        <v>4896</v>
      </c>
      <c r="B1817" s="27" t="s">
        <v>4897</v>
      </c>
      <c r="C1817" s="28" t="s">
        <v>178</v>
      </c>
      <c r="D1817" s="29">
        <v>170.0</v>
      </c>
      <c r="E1817" s="28" t="s">
        <v>4898</v>
      </c>
      <c r="F1817" s="7" t="str">
        <f>IFERROR(__xludf.DUMMYFUNCTION("GOOGLETRANSLATE(B1817:B5064,""en"",""fr"")"),"menu")</f>
        <v>menu</v>
      </c>
    </row>
    <row r="1818" ht="19.5" customHeight="1">
      <c r="A1818" s="26" t="s">
        <v>4899</v>
      </c>
      <c r="B1818" s="27" t="s">
        <v>4900</v>
      </c>
      <c r="C1818" s="28" t="s">
        <v>178</v>
      </c>
      <c r="D1818" s="29">
        <v>170.0</v>
      </c>
      <c r="E1818" s="28" t="s">
        <v>4901</v>
      </c>
      <c r="F1818" s="7" t="str">
        <f>IFERROR(__xludf.DUMMYFUNCTION("GOOGLETRANSLATE(B1818:B5064,""en"",""fr"")"),"mystère")</f>
        <v>mystère</v>
      </c>
    </row>
    <row r="1819" ht="19.5" customHeight="1">
      <c r="A1819" s="26" t="s">
        <v>4902</v>
      </c>
      <c r="B1819" s="27" t="s">
        <v>3084</v>
      </c>
      <c r="C1819" s="28" t="s">
        <v>85</v>
      </c>
      <c r="D1819" s="29">
        <v>170.0</v>
      </c>
      <c r="E1819" s="28" t="s">
        <v>3084</v>
      </c>
      <c r="F1819" s="7" t="str">
        <f>IFERROR(__xludf.DUMMYFUNCTION("GOOGLETRANSLATE(B1819:B5064,""en"",""fr"")"),"calme")</f>
        <v>calme</v>
      </c>
    </row>
    <row r="1820" ht="19.5" customHeight="1">
      <c r="A1820" s="26" t="s">
        <v>4903</v>
      </c>
      <c r="B1820" s="27" t="s">
        <v>4904</v>
      </c>
      <c r="C1820" s="28" t="s">
        <v>32</v>
      </c>
      <c r="D1820" s="29">
        <v>170.0</v>
      </c>
      <c r="E1820" s="28" t="s">
        <v>4905</v>
      </c>
      <c r="F1820" s="7" t="str">
        <f>IFERROR(__xludf.DUMMYFUNCTION("GOOGLETRANSLATE(B1820:B5064,""en"",""fr"")"),"regret")</f>
        <v>regret</v>
      </c>
    </row>
    <row r="1821" ht="19.5" customHeight="1">
      <c r="A1821" s="26" t="s">
        <v>4906</v>
      </c>
      <c r="B1821" s="27" t="s">
        <v>4907</v>
      </c>
      <c r="C1821" s="28" t="s">
        <v>100</v>
      </c>
      <c r="D1821" s="29">
        <v>170.0</v>
      </c>
      <c r="E1821" s="28" t="s">
        <v>4907</v>
      </c>
      <c r="F1821" s="7" t="str">
        <f>IFERROR(__xludf.DUMMYFUNCTION("GOOGLETRANSLATE(B1821:B5064,""en"",""fr"")"),"techniquement")</f>
        <v>techniquement</v>
      </c>
    </row>
    <row r="1822" ht="19.5" customHeight="1">
      <c r="A1822" s="26" t="s">
        <v>4908</v>
      </c>
      <c r="B1822" s="27" t="s">
        <v>4909</v>
      </c>
      <c r="C1822" s="28" t="s">
        <v>178</v>
      </c>
      <c r="D1822" s="29">
        <v>170.0</v>
      </c>
      <c r="E1822" s="28" t="s">
        <v>4910</v>
      </c>
      <c r="F1822" s="7" t="str">
        <f>IFERROR(__xludf.DUMMYFUNCTION("GOOGLETRANSLATE(B1822:B5064,""en"",""fr"")"),"tonne")</f>
        <v>tonne</v>
      </c>
    </row>
    <row r="1823" ht="19.5" customHeight="1">
      <c r="A1823" s="26" t="s">
        <v>4911</v>
      </c>
      <c r="B1823" s="27" t="s">
        <v>4912</v>
      </c>
      <c r="C1823" s="28" t="s">
        <v>32</v>
      </c>
      <c r="D1823" s="29">
        <v>169.0</v>
      </c>
      <c r="E1823" s="28" t="s">
        <v>4913</v>
      </c>
      <c r="F1823" s="7" t="str">
        <f>IFERROR(__xludf.DUMMYFUNCTION("GOOGLETRANSLATE(B1823:B5064,""en"",""fr"")"),"attirer")</f>
        <v>attirer</v>
      </c>
    </row>
    <row r="1824" ht="19.5" customHeight="1">
      <c r="A1824" s="26" t="s">
        <v>4914</v>
      </c>
      <c r="B1824" s="27" t="s">
        <v>4915</v>
      </c>
      <c r="C1824" s="28" t="s">
        <v>134</v>
      </c>
      <c r="D1824" s="29">
        <v>169.0</v>
      </c>
      <c r="E1824" s="28" t="s">
        <v>4916</v>
      </c>
      <c r="F1824" s="7" t="str">
        <f>IFERROR(__xludf.DUMMYFUNCTION("GOOGLETRANSLATE(B1824:B5064,""en"",""fr"")"),"conscient")</f>
        <v>conscient</v>
      </c>
    </row>
    <row r="1825" ht="19.5" customHeight="1">
      <c r="A1825" s="26" t="s">
        <v>4917</v>
      </c>
      <c r="B1825" s="27" t="s">
        <v>4918</v>
      </c>
      <c r="C1825" s="28" t="s">
        <v>178</v>
      </c>
      <c r="D1825" s="29">
        <v>169.0</v>
      </c>
      <c r="E1825" s="28" t="s">
        <v>4919</v>
      </c>
      <c r="F1825" s="7" t="str">
        <f>IFERROR(__xludf.DUMMYFUNCTION("GOOGLETRANSLATE(B1825:B5064,""en"",""fr"")"),"poitrine")</f>
        <v>poitrine</v>
      </c>
    </row>
    <row r="1826" ht="19.5" customHeight="1">
      <c r="A1826" s="26" t="s">
        <v>4920</v>
      </c>
      <c r="B1826" s="27" t="s">
        <v>4921</v>
      </c>
      <c r="C1826" s="28" t="s">
        <v>178</v>
      </c>
      <c r="D1826" s="29">
        <v>169.0</v>
      </c>
      <c r="E1826" s="28" t="s">
        <v>4922</v>
      </c>
      <c r="F1826" s="7" t="str">
        <f>IFERROR(__xludf.DUMMYFUNCTION("GOOGLETRANSLATE(B1826:B5064,""en"",""fr"")"),"dentiste")</f>
        <v>dentiste</v>
      </c>
    </row>
    <row r="1827" ht="19.5" customHeight="1">
      <c r="A1827" s="26" t="s">
        <v>4923</v>
      </c>
      <c r="B1827" s="27" t="s">
        <v>1663</v>
      </c>
      <c r="C1827" s="28" t="s">
        <v>134</v>
      </c>
      <c r="D1827" s="29">
        <v>169.0</v>
      </c>
      <c r="E1827" s="28" t="s">
        <v>1664</v>
      </c>
      <c r="F1827" s="7" t="str">
        <f>IFERROR(__xludf.DUMMYFUNCTION("GOOGLETRANSLATE(B1827:B5064,""en"",""fr"")"),"loin")</f>
        <v>loin</v>
      </c>
    </row>
    <row r="1828" ht="19.5" customHeight="1">
      <c r="A1828" s="26" t="s">
        <v>4924</v>
      </c>
      <c r="B1828" s="27" t="s">
        <v>4592</v>
      </c>
      <c r="C1828" s="28" t="s">
        <v>32</v>
      </c>
      <c r="D1828" s="29">
        <v>169.0</v>
      </c>
      <c r="E1828" s="28" t="s">
        <v>4925</v>
      </c>
      <c r="F1828" s="7" t="str">
        <f>IFERROR(__xludf.DUMMYFUNCTION("GOOGLETRANSLATE(B1828:B5064,""en"",""fr"")"),"se concentrer")</f>
        <v>se concentrer</v>
      </c>
    </row>
    <row r="1829" ht="19.5" customHeight="1">
      <c r="A1829" s="26" t="s">
        <v>4926</v>
      </c>
      <c r="B1829" s="27" t="s">
        <v>4927</v>
      </c>
      <c r="C1829" s="28" t="s">
        <v>134</v>
      </c>
      <c r="D1829" s="29">
        <v>169.0</v>
      </c>
      <c r="E1829" s="28" t="s">
        <v>4927</v>
      </c>
      <c r="F1829" s="7" t="str">
        <f>IFERROR(__xludf.DUMMYFUNCTION("GOOGLETRANSLATE(B1829:B5064,""en"",""fr"")"),"illégal")</f>
        <v>illégal</v>
      </c>
    </row>
    <row r="1830" ht="19.5" customHeight="1">
      <c r="A1830" s="26" t="s">
        <v>4928</v>
      </c>
      <c r="B1830" s="27" t="s">
        <v>4929</v>
      </c>
      <c r="C1830" s="28" t="s">
        <v>134</v>
      </c>
      <c r="D1830" s="29">
        <v>169.0</v>
      </c>
      <c r="E1830" s="28" t="s">
        <v>4929</v>
      </c>
      <c r="F1830" s="7" t="str">
        <f>IFERROR(__xludf.DUMMYFUNCTION("GOOGLETRANSLATE(B1830:B5064,""en"",""fr"")"),"junior")</f>
        <v>junior</v>
      </c>
    </row>
    <row r="1831" ht="19.5" customHeight="1">
      <c r="A1831" s="26" t="s">
        <v>4930</v>
      </c>
      <c r="B1831" s="27" t="s">
        <v>4931</v>
      </c>
      <c r="C1831" s="28" t="s">
        <v>178</v>
      </c>
      <c r="D1831" s="29">
        <v>169.0</v>
      </c>
      <c r="E1831" s="28" t="s">
        <v>4932</v>
      </c>
      <c r="F1831" s="7" t="str">
        <f>IFERROR(__xludf.DUMMYFUNCTION("GOOGLETRANSLATE(B1831:B5064,""en"",""fr"")"),"souris")</f>
        <v>souris</v>
      </c>
    </row>
    <row r="1832" ht="19.5" customHeight="1">
      <c r="A1832" s="26" t="s">
        <v>4933</v>
      </c>
      <c r="B1832" s="27" t="s">
        <v>4934</v>
      </c>
      <c r="C1832" s="28" t="s">
        <v>178</v>
      </c>
      <c r="D1832" s="29">
        <v>169.0</v>
      </c>
      <c r="E1832" s="28" t="s">
        <v>4935</v>
      </c>
      <c r="F1832" s="7" t="str">
        <f>IFERROR(__xludf.DUMMYFUNCTION("GOOGLETRANSLATE(B1832:B5064,""en"",""fr"")"),"crayon")</f>
        <v>crayon</v>
      </c>
    </row>
    <row r="1833" ht="19.5" customHeight="1">
      <c r="A1833" s="26" t="s">
        <v>4936</v>
      </c>
      <c r="B1833" s="27" t="s">
        <v>4937</v>
      </c>
      <c r="C1833" s="28" t="s">
        <v>178</v>
      </c>
      <c r="D1833" s="29">
        <v>169.0</v>
      </c>
      <c r="E1833" s="28" t="s">
        <v>4938</v>
      </c>
      <c r="F1833" s="7" t="str">
        <f>IFERROR(__xludf.DUMMYFUNCTION("GOOGLETRANSLATE(B1833:B5064,""en"",""fr"")"),"phrase")</f>
        <v>phrase</v>
      </c>
    </row>
    <row r="1834" ht="19.5" customHeight="1">
      <c r="A1834" s="26" t="s">
        <v>4939</v>
      </c>
      <c r="B1834" s="27" t="s">
        <v>4940</v>
      </c>
      <c r="C1834" s="28" t="s">
        <v>150</v>
      </c>
      <c r="D1834" s="29">
        <v>169.0</v>
      </c>
      <c r="E1834" s="28" t="s">
        <v>4941</v>
      </c>
      <c r="F1834" s="7" t="str">
        <f>IFERROR(__xludf.DUMMYFUNCTION("GOOGLETRANSLATE(B1834:B5064,""en"",""fr"")"),"seize")</f>
        <v>seize</v>
      </c>
    </row>
    <row r="1835" ht="19.5" customHeight="1">
      <c r="A1835" s="26" t="s">
        <v>4942</v>
      </c>
      <c r="B1835" s="27" t="s">
        <v>4943</v>
      </c>
      <c r="C1835" s="28" t="s">
        <v>32</v>
      </c>
      <c r="D1835" s="29">
        <v>169.0</v>
      </c>
      <c r="E1835" s="28" t="s">
        <v>4944</v>
      </c>
      <c r="F1835" s="7" t="str">
        <f>IFERROR(__xludf.DUMMYFUNCTION("GOOGLETRANSLATE(B1835:B5064,""en"",""fr"")"),"presser")</f>
        <v>presser</v>
      </c>
    </row>
    <row r="1836" ht="19.5" customHeight="1">
      <c r="A1836" s="26" t="s">
        <v>4945</v>
      </c>
      <c r="B1836" s="27" t="s">
        <v>4946</v>
      </c>
      <c r="C1836" s="28" t="s">
        <v>178</v>
      </c>
      <c r="D1836" s="29">
        <v>168.0</v>
      </c>
      <c r="E1836" s="28" t="s">
        <v>4947</v>
      </c>
      <c r="F1836" s="7" t="str">
        <f>IFERROR(__xludf.DUMMYFUNCTION("GOOGLETRANSLATE(B1836:B5064,""en"",""fr"")"),"audition")</f>
        <v>audition</v>
      </c>
    </row>
    <row r="1837" ht="19.5" customHeight="1">
      <c r="A1837" s="26" t="s">
        <v>4948</v>
      </c>
      <c r="B1837" s="27" t="s">
        <v>4949</v>
      </c>
      <c r="C1837" s="28" t="s">
        <v>178</v>
      </c>
      <c r="D1837" s="29">
        <v>168.0</v>
      </c>
      <c r="E1837" s="28" t="s">
        <v>4950</v>
      </c>
      <c r="F1837" s="7" t="str">
        <f>IFERROR(__xludf.DUMMYFUNCTION("GOOGLETRANSLATE(B1837:B5064,""en"",""fr"")"),"homard")</f>
        <v>homard</v>
      </c>
    </row>
    <row r="1838" ht="19.5" customHeight="1">
      <c r="A1838" s="26" t="s">
        <v>4951</v>
      </c>
      <c r="B1838" s="27" t="s">
        <v>4952</v>
      </c>
      <c r="C1838" s="28" t="s">
        <v>178</v>
      </c>
      <c r="D1838" s="29">
        <v>168.0</v>
      </c>
      <c r="E1838" s="28" t="s">
        <v>4953</v>
      </c>
      <c r="F1838" s="7" t="str">
        <f>IFERROR(__xludf.DUMMYFUNCTION("GOOGLETRANSLATE(B1838:B5064,""en"",""fr"")"),"succès")</f>
        <v>succès</v>
      </c>
    </row>
    <row r="1839" ht="19.5" customHeight="1">
      <c r="A1839" s="26" t="s">
        <v>4954</v>
      </c>
      <c r="B1839" s="27" t="s">
        <v>4955</v>
      </c>
      <c r="C1839" s="28" t="s">
        <v>178</v>
      </c>
      <c r="D1839" s="29">
        <v>168.0</v>
      </c>
      <c r="E1839" s="28" t="s">
        <v>4956</v>
      </c>
      <c r="F1839" s="7" t="str">
        <f>IFERROR(__xludf.DUMMYFUNCTION("GOOGLETRANSLATE(B1839:B5064,""en"",""fr"")"),"terroriste")</f>
        <v>terroriste</v>
      </c>
    </row>
    <row r="1840" ht="19.5" customHeight="1">
      <c r="A1840" s="26" t="s">
        <v>4957</v>
      </c>
      <c r="B1840" s="27" t="s">
        <v>4958</v>
      </c>
      <c r="C1840" s="28" t="s">
        <v>100</v>
      </c>
      <c r="D1840" s="29">
        <v>167.0</v>
      </c>
      <c r="E1840" s="28" t="s">
        <v>4958</v>
      </c>
      <c r="F1840" s="7" t="str">
        <f>IFERROR(__xludf.DUMMYFUNCTION("GOOGLETRANSLATE(B1840:B5064,""en"",""fr"")"),"endormi")</f>
        <v>endormi</v>
      </c>
    </row>
    <row r="1841" ht="19.5" customHeight="1">
      <c r="A1841" s="26" t="s">
        <v>4959</v>
      </c>
      <c r="B1841" s="27" t="s">
        <v>4960</v>
      </c>
      <c r="C1841" s="28" t="s">
        <v>178</v>
      </c>
      <c r="D1841" s="29">
        <v>167.0</v>
      </c>
      <c r="E1841" s="28" t="s">
        <v>4961</v>
      </c>
      <c r="F1841" s="7" t="str">
        <f>IFERROR(__xludf.DUMMYFUNCTION("GOOGLETRANSLATE(B1841:B5064,""en"",""fr"")"),"mode")</f>
        <v>mode</v>
      </c>
    </row>
    <row r="1842" ht="19.5" customHeight="1">
      <c r="A1842" s="26" t="s">
        <v>4962</v>
      </c>
      <c r="B1842" s="27" t="s">
        <v>4963</v>
      </c>
      <c r="C1842" s="28" t="s">
        <v>178</v>
      </c>
      <c r="D1842" s="29">
        <v>167.0</v>
      </c>
      <c r="E1842" s="28" t="s">
        <v>4964</v>
      </c>
      <c r="F1842" s="7" t="str">
        <f>IFERROR(__xludf.DUMMYFUNCTION("GOOGLETRANSLATE(B1842:B5064,""en"",""fr"")"),"gant")</f>
        <v>gant</v>
      </c>
    </row>
    <row r="1843" ht="19.5" customHeight="1">
      <c r="A1843" s="26" t="s">
        <v>4965</v>
      </c>
      <c r="B1843" s="27" t="s">
        <v>4966</v>
      </c>
      <c r="C1843" s="28" t="s">
        <v>178</v>
      </c>
      <c r="D1843" s="29">
        <v>167.0</v>
      </c>
      <c r="E1843" s="28" t="s">
        <v>4967</v>
      </c>
      <c r="F1843" s="7" t="str">
        <f>IFERROR(__xludf.DUMMYFUNCTION("GOOGLETRANSLATE(B1843:B5064,""en"",""fr"")"),"article")</f>
        <v>article</v>
      </c>
    </row>
    <row r="1844" ht="19.5" customHeight="1">
      <c r="A1844" s="26" t="s">
        <v>4968</v>
      </c>
      <c r="B1844" s="27" t="s">
        <v>4969</v>
      </c>
      <c r="C1844" s="28" t="s">
        <v>32</v>
      </c>
      <c r="D1844" s="29">
        <v>167.0</v>
      </c>
      <c r="E1844" s="28" t="s">
        <v>4970</v>
      </c>
      <c r="F1844" s="7" t="str">
        <f>IFERROR(__xludf.DUMMYFUNCTION("GOOGLETRANSLATE(B1844:B5064,""en"",""fr"")"),"recommander")</f>
        <v>recommander</v>
      </c>
    </row>
    <row r="1845" ht="19.5" customHeight="1">
      <c r="A1845" s="26" t="s">
        <v>4971</v>
      </c>
      <c r="B1845" s="27" t="s">
        <v>4972</v>
      </c>
      <c r="C1845" s="28" t="s">
        <v>178</v>
      </c>
      <c r="D1845" s="29">
        <v>167.0</v>
      </c>
      <c r="E1845" s="28" t="s">
        <v>4973</v>
      </c>
      <c r="F1845" s="7" t="str">
        <f>IFERROR(__xludf.DUMMYFUNCTION("GOOGLETRANSLATE(B1845:B5064,""en"",""fr"")"),"thon")</f>
        <v>thon</v>
      </c>
    </row>
    <row r="1846" ht="19.5" customHeight="1">
      <c r="A1846" s="26" t="s">
        <v>4974</v>
      </c>
      <c r="B1846" s="27" t="s">
        <v>4975</v>
      </c>
      <c r="C1846" s="28" t="s">
        <v>178</v>
      </c>
      <c r="D1846" s="29">
        <v>167.0</v>
      </c>
      <c r="E1846" s="28" t="s">
        <v>4976</v>
      </c>
      <c r="F1846" s="7" t="str">
        <f>IFERROR(__xludf.DUMMYFUNCTION("GOOGLETRANSLATE(B1846:B5064,""en"",""fr"")"),"entrepôt")</f>
        <v>entrepôt</v>
      </c>
    </row>
    <row r="1847" ht="19.5" customHeight="1">
      <c r="A1847" s="26" t="s">
        <v>4977</v>
      </c>
      <c r="B1847" s="27" t="s">
        <v>4978</v>
      </c>
      <c r="C1847" s="28" t="s">
        <v>728</v>
      </c>
      <c r="D1847" s="29">
        <v>166.0</v>
      </c>
      <c r="E1847" s="28" t="s">
        <v>4979</v>
      </c>
      <c r="F1847" s="7" t="str">
        <f>IFERROR(__xludf.DUMMYFUNCTION("GOOGLETRANSLATE(B1847:B5064,""en"",""fr"")"),"italien")</f>
        <v>italien</v>
      </c>
    </row>
    <row r="1848" ht="19.5" customHeight="1">
      <c r="A1848" s="26" t="s">
        <v>4980</v>
      </c>
      <c r="B1848" s="27" t="s">
        <v>4981</v>
      </c>
      <c r="C1848" s="28" t="s">
        <v>134</v>
      </c>
      <c r="D1848" s="29">
        <v>166.0</v>
      </c>
      <c r="E1848" s="28" t="s">
        <v>4982</v>
      </c>
      <c r="F1848" s="7" t="str">
        <f>IFERROR(__xludf.DUMMYFUNCTION("GOOGLETRANSLATE(B1848:B5064,""en"",""fr"")"),"paresseux")</f>
        <v>paresseux</v>
      </c>
    </row>
    <row r="1849" ht="19.5" customHeight="1">
      <c r="A1849" s="26" t="s">
        <v>4983</v>
      </c>
      <c r="B1849" s="27" t="s">
        <v>4984</v>
      </c>
      <c r="C1849" s="28" t="s">
        <v>178</v>
      </c>
      <c r="D1849" s="29">
        <v>166.0</v>
      </c>
      <c r="E1849" s="28" t="s">
        <v>4985</v>
      </c>
      <c r="F1849" s="7" t="str">
        <f>IFERROR(__xludf.DUMMYFUNCTION("GOOGLETRANSLATE(B1849:B5064,""en"",""fr"")"),"réservoir")</f>
        <v>réservoir</v>
      </c>
    </row>
    <row r="1850" ht="19.5" customHeight="1">
      <c r="A1850" s="26" t="s">
        <v>4986</v>
      </c>
      <c r="B1850" s="27" t="s">
        <v>4987</v>
      </c>
      <c r="C1850" s="28" t="s">
        <v>178</v>
      </c>
      <c r="D1850" s="29">
        <v>166.0</v>
      </c>
      <c r="E1850" s="28" t="s">
        <v>4988</v>
      </c>
      <c r="F1850" s="7" t="str">
        <f>IFERROR(__xludf.DUMMYFUNCTION("GOOGLETRANSLATE(B1850:B5064,""en"",""fr"")"),"baleine")</f>
        <v>baleine</v>
      </c>
    </row>
    <row r="1851" ht="19.5" customHeight="1">
      <c r="A1851" s="26" t="s">
        <v>4989</v>
      </c>
      <c r="B1851" s="27" t="s">
        <v>4990</v>
      </c>
      <c r="C1851" s="28" t="s">
        <v>178</v>
      </c>
      <c r="D1851" s="29">
        <v>166.0</v>
      </c>
      <c r="E1851" s="28" t="s">
        <v>4991</v>
      </c>
      <c r="F1851" s="7" t="str">
        <f>IFERROR(__xludf.DUMMYFUNCTION("GOOGLETRANSLATE(B1851:B5064,""en"",""fr"")"),"zone")</f>
        <v>zone</v>
      </c>
    </row>
    <row r="1852" ht="19.5" customHeight="1">
      <c r="A1852" s="26" t="s">
        <v>4992</v>
      </c>
      <c r="B1852" s="27" t="s">
        <v>2497</v>
      </c>
      <c r="C1852" s="28" t="s">
        <v>32</v>
      </c>
      <c r="D1852" s="29">
        <v>166.0</v>
      </c>
      <c r="E1852" s="28" t="s">
        <v>4993</v>
      </c>
      <c r="F1852" s="7" t="str">
        <f>IFERROR(__xludf.DUMMYFUNCTION("GOOGLETRANSLATE(B1852:B5064,""en"",""fr"")"),"honneur")</f>
        <v>honneur</v>
      </c>
    </row>
    <row r="1853" ht="19.5" customHeight="1">
      <c r="A1853" s="26" t="s">
        <v>4994</v>
      </c>
      <c r="B1853" s="27" t="s">
        <v>4995</v>
      </c>
      <c r="C1853" s="28" t="s">
        <v>32</v>
      </c>
      <c r="D1853" s="29">
        <v>166.0</v>
      </c>
      <c r="E1853" s="28" t="s">
        <v>4996</v>
      </c>
      <c r="F1853" s="7" t="str">
        <f>IFERROR(__xludf.DUMMYFUNCTION("GOOGLETRANSLATE(B1853:B5064,""en"",""fr"")"),"panique")</f>
        <v>panique</v>
      </c>
    </row>
    <row r="1854" ht="19.5" customHeight="1">
      <c r="A1854" s="26" t="s">
        <v>4997</v>
      </c>
      <c r="B1854" s="27" t="s">
        <v>4998</v>
      </c>
      <c r="C1854" s="28" t="s">
        <v>178</v>
      </c>
      <c r="D1854" s="29">
        <v>165.0</v>
      </c>
      <c r="E1854" s="28" t="s">
        <v>4999</v>
      </c>
      <c r="F1854" s="7" t="str">
        <f>IFERROR(__xludf.DUMMYFUNCTION("GOOGLETRANSLATE(B1854:B5064,""en"",""fr"")"),"célibataire")</f>
        <v>célibataire</v>
      </c>
    </row>
    <row r="1855" ht="19.5" customHeight="1">
      <c r="A1855" s="26" t="s">
        <v>5000</v>
      </c>
      <c r="B1855" s="27" t="s">
        <v>5001</v>
      </c>
      <c r="C1855" s="28" t="s">
        <v>178</v>
      </c>
      <c r="D1855" s="29">
        <v>165.0</v>
      </c>
      <c r="E1855" s="28" t="s">
        <v>5002</v>
      </c>
      <c r="F1855" s="7" t="str">
        <f>IFERROR(__xludf.DUMMYFUNCTION("GOOGLETRANSLATE(B1855:B5064,""en"",""fr"")"),"chaîne")</f>
        <v>chaîne</v>
      </c>
    </row>
    <row r="1856" ht="19.5" customHeight="1">
      <c r="A1856" s="26" t="s">
        <v>5003</v>
      </c>
      <c r="B1856" s="27" t="s">
        <v>5004</v>
      </c>
      <c r="C1856" s="28" t="s">
        <v>178</v>
      </c>
      <c r="D1856" s="29">
        <v>165.0</v>
      </c>
      <c r="E1856" s="28" t="s">
        <v>5005</v>
      </c>
      <c r="F1856" s="7" t="str">
        <f>IFERROR(__xludf.DUMMYFUNCTION("GOOGLETRANSLATE(B1856:B5064,""en"",""fr"")"),"créature")</f>
        <v>créature</v>
      </c>
    </row>
    <row r="1857" ht="19.5" customHeight="1">
      <c r="A1857" s="26" t="s">
        <v>5006</v>
      </c>
      <c r="B1857" s="27" t="s">
        <v>5007</v>
      </c>
      <c r="C1857" s="28" t="s">
        <v>178</v>
      </c>
      <c r="D1857" s="29">
        <v>165.0</v>
      </c>
      <c r="E1857" s="28" t="s">
        <v>5008</v>
      </c>
      <c r="F1857" s="7" t="str">
        <f>IFERROR(__xludf.DUMMYFUNCTION("GOOGLETRANSLATE(B1857:B5064,""en"",""fr"")"),"diamant")</f>
        <v>diamant</v>
      </c>
    </row>
    <row r="1858" ht="19.5" customHeight="1">
      <c r="A1858" s="26" t="s">
        <v>5009</v>
      </c>
      <c r="B1858" s="27" t="s">
        <v>5010</v>
      </c>
      <c r="C1858" s="28" t="s">
        <v>36</v>
      </c>
      <c r="D1858" s="29">
        <v>165.0</v>
      </c>
      <c r="E1858" s="28" t="s">
        <v>5010</v>
      </c>
      <c r="F1858" s="7" t="str">
        <f>IFERROR(__xludf.DUMMYFUNCTION("GOOGLETRANSLATE(B1858:B5064,""en"",""fr"")"),"cependant")</f>
        <v>cependant</v>
      </c>
    </row>
    <row r="1859" ht="19.5" customHeight="1">
      <c r="A1859" s="26" t="s">
        <v>5011</v>
      </c>
      <c r="B1859" s="27" t="s">
        <v>5012</v>
      </c>
      <c r="C1859" s="28" t="s">
        <v>178</v>
      </c>
      <c r="D1859" s="29">
        <v>165.0</v>
      </c>
      <c r="E1859" s="28" t="s">
        <v>5013</v>
      </c>
      <c r="F1859" s="7" t="str">
        <f>IFERROR(__xludf.DUMMYFUNCTION("GOOGLETRANSLATE(B1859:B5064,""en"",""fr"")"),"image")</f>
        <v>image</v>
      </c>
    </row>
    <row r="1860" ht="19.5" customHeight="1">
      <c r="A1860" s="26" t="s">
        <v>5014</v>
      </c>
      <c r="B1860" s="27" t="s">
        <v>5015</v>
      </c>
      <c r="C1860" s="28" t="s">
        <v>178</v>
      </c>
      <c r="D1860" s="29">
        <v>165.0</v>
      </c>
      <c r="E1860" s="28" t="s">
        <v>5016</v>
      </c>
      <c r="F1860" s="7" t="str">
        <f>IFERROR(__xludf.DUMMYFUNCTION("GOOGLETRANSLATE(B1860:B5064,""en"",""fr"")"),"parade")</f>
        <v>parade</v>
      </c>
    </row>
    <row r="1861" ht="19.5" customHeight="1">
      <c r="A1861" s="26" t="s">
        <v>5017</v>
      </c>
      <c r="B1861" s="27" t="s">
        <v>5018</v>
      </c>
      <c r="C1861" s="28" t="s">
        <v>178</v>
      </c>
      <c r="D1861" s="29">
        <v>165.0</v>
      </c>
      <c r="E1861" s="28" t="s">
        <v>5019</v>
      </c>
      <c r="F1861" s="7" t="str">
        <f>IFERROR(__xludf.DUMMYFUNCTION("GOOGLETRANSLATE(B1861:B5064,""en"",""fr"")"),"fusée")</f>
        <v>fusée</v>
      </c>
    </row>
    <row r="1862" ht="19.5" customHeight="1">
      <c r="A1862" s="26" t="s">
        <v>5020</v>
      </c>
      <c r="B1862" s="27" t="s">
        <v>5021</v>
      </c>
      <c r="C1862" s="28" t="s">
        <v>178</v>
      </c>
      <c r="D1862" s="29">
        <v>165.0</v>
      </c>
      <c r="E1862" s="28" t="s">
        <v>5022</v>
      </c>
      <c r="F1862" s="7" t="str">
        <f>IFERROR(__xludf.DUMMYFUNCTION("GOOGLETRANSLATE(B1862:B5064,""en"",""fr"")"),"solution")</f>
        <v>solution</v>
      </c>
    </row>
    <row r="1863" ht="19.5" customHeight="1">
      <c r="A1863" s="26" t="s">
        <v>5023</v>
      </c>
      <c r="B1863" s="27" t="s">
        <v>5024</v>
      </c>
      <c r="C1863" s="28" t="s">
        <v>178</v>
      </c>
      <c r="D1863" s="29">
        <v>164.0</v>
      </c>
      <c r="E1863" s="28" t="s">
        <v>5025</v>
      </c>
      <c r="F1863" s="7" t="str">
        <f>IFERROR(__xludf.DUMMYFUNCTION("GOOGLETRANSLATE(B1863:B5064,""en"",""fr"")"),"câble")</f>
        <v>câble</v>
      </c>
    </row>
    <row r="1864" ht="19.5" customHeight="1">
      <c r="A1864" s="26" t="s">
        <v>5026</v>
      </c>
      <c r="B1864" s="27" t="s">
        <v>5027</v>
      </c>
      <c r="C1864" s="28" t="s">
        <v>178</v>
      </c>
      <c r="D1864" s="29">
        <v>164.0</v>
      </c>
      <c r="E1864" s="28" t="s">
        <v>5028</v>
      </c>
      <c r="F1864" s="7" t="str">
        <f>IFERROR(__xludf.DUMMYFUNCTION("GOOGLETRANSLATE(B1864:B5064,""en"",""fr"")"),"culture")</f>
        <v>culture</v>
      </c>
    </row>
    <row r="1865" ht="19.5" customHeight="1">
      <c r="A1865" s="26" t="s">
        <v>5029</v>
      </c>
      <c r="B1865" s="27" t="s">
        <v>5030</v>
      </c>
      <c r="C1865" s="28" t="s">
        <v>150</v>
      </c>
      <c r="D1865" s="29">
        <v>164.0</v>
      </c>
      <c r="E1865" s="28" t="s">
        <v>5030</v>
      </c>
      <c r="F1865" s="7" t="str">
        <f>IFERROR(__xludf.DUMMYFUNCTION("GOOGLETRANSLATE(B1865:B5064,""en"",""fr"")"),"quarante-cinq")</f>
        <v>quarante-cinq</v>
      </c>
    </row>
    <row r="1866" ht="19.5" customHeight="1">
      <c r="A1866" s="26" t="s">
        <v>5031</v>
      </c>
      <c r="B1866" s="27" t="s">
        <v>5032</v>
      </c>
      <c r="C1866" s="28" t="s">
        <v>178</v>
      </c>
      <c r="D1866" s="29">
        <v>164.0</v>
      </c>
      <c r="E1866" s="28" t="s">
        <v>5033</v>
      </c>
      <c r="F1866" s="7" t="str">
        <f>IFERROR(__xludf.DUMMYFUNCTION("GOOGLETRANSLATE(B1866:B5064,""en"",""fr"")"),"garage")</f>
        <v>garage</v>
      </c>
    </row>
    <row r="1867" ht="19.5" customHeight="1">
      <c r="A1867" s="26" t="s">
        <v>5034</v>
      </c>
      <c r="B1867" s="27" t="s">
        <v>5035</v>
      </c>
      <c r="C1867" s="28" t="s">
        <v>134</v>
      </c>
      <c r="D1867" s="29">
        <v>164.0</v>
      </c>
      <c r="E1867" s="28" t="s">
        <v>5035</v>
      </c>
      <c r="F1867" s="7" t="str">
        <f>IFERROR(__xludf.DUMMYFUNCTION("GOOGLETRANSLATE(B1867:B5064,""en"",""fr"")"),"mâle")</f>
        <v>mâle</v>
      </c>
    </row>
    <row r="1868" ht="19.5" customHeight="1">
      <c r="A1868" s="26" t="s">
        <v>5036</v>
      </c>
      <c r="B1868" s="27" t="s">
        <v>5037</v>
      </c>
      <c r="C1868" s="28" t="s">
        <v>178</v>
      </c>
      <c r="D1868" s="29">
        <v>164.0</v>
      </c>
      <c r="E1868" s="28" t="s">
        <v>5038</v>
      </c>
      <c r="F1868" s="7" t="str">
        <f>IFERROR(__xludf.DUMMYFUNCTION("GOOGLETRANSLATE(B1868:B5064,""en"",""fr"")"),"vengeance")</f>
        <v>vengeance</v>
      </c>
    </row>
    <row r="1869" ht="19.5" customHeight="1">
      <c r="A1869" s="26" t="s">
        <v>5039</v>
      </c>
      <c r="B1869" s="27" t="s">
        <v>5040</v>
      </c>
      <c r="C1869" s="28" t="s">
        <v>178</v>
      </c>
      <c r="D1869" s="29">
        <v>164.0</v>
      </c>
      <c r="E1869" s="28" t="s">
        <v>5041</v>
      </c>
      <c r="F1869" s="7" t="str">
        <f>IFERROR(__xludf.DUMMYFUNCTION("GOOGLETRANSLATE(B1869:B5064,""en"",""fr"")"),"crevette")</f>
        <v>crevette</v>
      </c>
    </row>
    <row r="1870" ht="19.5" customHeight="1">
      <c r="A1870" s="26" t="s">
        <v>5042</v>
      </c>
      <c r="B1870" s="27" t="s">
        <v>5043</v>
      </c>
      <c r="C1870" s="28" t="s">
        <v>178</v>
      </c>
      <c r="D1870" s="29">
        <v>164.0</v>
      </c>
      <c r="E1870" s="28" t="s">
        <v>5044</v>
      </c>
      <c r="F1870" s="7" t="str">
        <f>IFERROR(__xludf.DUMMYFUNCTION("GOOGLETRANSLATE(B1870:B5064,""en"",""fr"")"),"taco")</f>
        <v>taco</v>
      </c>
    </row>
    <row r="1871" ht="19.5" customHeight="1">
      <c r="A1871" s="26" t="s">
        <v>5045</v>
      </c>
      <c r="B1871" s="27" t="s">
        <v>5046</v>
      </c>
      <c r="C1871" s="28" t="s">
        <v>134</v>
      </c>
      <c r="D1871" s="29">
        <v>164.0</v>
      </c>
      <c r="E1871" s="28" t="s">
        <v>5047</v>
      </c>
      <c r="F1871" s="7" t="str">
        <f>IFERROR(__xludf.DUMMYFUNCTION("GOOGLETRANSLATE(B1871:B5064,""en"",""fr"")"),"mince")</f>
        <v>mince</v>
      </c>
    </row>
    <row r="1872" ht="19.5" customHeight="1">
      <c r="A1872" s="26" t="s">
        <v>5048</v>
      </c>
      <c r="B1872" s="27" t="s">
        <v>2921</v>
      </c>
      <c r="C1872" s="28" t="s">
        <v>178</v>
      </c>
      <c r="D1872" s="29">
        <v>164.0</v>
      </c>
      <c r="E1872" s="28" t="s">
        <v>5049</v>
      </c>
      <c r="F1872" s="7" t="str">
        <f>IFERROR(__xludf.DUMMYFUNCTION("GOOGLETRANSLATE(B1872:B5064,""en"",""fr"")"),"vote")</f>
        <v>vote</v>
      </c>
    </row>
    <row r="1873" ht="19.5" customHeight="1">
      <c r="A1873" s="26" t="s">
        <v>5050</v>
      </c>
      <c r="B1873" s="27" t="s">
        <v>5051</v>
      </c>
      <c r="C1873" s="28" t="s">
        <v>100</v>
      </c>
      <c r="D1873" s="29">
        <v>163.0</v>
      </c>
      <c r="E1873" s="28" t="s">
        <v>5051</v>
      </c>
      <c r="F1873" s="7" t="str">
        <f>IFERROR(__xludf.DUMMYFUNCTION("GOOGLETRANSLATE(B1873:B5064,""en"",""fr"")"),"de côté")</f>
        <v>de côté</v>
      </c>
    </row>
    <row r="1874" ht="19.5" customHeight="1">
      <c r="A1874" s="26" t="s">
        <v>5052</v>
      </c>
      <c r="B1874" s="27" t="s">
        <v>5053</v>
      </c>
      <c r="C1874" s="28" t="s">
        <v>178</v>
      </c>
      <c r="D1874" s="29">
        <v>163.0</v>
      </c>
      <c r="E1874" s="28" t="s">
        <v>5054</v>
      </c>
      <c r="F1874" s="7" t="str">
        <f>IFERROR(__xludf.DUMMYFUNCTION("GOOGLETRANSLATE(B1874:B5064,""en"",""fr"")"),"clochard")</f>
        <v>clochard</v>
      </c>
    </row>
    <row r="1875" ht="19.5" customHeight="1">
      <c r="A1875" s="26" t="s">
        <v>5055</v>
      </c>
      <c r="B1875" s="27" t="s">
        <v>5056</v>
      </c>
      <c r="C1875" s="28" t="s">
        <v>32</v>
      </c>
      <c r="D1875" s="29">
        <v>163.0</v>
      </c>
      <c r="E1875" s="28" t="s">
        <v>5057</v>
      </c>
      <c r="F1875" s="7" t="str">
        <f>IFERROR(__xludf.DUMMYFUNCTION("GOOGLETRANSLATE(B1875:B5064,""en"",""fr"")"),"distraire")</f>
        <v>distraire</v>
      </c>
    </row>
    <row r="1876" ht="19.5" customHeight="1">
      <c r="A1876" s="26" t="s">
        <v>5058</v>
      </c>
      <c r="B1876" s="27" t="s">
        <v>5059</v>
      </c>
      <c r="C1876" s="28" t="s">
        <v>4654</v>
      </c>
      <c r="D1876" s="29">
        <v>163.0</v>
      </c>
      <c r="E1876" s="28" t="s">
        <v>5060</v>
      </c>
      <c r="F1876" s="7" t="str">
        <f>IFERROR(__xludf.DUMMYFUNCTION("GOOGLETRANSLATE(B1876:B5064,""en"",""fr"")"),"DVD")</f>
        <v>DVD</v>
      </c>
    </row>
    <row r="1877" ht="19.5" customHeight="1">
      <c r="A1877" s="26" t="s">
        <v>5061</v>
      </c>
      <c r="B1877" s="27" t="s">
        <v>5062</v>
      </c>
      <c r="C1877" s="28" t="s">
        <v>85</v>
      </c>
      <c r="D1877" s="29">
        <v>163.0</v>
      </c>
      <c r="E1877" s="28" t="s">
        <v>5062</v>
      </c>
      <c r="F1877" s="7" t="str">
        <f>IFERROR(__xludf.DUMMYFUNCTION("GOOGLETRANSLATE(B1877:B5064,""en"",""fr"")"),"hehe")</f>
        <v>hehe</v>
      </c>
    </row>
    <row r="1878" ht="19.5" customHeight="1">
      <c r="A1878" s="26" t="s">
        <v>5063</v>
      </c>
      <c r="B1878" s="27" t="s">
        <v>5064</v>
      </c>
      <c r="C1878" s="28" t="s">
        <v>32</v>
      </c>
      <c r="D1878" s="29">
        <v>163.0</v>
      </c>
      <c r="E1878" s="28" t="s">
        <v>5065</v>
      </c>
      <c r="F1878" s="7" t="str">
        <f>IFERROR(__xludf.DUMMYFUNCTION("GOOGLETRANSLATE(B1878:B5064,""en"",""fr"")"),"humilier")</f>
        <v>humilier</v>
      </c>
    </row>
    <row r="1879" ht="19.5" customHeight="1">
      <c r="A1879" s="26" t="s">
        <v>5066</v>
      </c>
      <c r="B1879" s="27" t="s">
        <v>5067</v>
      </c>
      <c r="C1879" s="28" t="s">
        <v>178</v>
      </c>
      <c r="D1879" s="29">
        <v>163.0</v>
      </c>
      <c r="E1879" s="28" t="s">
        <v>5068</v>
      </c>
      <c r="F1879" s="7" t="str">
        <f>IFERROR(__xludf.DUMMYFUNCTION("GOOGLETRANSLATE(B1879:B5064,""en"",""fr"")"),"casier")</f>
        <v>casier</v>
      </c>
    </row>
    <row r="1880" ht="19.5" customHeight="1">
      <c r="A1880" s="26" t="s">
        <v>5069</v>
      </c>
      <c r="B1880" s="27" t="s">
        <v>5070</v>
      </c>
      <c r="C1880" s="28" t="s">
        <v>134</v>
      </c>
      <c r="D1880" s="29">
        <v>163.0</v>
      </c>
      <c r="E1880" s="28" t="s">
        <v>5070</v>
      </c>
      <c r="F1880" s="7" t="str">
        <f>IFERROR(__xludf.DUMMYFUNCTION("GOOGLETRANSLATE(B1880:B5064,""en"",""fr"")"),"indigène")</f>
        <v>indigène</v>
      </c>
    </row>
    <row r="1881" ht="19.5" customHeight="1">
      <c r="A1881" s="26" t="s">
        <v>5071</v>
      </c>
      <c r="B1881" s="27" t="s">
        <v>5072</v>
      </c>
      <c r="C1881" s="28" t="s">
        <v>178</v>
      </c>
      <c r="D1881" s="29">
        <v>163.0</v>
      </c>
      <c r="E1881" s="28" t="s">
        <v>5073</v>
      </c>
      <c r="F1881" s="7" t="str">
        <f>IFERROR(__xludf.DUMMYFUNCTION("GOOGLETRANSLATE(B1881:B5064,""en"",""fr"")"),"performance")</f>
        <v>performance</v>
      </c>
    </row>
    <row r="1882" ht="19.5" customHeight="1">
      <c r="A1882" s="26" t="s">
        <v>5074</v>
      </c>
      <c r="B1882" s="27" t="s">
        <v>5075</v>
      </c>
      <c r="C1882" s="28" t="s">
        <v>178</v>
      </c>
      <c r="D1882" s="29">
        <v>163.0</v>
      </c>
      <c r="E1882" s="28" t="s">
        <v>5076</v>
      </c>
      <c r="F1882" s="7" t="str">
        <f>IFERROR(__xludf.DUMMYFUNCTION("GOOGLETRANSLATE(B1882:B5064,""en"",""fr"")"),"politique")</f>
        <v>politique</v>
      </c>
    </row>
    <row r="1883" ht="19.5" customHeight="1">
      <c r="A1883" s="26" t="s">
        <v>5077</v>
      </c>
      <c r="B1883" s="27" t="s">
        <v>5078</v>
      </c>
      <c r="C1883" s="28" t="s">
        <v>178</v>
      </c>
      <c r="D1883" s="29">
        <v>163.0</v>
      </c>
      <c r="E1883" s="28" t="s">
        <v>5079</v>
      </c>
      <c r="F1883" s="7" t="str">
        <f>IFERROR(__xludf.DUMMYFUNCTION("GOOGLETRANSLATE(B1883:B5064,""en"",""fr"")"),"poney")</f>
        <v>poney</v>
      </c>
    </row>
    <row r="1884" ht="19.5" customHeight="1">
      <c r="A1884" s="26" t="s">
        <v>5080</v>
      </c>
      <c r="B1884" s="27" t="s">
        <v>5081</v>
      </c>
      <c r="C1884" s="28" t="s">
        <v>32</v>
      </c>
      <c r="D1884" s="29">
        <v>163.0</v>
      </c>
      <c r="E1884" s="28" t="s">
        <v>5082</v>
      </c>
      <c r="F1884" s="7" t="str">
        <f>IFERROR(__xludf.DUMMYFUNCTION("GOOGLETRANSLATE(B1884:B5064,""en"",""fr"")"),"libérer")</f>
        <v>libérer</v>
      </c>
    </row>
    <row r="1885" ht="19.5" customHeight="1">
      <c r="A1885" s="26" t="s">
        <v>5083</v>
      </c>
      <c r="B1885" s="27" t="s">
        <v>5084</v>
      </c>
      <c r="C1885" s="28" t="s">
        <v>178</v>
      </c>
      <c r="D1885" s="29">
        <v>163.0</v>
      </c>
      <c r="E1885" s="28" t="s">
        <v>5085</v>
      </c>
      <c r="F1885" s="7" t="str">
        <f>IFERROR(__xludf.DUMMYFUNCTION("GOOGLETRANSLATE(B1885:B5064,""en"",""fr"")"),"pierre")</f>
        <v>pierre</v>
      </c>
    </row>
    <row r="1886" ht="19.5" customHeight="1">
      <c r="A1886" s="26" t="s">
        <v>5086</v>
      </c>
      <c r="B1886" s="27" t="s">
        <v>5087</v>
      </c>
      <c r="C1886" s="28" t="s">
        <v>85</v>
      </c>
      <c r="D1886" s="29">
        <v>163.0</v>
      </c>
      <c r="E1886" s="28" t="s">
        <v>5087</v>
      </c>
      <c r="F1886" s="7" t="str">
        <f>IFERROR(__xludf.DUMMYFUNCTION("GOOGLETRANSLATE(B1886:B5064,""en"",""fr"")"),"woohoo")</f>
        <v>woohoo</v>
      </c>
    </row>
    <row r="1887" ht="19.5" customHeight="1">
      <c r="A1887" s="26" t="s">
        <v>5088</v>
      </c>
      <c r="B1887" s="27" t="s">
        <v>5089</v>
      </c>
      <c r="C1887" s="28" t="s">
        <v>178</v>
      </c>
      <c r="D1887" s="29">
        <v>162.0</v>
      </c>
      <c r="E1887" s="28" t="s">
        <v>5090</v>
      </c>
      <c r="F1887" s="7" t="str">
        <f>IFERROR(__xludf.DUMMYFUNCTION("GOOGLETRANSLATE(B1887:B5064,""en"",""fr"")"),"avantage")</f>
        <v>avantage</v>
      </c>
    </row>
    <row r="1888" ht="19.5" customHeight="1">
      <c r="A1888" s="26" t="s">
        <v>5091</v>
      </c>
      <c r="B1888" s="27" t="s">
        <v>5092</v>
      </c>
      <c r="C1888" s="28" t="s">
        <v>178</v>
      </c>
      <c r="D1888" s="29">
        <v>162.0</v>
      </c>
      <c r="E1888" s="28" t="s">
        <v>5093</v>
      </c>
      <c r="F1888" s="7" t="str">
        <f>IFERROR(__xludf.DUMMYFUNCTION("GOOGLETRANSLATE(B1888:B5064,""en"",""fr"")"),"panier")</f>
        <v>panier</v>
      </c>
    </row>
    <row r="1889" ht="19.5" customHeight="1">
      <c r="A1889" s="26" t="s">
        <v>5094</v>
      </c>
      <c r="B1889" s="27" t="s">
        <v>5095</v>
      </c>
      <c r="C1889" s="28" t="s">
        <v>178</v>
      </c>
      <c r="D1889" s="29">
        <v>162.0</v>
      </c>
      <c r="E1889" s="28" t="s">
        <v>5096</v>
      </c>
      <c r="F1889" s="7" t="str">
        <f>IFERROR(__xludf.DUMMYFUNCTION("GOOGLETRANSLATE(B1889:B5064,""en"",""fr"")"),"rompre")</f>
        <v>rompre</v>
      </c>
    </row>
    <row r="1890" ht="19.5" customHeight="1">
      <c r="A1890" s="26" t="s">
        <v>5097</v>
      </c>
      <c r="B1890" s="27" t="s">
        <v>5098</v>
      </c>
      <c r="C1890" s="28" t="s">
        <v>178</v>
      </c>
      <c r="D1890" s="29">
        <v>162.0</v>
      </c>
      <c r="E1890" s="28" t="s">
        <v>5099</v>
      </c>
      <c r="F1890" s="7" t="str">
        <f>IFERROR(__xludf.DUMMYFUNCTION("GOOGLETRANSLATE(B1890:B5064,""en"",""fr"")"),"appareil")</f>
        <v>appareil</v>
      </c>
    </row>
    <row r="1891" ht="19.5" customHeight="1">
      <c r="A1891" s="26" t="s">
        <v>5100</v>
      </c>
      <c r="B1891" s="27" t="s">
        <v>5101</v>
      </c>
      <c r="C1891" s="28" t="s">
        <v>178</v>
      </c>
      <c r="D1891" s="29">
        <v>162.0</v>
      </c>
      <c r="E1891" s="28" t="s">
        <v>5102</v>
      </c>
      <c r="F1891" s="7" t="str">
        <f>IFERROR(__xludf.DUMMYFUNCTION("GOOGLETRANSLATE(B1891:B5064,""en"",""fr"")"),"jardin")</f>
        <v>jardin</v>
      </c>
    </row>
    <row r="1892" ht="19.5" customHeight="1">
      <c r="A1892" s="26" t="s">
        <v>5103</v>
      </c>
      <c r="B1892" s="27" t="s">
        <v>5104</v>
      </c>
      <c r="C1892" s="28" t="s">
        <v>178</v>
      </c>
      <c r="D1892" s="29">
        <v>162.0</v>
      </c>
      <c r="E1892" s="28" t="s">
        <v>5105</v>
      </c>
      <c r="F1892" s="7" t="str">
        <f>IFERROR(__xludf.DUMMYFUNCTION("GOOGLETRANSLATE(B1892:B5064,""en"",""fr"")"),"patient")</f>
        <v>patient</v>
      </c>
    </row>
    <row r="1893" ht="19.5" customHeight="1">
      <c r="A1893" s="26" t="s">
        <v>5106</v>
      </c>
      <c r="B1893" s="27" t="s">
        <v>5107</v>
      </c>
      <c r="C1893" s="28" t="s">
        <v>134</v>
      </c>
      <c r="D1893" s="29">
        <v>162.0</v>
      </c>
      <c r="E1893" s="28" t="s">
        <v>5108</v>
      </c>
      <c r="F1893" s="7" t="str">
        <f>IFERROR(__xludf.DUMMYFUNCTION("GOOGLETRANSLATE(B1893:B5064,""en"",""fr"")"),"rose")</f>
        <v>rose</v>
      </c>
    </row>
    <row r="1894" ht="19.5" customHeight="1">
      <c r="A1894" s="26" t="s">
        <v>5109</v>
      </c>
      <c r="B1894" s="27" t="s">
        <v>5110</v>
      </c>
      <c r="C1894" s="28" t="s">
        <v>32</v>
      </c>
      <c r="D1894" s="29">
        <v>162.0</v>
      </c>
      <c r="E1894" s="28" t="s">
        <v>5111</v>
      </c>
      <c r="F1894" s="7" t="str">
        <f>IFERROR(__xludf.DUMMYFUNCTION("GOOGLETRANSLATE(B1894:B5064,""en"",""fr"")"),"représenter")</f>
        <v>représenter</v>
      </c>
    </row>
    <row r="1895" ht="19.5" customHeight="1">
      <c r="A1895" s="26" t="s">
        <v>5112</v>
      </c>
      <c r="B1895" s="27" t="s">
        <v>5113</v>
      </c>
      <c r="C1895" s="28" t="s">
        <v>150</v>
      </c>
      <c r="D1895" s="29">
        <v>162.0</v>
      </c>
      <c r="E1895" s="28" t="s">
        <v>5114</v>
      </c>
      <c r="F1895" s="7" t="str">
        <f>IFERROR(__xludf.DUMMYFUNCTION("GOOGLETRANSLATE(B1895:B5064,""en"",""fr"")"),"treize")</f>
        <v>treize</v>
      </c>
    </row>
    <row r="1896" ht="19.5" customHeight="1">
      <c r="A1896" s="26" t="s">
        <v>5115</v>
      </c>
      <c r="B1896" s="27" t="s">
        <v>5116</v>
      </c>
      <c r="C1896" s="28" t="s">
        <v>178</v>
      </c>
      <c r="D1896" s="29">
        <v>162.0</v>
      </c>
      <c r="E1896" s="28" t="s">
        <v>5117</v>
      </c>
      <c r="F1896" s="7" t="str">
        <f>IFERROR(__xludf.DUMMYFUNCTION("GOOGLETRANSLATE(B1896:B5064,""en"",""fr"")"),"trésor")</f>
        <v>trésor</v>
      </c>
    </row>
    <row r="1897" ht="19.5" customHeight="1">
      <c r="A1897" s="26" t="s">
        <v>5118</v>
      </c>
      <c r="B1897" s="27" t="s">
        <v>5119</v>
      </c>
      <c r="C1897" s="28" t="s">
        <v>178</v>
      </c>
      <c r="D1897" s="29">
        <v>161.0</v>
      </c>
      <c r="E1897" s="28" t="s">
        <v>5120</v>
      </c>
      <c r="F1897" s="7" t="str">
        <f>IFERROR(__xludf.DUMMYFUNCTION("GOOGLETRANSLATE(B1897:B5064,""en"",""fr"")"),"montant")</f>
        <v>montant</v>
      </c>
    </row>
    <row r="1898" ht="19.5" customHeight="1">
      <c r="A1898" s="26" t="s">
        <v>5121</v>
      </c>
      <c r="B1898" s="27" t="s">
        <v>5122</v>
      </c>
      <c r="C1898" s="28" t="s">
        <v>178</v>
      </c>
      <c r="D1898" s="29">
        <v>161.0</v>
      </c>
      <c r="E1898" s="28" t="s">
        <v>5123</v>
      </c>
      <c r="F1898" s="7" t="str">
        <f>IFERROR(__xludf.DUMMYFUNCTION("GOOGLETRANSLATE(B1898:B5064,""en"",""fr"")"),"Pet")</f>
        <v>Pet</v>
      </c>
    </row>
    <row r="1899" ht="19.5" customHeight="1">
      <c r="A1899" s="26" t="s">
        <v>5124</v>
      </c>
      <c r="B1899" s="27" t="s">
        <v>5125</v>
      </c>
      <c r="C1899" s="28" t="s">
        <v>178</v>
      </c>
      <c r="D1899" s="29">
        <v>161.0</v>
      </c>
      <c r="E1899" s="28" t="s">
        <v>5126</v>
      </c>
      <c r="F1899" s="7" t="str">
        <f>IFERROR(__xludf.DUMMYFUNCTION("GOOGLETRANSLATE(B1899:B5064,""en"",""fr"")"),"journal")</f>
        <v>journal</v>
      </c>
    </row>
    <row r="1900" ht="19.5" customHeight="1">
      <c r="A1900" s="26" t="s">
        <v>5127</v>
      </c>
      <c r="B1900" s="27" t="s">
        <v>5128</v>
      </c>
      <c r="C1900" s="28" t="s">
        <v>178</v>
      </c>
      <c r="D1900" s="29">
        <v>161.0</v>
      </c>
      <c r="E1900" s="28" t="s">
        <v>5129</v>
      </c>
      <c r="F1900" s="7" t="str">
        <f>IFERROR(__xludf.DUMMYFUNCTION("GOOGLETRANSLATE(B1900:B5064,""en"",""fr"")"),"vent")</f>
        <v>vent</v>
      </c>
    </row>
    <row r="1901" ht="19.5" customHeight="1">
      <c r="A1901" s="26" t="s">
        <v>5130</v>
      </c>
      <c r="B1901" s="27" t="s">
        <v>1404</v>
      </c>
      <c r="C1901" s="28" t="s">
        <v>178</v>
      </c>
      <c r="D1901" s="29">
        <v>160.0</v>
      </c>
      <c r="E1901" s="28" t="s">
        <v>5131</v>
      </c>
      <c r="F1901" s="7" t="str">
        <f>IFERROR(__xludf.DUMMYFUNCTION("GOOGLETRANSLATE(B1901:B5064,""en"",""fr"")"),"acte")</f>
        <v>acte</v>
      </c>
    </row>
    <row r="1902" ht="19.5" customHeight="1">
      <c r="A1902" s="26" t="s">
        <v>5132</v>
      </c>
      <c r="B1902" s="27" t="s">
        <v>5133</v>
      </c>
      <c r="C1902" s="28" t="s">
        <v>134</v>
      </c>
      <c r="D1902" s="29">
        <v>160.0</v>
      </c>
      <c r="E1902" s="28" t="s">
        <v>5133</v>
      </c>
      <c r="F1902" s="7" t="str">
        <f>IFERROR(__xludf.DUMMYFUNCTION("GOOGLETRANSLATE(B1902:B5064,""en"",""fr"")"),"honteux")</f>
        <v>honteux</v>
      </c>
    </row>
    <row r="1903" ht="19.5" customHeight="1">
      <c r="A1903" s="26" t="s">
        <v>5134</v>
      </c>
      <c r="B1903" s="27" t="s">
        <v>5135</v>
      </c>
      <c r="C1903" s="28" t="s">
        <v>178</v>
      </c>
      <c r="D1903" s="29">
        <v>160.0</v>
      </c>
      <c r="E1903" s="28" t="s">
        <v>5136</v>
      </c>
      <c r="F1903" s="7" t="str">
        <f>IFERROR(__xludf.DUMMYFUNCTION("GOOGLETRANSLATE(B1903:B5064,""en"",""fr"")"),"champion")</f>
        <v>champion</v>
      </c>
    </row>
    <row r="1904" ht="19.5" customHeight="1">
      <c r="A1904" s="26" t="s">
        <v>5137</v>
      </c>
      <c r="B1904" s="27" t="s">
        <v>1609</v>
      </c>
      <c r="C1904" s="28" t="s">
        <v>32</v>
      </c>
      <c r="D1904" s="29">
        <v>160.0</v>
      </c>
      <c r="E1904" s="28" t="s">
        <v>5138</v>
      </c>
      <c r="F1904" s="7" t="str">
        <f>IFERROR(__xludf.DUMMYFUNCTION("GOOGLETRANSLATE(B1904:B5064,""en"",""fr"")"),"lumière")</f>
        <v>lumière</v>
      </c>
    </row>
    <row r="1905" ht="19.5" customHeight="1">
      <c r="A1905" s="26" t="s">
        <v>5139</v>
      </c>
      <c r="B1905" s="27" t="s">
        <v>5140</v>
      </c>
      <c r="C1905" s="28" t="s">
        <v>36</v>
      </c>
      <c r="D1905" s="29">
        <v>160.0</v>
      </c>
      <c r="E1905" s="28" t="s">
        <v>5140</v>
      </c>
      <c r="F1905" s="7" t="str">
        <f>IFERROR(__xludf.DUMMYFUNCTION("GOOGLETRANSLATE(B1905:B5064,""en"",""fr"")"),"par")</f>
        <v>par</v>
      </c>
    </row>
    <row r="1906" ht="19.5" customHeight="1">
      <c r="A1906" s="26" t="s">
        <v>5141</v>
      </c>
      <c r="B1906" s="27" t="s">
        <v>5142</v>
      </c>
      <c r="C1906" s="28" t="s">
        <v>178</v>
      </c>
      <c r="D1906" s="29">
        <v>160.0</v>
      </c>
      <c r="E1906" s="28" t="s">
        <v>5143</v>
      </c>
      <c r="F1906" s="7" t="str">
        <f>IFERROR(__xludf.DUMMYFUNCTION("GOOGLETRANSLATE(B1906:B5064,""en"",""fr"")"),"scout")</f>
        <v>scout</v>
      </c>
    </row>
    <row r="1907" ht="19.5" customHeight="1">
      <c r="A1907" s="26" t="s">
        <v>5144</v>
      </c>
      <c r="B1907" s="27" t="s">
        <v>5145</v>
      </c>
      <c r="C1907" s="28" t="s">
        <v>178</v>
      </c>
      <c r="D1907" s="29">
        <v>159.0</v>
      </c>
      <c r="E1907" s="28" t="s">
        <v>5146</v>
      </c>
      <c r="F1907" s="7" t="str">
        <f>IFERROR(__xludf.DUMMYFUNCTION("GOOGLETRANSLATE(B1907:B5064,""en"",""fr"")"),"guitare")</f>
        <v>guitare</v>
      </c>
    </row>
    <row r="1908" ht="19.5" customHeight="1">
      <c r="A1908" s="26" t="s">
        <v>5147</v>
      </c>
      <c r="B1908" s="27" t="s">
        <v>5148</v>
      </c>
      <c r="C1908" s="28" t="s">
        <v>134</v>
      </c>
      <c r="D1908" s="29">
        <v>159.0</v>
      </c>
      <c r="E1908" s="28" t="s">
        <v>5148</v>
      </c>
      <c r="F1908" s="7" t="str">
        <f>IFERROR(__xludf.DUMMYFUNCTION("GOOGLETRANSLATE(B1908:B5064,""en"",""fr"")"),"mental")</f>
        <v>mental</v>
      </c>
    </row>
    <row r="1909" ht="19.5" customHeight="1">
      <c r="A1909" s="26" t="s">
        <v>5149</v>
      </c>
      <c r="B1909" s="27" t="s">
        <v>5150</v>
      </c>
      <c r="C1909" s="28" t="s">
        <v>134</v>
      </c>
      <c r="D1909" s="29">
        <v>159.0</v>
      </c>
      <c r="E1909" s="28" t="s">
        <v>5150</v>
      </c>
      <c r="F1909" s="7" t="str">
        <f>IFERROR(__xludf.DUMMYFUNCTION("GOOGLETRANSLATE(B1909:B5064,""en"",""fr"")"),"sensible")</f>
        <v>sensible</v>
      </c>
    </row>
    <row r="1910" ht="19.5" customHeight="1">
      <c r="A1910" s="26" t="s">
        <v>5151</v>
      </c>
      <c r="B1910" s="27" t="s">
        <v>5152</v>
      </c>
      <c r="C1910" s="28" t="s">
        <v>150</v>
      </c>
      <c r="D1910" s="29">
        <v>159.0</v>
      </c>
      <c r="E1910" s="28" t="s">
        <v>5152</v>
      </c>
      <c r="F1910" s="7" t="str">
        <f>IFERROR(__xludf.DUMMYFUNCTION("GOOGLETRANSLATE(B1910:B5064,""en"",""fr"")"),"vingt-quatre")</f>
        <v>vingt-quatre</v>
      </c>
    </row>
    <row r="1911" ht="19.5" customHeight="1">
      <c r="A1911" s="26" t="s">
        <v>5153</v>
      </c>
      <c r="B1911" s="27" t="s">
        <v>5154</v>
      </c>
      <c r="C1911" s="28" t="s">
        <v>178</v>
      </c>
      <c r="D1911" s="29">
        <v>158.0</v>
      </c>
      <c r="E1911" s="28" t="s">
        <v>5155</v>
      </c>
      <c r="F1911" s="7" t="str">
        <f>IFERROR(__xludf.DUMMYFUNCTION("GOOGLETRANSLATE(B1911:B5064,""en"",""fr"")"),"chaleur")</f>
        <v>chaleur</v>
      </c>
    </row>
    <row r="1912" ht="19.5" customHeight="1">
      <c r="A1912" s="26" t="s">
        <v>5156</v>
      </c>
      <c r="B1912" s="27" t="s">
        <v>5157</v>
      </c>
      <c r="C1912" s="28" t="s">
        <v>36</v>
      </c>
      <c r="D1912" s="29">
        <v>158.0</v>
      </c>
      <c r="E1912" s="28" t="s">
        <v>5157</v>
      </c>
      <c r="F1912" s="7" t="str">
        <f>IFERROR(__xludf.DUMMYFUNCTION("GOOGLETRANSLATE(B1912:B5064,""en"",""fr"")"),"sinon")</f>
        <v>sinon</v>
      </c>
    </row>
    <row r="1913" ht="19.5" customHeight="1">
      <c r="A1913" s="26" t="s">
        <v>5158</v>
      </c>
      <c r="B1913" s="27" t="s">
        <v>5159</v>
      </c>
      <c r="C1913" s="28" t="s">
        <v>150</v>
      </c>
      <c r="D1913" s="29">
        <v>158.0</v>
      </c>
      <c r="E1913" s="28" t="s">
        <v>5160</v>
      </c>
      <c r="F1913" s="7" t="str">
        <f>IFERROR(__xludf.DUMMYFUNCTION("GOOGLETRANSLATE(B1913:B5064,""en"",""fr"")"),"dix-sept")</f>
        <v>dix-sept</v>
      </c>
    </row>
    <row r="1914" ht="19.5" customHeight="1">
      <c r="A1914" s="26" t="s">
        <v>5161</v>
      </c>
      <c r="B1914" s="27" t="s">
        <v>5162</v>
      </c>
      <c r="C1914" s="28" t="s">
        <v>178</v>
      </c>
      <c r="D1914" s="29">
        <v>158.0</v>
      </c>
      <c r="E1914" s="28" t="s">
        <v>5163</v>
      </c>
      <c r="F1914" s="7" t="str">
        <f>IFERROR(__xludf.DUMMYFUNCTION("GOOGLETRANSLATE(B1914:B5064,""en"",""fr"")"),"chaîne")</f>
        <v>chaîne</v>
      </c>
    </row>
    <row r="1915" ht="19.5" customHeight="1">
      <c r="A1915" s="26" t="s">
        <v>5164</v>
      </c>
      <c r="B1915" s="27" t="s">
        <v>5128</v>
      </c>
      <c r="C1915" s="28" t="s">
        <v>32</v>
      </c>
      <c r="D1915" s="29">
        <v>158.0</v>
      </c>
      <c r="E1915" s="28" t="s">
        <v>5165</v>
      </c>
      <c r="F1915" s="7" t="str">
        <f>IFERROR(__xludf.DUMMYFUNCTION("GOOGLETRANSLATE(B1915:B5064,""en"",""fr"")"),"vent")</f>
        <v>vent</v>
      </c>
    </row>
    <row r="1916" ht="19.5" customHeight="1">
      <c r="A1916" s="26" t="s">
        <v>5166</v>
      </c>
      <c r="B1916" s="27" t="s">
        <v>5167</v>
      </c>
      <c r="C1916" s="28" t="s">
        <v>100</v>
      </c>
      <c r="D1916" s="29">
        <v>157.0</v>
      </c>
      <c r="E1916" s="28" t="s">
        <v>5167</v>
      </c>
      <c r="F1916" s="7" t="str">
        <f>IFERROR(__xludf.DUMMYFUNCTION("GOOGLETRANSLATE(B1916:B5064,""en"",""fr"")"),"en bas")</f>
        <v>en bas</v>
      </c>
    </row>
    <row r="1917" ht="19.5" customHeight="1">
      <c r="A1917" s="26" t="s">
        <v>5168</v>
      </c>
      <c r="B1917" s="27" t="s">
        <v>5169</v>
      </c>
      <c r="C1917" s="28" t="s">
        <v>134</v>
      </c>
      <c r="D1917" s="29">
        <v>157.0</v>
      </c>
      <c r="E1917" s="28" t="s">
        <v>5169</v>
      </c>
      <c r="F1917" s="7" t="str">
        <f>IFERROR(__xludf.DUMMYFUNCTION("GOOGLETRANSLATE(B1917:B5064,""en"",""fr"")"),"impressionnant")</f>
        <v>impressionnant</v>
      </c>
    </row>
    <row r="1918" ht="19.5" customHeight="1">
      <c r="A1918" s="26" t="s">
        <v>5170</v>
      </c>
      <c r="B1918" s="27" t="s">
        <v>5171</v>
      </c>
      <c r="C1918" s="28" t="s">
        <v>178</v>
      </c>
      <c r="D1918" s="29">
        <v>157.0</v>
      </c>
      <c r="E1918" s="28" t="s">
        <v>5172</v>
      </c>
      <c r="F1918" s="7" t="str">
        <f>IFERROR(__xludf.DUMMYFUNCTION("GOOGLETRANSLATE(B1918:B5064,""en"",""fr"")"),"caca")</f>
        <v>caca</v>
      </c>
    </row>
    <row r="1919" ht="19.5" customHeight="1">
      <c r="A1919" s="26" t="s">
        <v>5173</v>
      </c>
      <c r="B1919" s="27" t="s">
        <v>5174</v>
      </c>
      <c r="C1919" s="28" t="s">
        <v>178</v>
      </c>
      <c r="D1919" s="29">
        <v>157.0</v>
      </c>
      <c r="E1919" s="28" t="s">
        <v>5175</v>
      </c>
      <c r="F1919" s="7" t="str">
        <f>IFERROR(__xludf.DUMMYFUNCTION("GOOGLETRANSLATE(B1919:B5064,""en"",""fr"")"),"propriété")</f>
        <v>propriété</v>
      </c>
    </row>
    <row r="1920" ht="19.5" customHeight="1">
      <c r="A1920" s="26" t="s">
        <v>5176</v>
      </c>
      <c r="B1920" s="27" t="s">
        <v>5177</v>
      </c>
      <c r="C1920" s="28" t="s">
        <v>178</v>
      </c>
      <c r="D1920" s="29">
        <v>157.0</v>
      </c>
      <c r="E1920" s="28" t="s">
        <v>5178</v>
      </c>
      <c r="F1920" s="7" t="str">
        <f>IFERROR(__xludf.DUMMYFUNCTION("GOOGLETRANSLATE(B1920:B5064,""en"",""fr"")"),"compétence")</f>
        <v>compétence</v>
      </c>
    </row>
    <row r="1921" ht="19.5" customHeight="1">
      <c r="A1921" s="26" t="s">
        <v>5179</v>
      </c>
      <c r="B1921" s="27" t="s">
        <v>800</v>
      </c>
      <c r="C1921" s="28" t="s">
        <v>178</v>
      </c>
      <c r="D1921" s="29">
        <v>157.0</v>
      </c>
      <c r="E1921" s="28" t="s">
        <v>5180</v>
      </c>
      <c r="F1921" s="7" t="str">
        <f>IFERROR(__xludf.DUMMYFUNCTION("GOOGLETRANSLATE(B1921:B5064,""en"",""fr"")"),"marcher")</f>
        <v>marcher</v>
      </c>
    </row>
    <row r="1922" ht="19.5" customHeight="1">
      <c r="A1922" s="26" t="s">
        <v>5181</v>
      </c>
      <c r="B1922" s="27" t="s">
        <v>5182</v>
      </c>
      <c r="C1922" s="28" t="s">
        <v>85</v>
      </c>
      <c r="D1922" s="29">
        <v>156.0</v>
      </c>
      <c r="E1922" s="28" t="s">
        <v>5182</v>
      </c>
      <c r="F1922" s="7" t="str">
        <f>IFERROR(__xludf.DUMMYFUNCTION("GOOGLETRANSLATE(B1922:B5064,""en"",""fr"")"),"prendre la gueulée")</f>
        <v>prendre la gueulée</v>
      </c>
    </row>
    <row r="1923" ht="19.5" customHeight="1">
      <c r="A1923" s="26" t="s">
        <v>5183</v>
      </c>
      <c r="B1923" s="27" t="s">
        <v>2251</v>
      </c>
      <c r="C1923" s="28" t="s">
        <v>178</v>
      </c>
      <c r="D1923" s="29">
        <v>156.0</v>
      </c>
      <c r="E1923" s="28" t="s">
        <v>5184</v>
      </c>
      <c r="F1923" s="7" t="str">
        <f>IFERROR(__xludf.DUMMYFUNCTION("GOOGLETRANSLATE(B1923:B5064,""en"",""fr"")"),"plomb")</f>
        <v>plomb</v>
      </c>
    </row>
    <row r="1924" ht="19.5" customHeight="1">
      <c r="A1924" s="26" t="s">
        <v>5185</v>
      </c>
      <c r="B1924" s="27" t="s">
        <v>5186</v>
      </c>
      <c r="C1924" s="28" t="s">
        <v>178</v>
      </c>
      <c r="D1924" s="29">
        <v>156.0</v>
      </c>
      <c r="E1924" s="28" t="s">
        <v>5187</v>
      </c>
      <c r="F1924" s="7" t="str">
        <f>IFERROR(__xludf.DUMMYFUNCTION("GOOGLETRANSLATE(B1924:B5064,""en"",""fr"")"),"crêpe")</f>
        <v>crêpe</v>
      </c>
    </row>
    <row r="1925" ht="19.5" customHeight="1">
      <c r="A1925" s="26" t="s">
        <v>5188</v>
      </c>
      <c r="B1925" s="27" t="s">
        <v>4075</v>
      </c>
      <c r="C1925" s="28" t="s">
        <v>32</v>
      </c>
      <c r="D1925" s="29">
        <v>156.0</v>
      </c>
      <c r="E1925" s="28" t="s">
        <v>5189</v>
      </c>
      <c r="F1925" s="7" t="str">
        <f>IFERROR(__xludf.DUMMYFUNCTION("GOOGLETRANSLATE(B1925:B5064,""en"",""fr"")"),"lent")</f>
        <v>lent</v>
      </c>
    </row>
    <row r="1926" ht="19.5" customHeight="1">
      <c r="A1926" s="26" t="s">
        <v>5190</v>
      </c>
      <c r="B1926" s="27" t="s">
        <v>5191</v>
      </c>
      <c r="C1926" s="28" t="s">
        <v>178</v>
      </c>
      <c r="D1926" s="29">
        <v>156.0</v>
      </c>
      <c r="E1926" s="28" t="s">
        <v>5192</v>
      </c>
      <c r="F1926" s="7" t="str">
        <f>IFERROR(__xludf.DUMMYFUNCTION("GOOGLETRANSLATE(B1926:B5064,""en"",""fr"")"),"étranger")</f>
        <v>étranger</v>
      </c>
    </row>
    <row r="1927" ht="19.5" customHeight="1">
      <c r="A1927" s="26" t="s">
        <v>5193</v>
      </c>
      <c r="B1927" s="27" t="s">
        <v>5194</v>
      </c>
      <c r="C1927" s="28" t="s">
        <v>178</v>
      </c>
      <c r="D1927" s="29">
        <v>155.0</v>
      </c>
      <c r="E1927" s="28" t="s">
        <v>5195</v>
      </c>
      <c r="F1927" s="7" t="str">
        <f>IFERROR(__xludf.DUMMYFUNCTION("GOOGLETRANSLATE(B1927:B5064,""en"",""fr"")"),"charité")</f>
        <v>charité</v>
      </c>
    </row>
    <row r="1928" ht="19.5" customHeight="1">
      <c r="A1928" s="26" t="s">
        <v>5196</v>
      </c>
      <c r="B1928" s="27" t="s">
        <v>1835</v>
      </c>
      <c r="C1928" s="28" t="s">
        <v>32</v>
      </c>
      <c r="D1928" s="29">
        <v>155.0</v>
      </c>
      <c r="E1928" s="28" t="s">
        <v>5197</v>
      </c>
      <c r="F1928" s="7" t="str">
        <f>IFERROR(__xludf.DUMMYFUNCTION("GOOGLETRANSLATE(B1928:B5064,""en"",""fr"")"),"merde")</f>
        <v>merde</v>
      </c>
    </row>
    <row r="1929" ht="19.5" customHeight="1">
      <c r="A1929" s="26" t="s">
        <v>5198</v>
      </c>
      <c r="B1929" s="27" t="s">
        <v>5199</v>
      </c>
      <c r="C1929" s="28" t="s">
        <v>178</v>
      </c>
      <c r="D1929" s="29">
        <v>155.0</v>
      </c>
      <c r="E1929" s="28" t="s">
        <v>5200</v>
      </c>
      <c r="F1929" s="7" t="str">
        <f>IFERROR(__xludf.DUMMYFUNCTION("GOOGLETRANSLATE(B1929:B5064,""en"",""fr"")"),"liberté")</f>
        <v>liberté</v>
      </c>
    </row>
    <row r="1930" ht="19.5" customHeight="1">
      <c r="A1930" s="26" t="s">
        <v>5201</v>
      </c>
      <c r="B1930" s="27" t="s">
        <v>5202</v>
      </c>
      <c r="C1930" s="28" t="s">
        <v>32</v>
      </c>
      <c r="D1930" s="29">
        <v>155.0</v>
      </c>
      <c r="E1930" s="28" t="s">
        <v>5203</v>
      </c>
      <c r="F1930" s="7" t="str">
        <f>IFERROR(__xludf.DUMMYFUNCTION("GOOGLETRANSLATE(B1930:B5064,""en"",""fr"")"),"verser")</f>
        <v>verser</v>
      </c>
    </row>
    <row r="1931" ht="19.5" customHeight="1">
      <c r="A1931" s="26" t="s">
        <v>5204</v>
      </c>
      <c r="B1931" s="27" t="s">
        <v>637</v>
      </c>
      <c r="C1931" s="28" t="s">
        <v>32</v>
      </c>
      <c r="D1931" s="29">
        <v>155.0</v>
      </c>
      <c r="E1931" s="28" t="s">
        <v>5205</v>
      </c>
      <c r="F1931" s="7" t="str">
        <f>IFERROR(__xludf.DUMMYFUNCTION("GOOGLETRANSLATE(B1931:B5064,""en"",""fr"")"),"truc")</f>
        <v>truc</v>
      </c>
    </row>
    <row r="1932" ht="19.5" customHeight="1">
      <c r="A1932" s="26" t="s">
        <v>5206</v>
      </c>
      <c r="B1932" s="27" t="s">
        <v>5207</v>
      </c>
      <c r="C1932" s="28" t="s">
        <v>178</v>
      </c>
      <c r="D1932" s="29">
        <v>155.0</v>
      </c>
      <c r="E1932" s="28" t="s">
        <v>5208</v>
      </c>
      <c r="F1932" s="7" t="str">
        <f>IFERROR(__xludf.DUMMYFUNCTION("GOOGLETRANSLATE(B1932:B5064,""en"",""fr"")"),"tradition")</f>
        <v>tradition</v>
      </c>
    </row>
    <row r="1933" ht="19.5" customHeight="1">
      <c r="A1933" s="26" t="s">
        <v>5209</v>
      </c>
      <c r="B1933" s="27" t="s">
        <v>5210</v>
      </c>
      <c r="C1933" s="28" t="s">
        <v>178</v>
      </c>
      <c r="D1933" s="29">
        <v>154.0</v>
      </c>
      <c r="E1933" s="28" t="s">
        <v>5211</v>
      </c>
      <c r="F1933" s="7" t="str">
        <f>IFERROR(__xludf.DUMMYFUNCTION("GOOGLETRANSLATE(B1933:B5064,""en"",""fr"")"),"bœuf")</f>
        <v>bœuf</v>
      </c>
    </row>
    <row r="1934" ht="19.5" customHeight="1">
      <c r="A1934" s="26" t="s">
        <v>5212</v>
      </c>
      <c r="B1934" s="27" t="s">
        <v>1111</v>
      </c>
      <c r="C1934" s="28" t="s">
        <v>178</v>
      </c>
      <c r="D1934" s="29">
        <v>154.0</v>
      </c>
      <c r="E1934" s="28" t="s">
        <v>5213</v>
      </c>
      <c r="F1934" s="7" t="str">
        <f>IFERROR(__xludf.DUMMYFUNCTION("GOOGLETRANSLATE(B1934:B5064,""en"",""fr"")"),"mordre")</f>
        <v>mordre</v>
      </c>
    </row>
    <row r="1935" ht="19.5" customHeight="1">
      <c r="A1935" s="26" t="s">
        <v>5214</v>
      </c>
      <c r="B1935" s="27" t="s">
        <v>5215</v>
      </c>
      <c r="C1935" s="28" t="s">
        <v>178</v>
      </c>
      <c r="D1935" s="29">
        <v>154.0</v>
      </c>
      <c r="E1935" s="28" t="s">
        <v>5216</v>
      </c>
      <c r="F1935" s="7" t="str">
        <f>IFERROR(__xludf.DUMMYFUNCTION("GOOGLETRANSLATE(B1935:B5064,""en"",""fr"")"),"balle")</f>
        <v>balle</v>
      </c>
    </row>
    <row r="1936" ht="19.5" customHeight="1">
      <c r="A1936" s="26" t="s">
        <v>5217</v>
      </c>
      <c r="B1936" s="27" t="s">
        <v>5218</v>
      </c>
      <c r="C1936" s="28" t="s">
        <v>134</v>
      </c>
      <c r="D1936" s="29">
        <v>154.0</v>
      </c>
      <c r="E1936" s="28" t="s">
        <v>5219</v>
      </c>
      <c r="F1936" s="7" t="str">
        <f>IFERROR(__xludf.DUMMYFUNCTION("GOOGLETRANSLATE(B1936:B5064,""en"",""fr"")"),"curieux")</f>
        <v>curieux</v>
      </c>
    </row>
    <row r="1937" ht="19.5" customHeight="1">
      <c r="A1937" s="26" t="s">
        <v>5220</v>
      </c>
      <c r="B1937" s="27" t="s">
        <v>5221</v>
      </c>
      <c r="C1937" s="28" t="s">
        <v>178</v>
      </c>
      <c r="D1937" s="29">
        <v>154.0</v>
      </c>
      <c r="E1937" s="28" t="s">
        <v>5222</v>
      </c>
      <c r="F1937" s="7" t="str">
        <f>IFERROR(__xludf.DUMMYFUNCTION("GOOGLETRANSLATE(B1937:B5064,""en"",""fr"")"),"catastrophe")</f>
        <v>catastrophe</v>
      </c>
    </row>
    <row r="1938" ht="19.5" customHeight="1">
      <c r="A1938" s="26" t="s">
        <v>5223</v>
      </c>
      <c r="B1938" s="27" t="s">
        <v>5224</v>
      </c>
      <c r="C1938" s="28" t="s">
        <v>178</v>
      </c>
      <c r="D1938" s="29">
        <v>154.0</v>
      </c>
      <c r="E1938" s="28" t="s">
        <v>5225</v>
      </c>
      <c r="F1938" s="7" t="str">
        <f>IFERROR(__xludf.DUMMYFUNCTION("GOOGLETRANSLATE(B1938:B5064,""en"",""fr"")"),"usine")</f>
        <v>usine</v>
      </c>
    </row>
    <row r="1939" ht="19.5" customHeight="1">
      <c r="A1939" s="26" t="s">
        <v>5226</v>
      </c>
      <c r="B1939" s="27" t="s">
        <v>5227</v>
      </c>
      <c r="C1939" s="28" t="s">
        <v>178</v>
      </c>
      <c r="D1939" s="29">
        <v>154.0</v>
      </c>
      <c r="E1939" s="28" t="s">
        <v>5228</v>
      </c>
      <c r="F1939" s="7" t="str">
        <f>IFERROR(__xludf.DUMMYFUNCTION("GOOGLETRANSLATE(B1939:B5064,""en"",""fr"")"),"forêt")</f>
        <v>forêt</v>
      </c>
    </row>
    <row r="1940" ht="19.5" customHeight="1">
      <c r="A1940" s="26" t="s">
        <v>5229</v>
      </c>
      <c r="B1940" s="27" t="s">
        <v>2852</v>
      </c>
      <c r="C1940" s="28" t="s">
        <v>134</v>
      </c>
      <c r="D1940" s="29">
        <v>154.0</v>
      </c>
      <c r="E1940" s="28" t="s">
        <v>2852</v>
      </c>
      <c r="F1940" s="7" t="str">
        <f>IFERROR(__xludf.DUMMYFUNCTION("GOOGLETRANSLATE(B1940:B5064,""en"",""fr"")"),"milieu")</f>
        <v>milieu</v>
      </c>
    </row>
    <row r="1941" ht="19.5" customHeight="1">
      <c r="A1941" s="26" t="s">
        <v>5230</v>
      </c>
      <c r="B1941" s="27" t="s">
        <v>5231</v>
      </c>
      <c r="C1941" s="28" t="s">
        <v>134</v>
      </c>
      <c r="D1941" s="29">
        <v>154.0</v>
      </c>
      <c r="E1941" s="28" t="s">
        <v>5231</v>
      </c>
      <c r="F1941" s="7" t="str">
        <f>IFERROR(__xludf.DUMMYFUNCTION("GOOGLETRANSLATE(B1941:B5064,""en"",""fr"")"),"impair")</f>
        <v>impair</v>
      </c>
    </row>
    <row r="1942" ht="19.5" customHeight="1">
      <c r="A1942" s="26" t="s">
        <v>5232</v>
      </c>
      <c r="B1942" s="27" t="s">
        <v>5233</v>
      </c>
      <c r="C1942" s="28" t="s">
        <v>32</v>
      </c>
      <c r="D1942" s="29">
        <v>154.0</v>
      </c>
      <c r="E1942" s="28" t="s">
        <v>5234</v>
      </c>
      <c r="F1942" s="7" t="str">
        <f>IFERROR(__xludf.DUMMYFUNCTION("GOOGLETRANSLATE(B1942:B5064,""en"",""fr"")"),"fournir")</f>
        <v>fournir</v>
      </c>
    </row>
    <row r="1943" ht="19.5" customHeight="1">
      <c r="A1943" s="26" t="s">
        <v>5235</v>
      </c>
      <c r="B1943" s="27" t="s">
        <v>5236</v>
      </c>
      <c r="C1943" s="28" t="s">
        <v>32</v>
      </c>
      <c r="D1943" s="29">
        <v>154.0</v>
      </c>
      <c r="E1943" s="28" t="s">
        <v>5237</v>
      </c>
      <c r="F1943" s="7" t="str">
        <f>IFERROR(__xludf.DUMMYFUNCTION("GOOGLETRANSLATE(B1943:B5064,""en"",""fr"")"),"répéter")</f>
        <v>répéter</v>
      </c>
    </row>
    <row r="1944" ht="19.5" customHeight="1">
      <c r="A1944" s="26" t="s">
        <v>5238</v>
      </c>
      <c r="B1944" s="27" t="s">
        <v>5239</v>
      </c>
      <c r="C1944" s="28" t="s">
        <v>178</v>
      </c>
      <c r="D1944" s="29">
        <v>154.0</v>
      </c>
      <c r="E1944" s="28" t="s">
        <v>5240</v>
      </c>
      <c r="F1944" s="7" t="str">
        <f>IFERROR(__xludf.DUMMYFUNCTION("GOOGLETRANSLATE(B1944:B5064,""en"",""fr"")"),"section")</f>
        <v>section</v>
      </c>
    </row>
    <row r="1945" ht="19.5" customHeight="1">
      <c r="A1945" s="26" t="s">
        <v>5241</v>
      </c>
      <c r="B1945" s="27" t="s">
        <v>5242</v>
      </c>
      <c r="C1945" s="28" t="s">
        <v>178</v>
      </c>
      <c r="D1945" s="29">
        <v>154.0</v>
      </c>
      <c r="E1945" s="28" t="s">
        <v>5243</v>
      </c>
      <c r="F1945" s="7" t="str">
        <f>IFERROR(__xludf.DUMMYFUNCTION("GOOGLETRANSLATE(B1945:B5064,""en"",""fr"")"),"métro")</f>
        <v>métro</v>
      </c>
    </row>
    <row r="1946" ht="19.5" customHeight="1">
      <c r="A1946" s="26" t="s">
        <v>5244</v>
      </c>
      <c r="B1946" s="27" t="s">
        <v>5245</v>
      </c>
      <c r="C1946" s="28" t="s">
        <v>32</v>
      </c>
      <c r="D1946" s="29">
        <v>153.0</v>
      </c>
      <c r="E1946" s="28" t="s">
        <v>5246</v>
      </c>
      <c r="F1946" s="7" t="str">
        <f>IFERROR(__xludf.DUMMYFUNCTION("GOOGLETRANSLATE(B1946:B5064,""en"",""fr"")"),"étouffer")</f>
        <v>étouffer</v>
      </c>
    </row>
    <row r="1947" ht="19.5" customHeight="1">
      <c r="A1947" s="26" t="s">
        <v>5247</v>
      </c>
      <c r="B1947" s="27" t="s">
        <v>5248</v>
      </c>
      <c r="C1947" s="28" t="s">
        <v>178</v>
      </c>
      <c r="D1947" s="29">
        <v>153.0</v>
      </c>
      <c r="E1947" s="28" t="s">
        <v>5249</v>
      </c>
      <c r="F1947" s="7" t="str">
        <f>IFERROR(__xludf.DUMMYFUNCTION("GOOGLETRANSLATE(B1947:B5064,""en"",""fr"")"),"cow-boy")</f>
        <v>cow-boy</v>
      </c>
    </row>
    <row r="1948" ht="19.5" customHeight="1">
      <c r="A1948" s="26" t="s">
        <v>5250</v>
      </c>
      <c r="B1948" s="27" t="s">
        <v>5251</v>
      </c>
      <c r="C1948" s="28" t="s">
        <v>178</v>
      </c>
      <c r="D1948" s="29">
        <v>153.0</v>
      </c>
      <c r="E1948" s="28" t="s">
        <v>5251</v>
      </c>
      <c r="F1948" s="7" t="str">
        <f>IFERROR(__xludf.DUMMYFUNCTION("GOOGLETRANSLATE(B1948:B5064,""en"",""fr"")"),"saleté")</f>
        <v>saleté</v>
      </c>
    </row>
    <row r="1949" ht="19.5" customHeight="1">
      <c r="A1949" s="26" t="s">
        <v>5252</v>
      </c>
      <c r="B1949" s="27" t="s">
        <v>5253</v>
      </c>
      <c r="C1949" s="28" t="s">
        <v>178</v>
      </c>
      <c r="D1949" s="29">
        <v>153.0</v>
      </c>
      <c r="E1949" s="28" t="s">
        <v>5254</v>
      </c>
      <c r="F1949" s="7" t="str">
        <f>IFERROR(__xludf.DUMMYFUNCTION("GOOGLETRANSLATE(B1949:B5064,""en"",""fr"")"),"grenouille")</f>
        <v>grenouille</v>
      </c>
    </row>
    <row r="1950" ht="19.5" customHeight="1">
      <c r="A1950" s="26" t="s">
        <v>5255</v>
      </c>
      <c r="B1950" s="27" t="s">
        <v>5256</v>
      </c>
      <c r="C1950" s="28" t="s">
        <v>178</v>
      </c>
      <c r="D1950" s="29">
        <v>153.0</v>
      </c>
      <c r="E1950" s="28" t="s">
        <v>5257</v>
      </c>
      <c r="F1950" s="7" t="str">
        <f>IFERROR(__xludf.DUMMYFUNCTION("GOOGLETRANSLATE(B1950:B5064,""en"",""fr"")"),"citrouille")</f>
        <v>citrouille</v>
      </c>
    </row>
    <row r="1951" ht="19.5" customHeight="1">
      <c r="A1951" s="26" t="s">
        <v>5258</v>
      </c>
      <c r="B1951" s="27" t="s">
        <v>5259</v>
      </c>
      <c r="C1951" s="28" t="s">
        <v>32</v>
      </c>
      <c r="D1951" s="29">
        <v>153.0</v>
      </c>
      <c r="E1951" s="28" t="s">
        <v>5260</v>
      </c>
      <c r="F1951" s="7" t="str">
        <f>IFERROR(__xludf.DUMMYFUNCTION("GOOGLETRANSLATE(B1951:B5064,""en"",""fr"")"),"avaler")</f>
        <v>avaler</v>
      </c>
    </row>
    <row r="1952" ht="19.5" customHeight="1">
      <c r="A1952" s="26" t="s">
        <v>5261</v>
      </c>
      <c r="B1952" s="27" t="s">
        <v>5262</v>
      </c>
      <c r="C1952" s="28" t="s">
        <v>178</v>
      </c>
      <c r="D1952" s="29">
        <v>152.0</v>
      </c>
      <c r="E1952" s="28" t="s">
        <v>5262</v>
      </c>
      <c r="F1952" s="7" t="str">
        <f>IFERROR(__xludf.DUMMYFUNCTION("GOOGLETRANSLATE(B1952:B5064,""en"",""fr"")"),"lard")</f>
        <v>lard</v>
      </c>
    </row>
    <row r="1953" ht="19.5" customHeight="1">
      <c r="A1953" s="26" t="s">
        <v>5263</v>
      </c>
      <c r="B1953" s="27" t="s">
        <v>5264</v>
      </c>
      <c r="C1953" s="28" t="s">
        <v>134</v>
      </c>
      <c r="D1953" s="29">
        <v>152.0</v>
      </c>
      <c r="E1953" s="28" t="s">
        <v>5265</v>
      </c>
      <c r="F1953" s="7" t="str">
        <f>IFERROR(__xludf.DUMMYFUNCTION("GOOGLETRANSLATE(B1953:B5064,""en"",""fr"")"),"intelligent")</f>
        <v>intelligent</v>
      </c>
    </row>
    <row r="1954" ht="19.5" customHeight="1">
      <c r="A1954" s="26" t="s">
        <v>5266</v>
      </c>
      <c r="B1954" s="27" t="s">
        <v>5267</v>
      </c>
      <c r="C1954" s="28" t="s">
        <v>178</v>
      </c>
      <c r="D1954" s="29">
        <v>152.0</v>
      </c>
      <c r="E1954" s="28" t="s">
        <v>5268</v>
      </c>
      <c r="F1954" s="7" t="str">
        <f>IFERROR(__xludf.DUMMYFUNCTION("GOOGLETRANSLATE(B1954:B5064,""en"",""fr"")"),"concours")</f>
        <v>concours</v>
      </c>
    </row>
    <row r="1955" ht="19.5" customHeight="1">
      <c r="A1955" s="26" t="s">
        <v>5269</v>
      </c>
      <c r="B1955" s="27" t="s">
        <v>4867</v>
      </c>
      <c r="C1955" s="28" t="s">
        <v>178</v>
      </c>
      <c r="D1955" s="29">
        <v>152.0</v>
      </c>
      <c r="E1955" s="28" t="s">
        <v>5270</v>
      </c>
      <c r="F1955" s="7" t="str">
        <f>IFERROR(__xludf.DUMMYFUNCTION("GOOGLETRANSLATE(B1955:B5064,""en"",""fr"")"),"e-mail")</f>
        <v>e-mail</v>
      </c>
    </row>
    <row r="1956" ht="19.5" customHeight="1">
      <c r="A1956" s="26" t="s">
        <v>5271</v>
      </c>
      <c r="B1956" s="27" t="s">
        <v>5272</v>
      </c>
      <c r="C1956" s="28" t="s">
        <v>85</v>
      </c>
      <c r="D1956" s="29">
        <v>152.0</v>
      </c>
      <c r="E1956" s="28" t="s">
        <v>5272</v>
      </c>
      <c r="F1956" s="7" t="str">
        <f>IFERROR(__xludf.DUMMYFUNCTION("GOOGLETRANSLATE(B1956:B5064,""en"",""fr"")"),"il h")</f>
        <v>il h</v>
      </c>
    </row>
    <row r="1957" ht="19.5" customHeight="1">
      <c r="A1957" s="26" t="s">
        <v>5273</v>
      </c>
      <c r="B1957" s="27" t="s">
        <v>5274</v>
      </c>
      <c r="C1957" s="28" t="s">
        <v>32</v>
      </c>
      <c r="D1957" s="29">
        <v>152.0</v>
      </c>
      <c r="E1957" s="28" t="s">
        <v>5275</v>
      </c>
      <c r="F1957" s="7" t="str">
        <f>IFERROR(__xludf.DUMMYFUNCTION("GOOGLETRANSLATE(B1957:B5064,""en"",""fr"")"),"lécher")</f>
        <v>lécher</v>
      </c>
    </row>
    <row r="1958" ht="19.5" customHeight="1">
      <c r="A1958" s="26" t="s">
        <v>5276</v>
      </c>
      <c r="B1958" s="27" t="s">
        <v>5277</v>
      </c>
      <c r="C1958" s="28" t="s">
        <v>178</v>
      </c>
      <c r="D1958" s="29">
        <v>152.0</v>
      </c>
      <c r="E1958" s="28" t="s">
        <v>5278</v>
      </c>
      <c r="F1958" s="7" t="str">
        <f>IFERROR(__xludf.DUMMYFUNCTION("GOOGLETRANSLATE(B1958:B5064,""en"",""fr"")"),"mission")</f>
        <v>mission</v>
      </c>
    </row>
    <row r="1959" ht="19.5" customHeight="1">
      <c r="A1959" s="26" t="s">
        <v>5279</v>
      </c>
      <c r="B1959" s="27" t="s">
        <v>5280</v>
      </c>
      <c r="C1959" s="28" t="s">
        <v>178</v>
      </c>
      <c r="D1959" s="29">
        <v>152.0</v>
      </c>
      <c r="E1959" s="28" t="s">
        <v>5281</v>
      </c>
      <c r="F1959" s="7" t="str">
        <f>IFERROR(__xludf.DUMMYFUNCTION("GOOGLETRANSLATE(B1959:B5064,""en"",""fr"")"),"paire")</f>
        <v>paire</v>
      </c>
    </row>
    <row r="1960" ht="19.5" customHeight="1">
      <c r="A1960" s="26" t="s">
        <v>5282</v>
      </c>
      <c r="B1960" s="27" t="s">
        <v>5283</v>
      </c>
      <c r="C1960" s="28" t="s">
        <v>178</v>
      </c>
      <c r="D1960" s="29">
        <v>152.0</v>
      </c>
      <c r="E1960" s="28" t="s">
        <v>5284</v>
      </c>
      <c r="F1960" s="7" t="str">
        <f>IFERROR(__xludf.DUMMYFUNCTION("GOOGLETRANSLATE(B1960:B5064,""en"",""fr"")"),"savon")</f>
        <v>savon</v>
      </c>
    </row>
    <row r="1961" ht="19.5" customHeight="1">
      <c r="A1961" s="26" t="s">
        <v>5285</v>
      </c>
      <c r="B1961" s="27" t="s">
        <v>5286</v>
      </c>
      <c r="C1961" s="28" t="s">
        <v>178</v>
      </c>
      <c r="D1961" s="29">
        <v>152.0</v>
      </c>
      <c r="E1961" s="28" t="s">
        <v>5287</v>
      </c>
      <c r="F1961" s="7" t="str">
        <f>IFERROR(__xludf.DUMMYFUNCTION("GOOGLETRANSLATE(B1961:B5064,""en"",""fr"")"),"queue")</f>
        <v>queue</v>
      </c>
    </row>
    <row r="1962" ht="19.5" customHeight="1">
      <c r="A1962" s="26" t="s">
        <v>5288</v>
      </c>
      <c r="B1962" s="27" t="s">
        <v>5289</v>
      </c>
      <c r="C1962" s="28" t="s">
        <v>178</v>
      </c>
      <c r="D1962" s="29">
        <v>152.0</v>
      </c>
      <c r="E1962" s="28" t="s">
        <v>5290</v>
      </c>
      <c r="F1962" s="7" t="str">
        <f>IFERROR(__xludf.DUMMYFUNCTION("GOOGLETRANSLATE(B1962:B5064,""en"",""fr"")"),"tatouage")</f>
        <v>tatouage</v>
      </c>
    </row>
    <row r="1963" ht="19.5" customHeight="1">
      <c r="A1963" s="26" t="s">
        <v>5291</v>
      </c>
      <c r="B1963" s="27" t="s">
        <v>5292</v>
      </c>
      <c r="C1963" s="28" t="s">
        <v>178</v>
      </c>
      <c r="D1963" s="29">
        <v>151.0</v>
      </c>
      <c r="E1963" s="28" t="s">
        <v>5293</v>
      </c>
      <c r="F1963" s="7" t="str">
        <f>IFERROR(__xludf.DUMMYFUNCTION("GOOGLETRANSLATE(B1963:B5064,""en"",""fr"")"),"activité")</f>
        <v>activité</v>
      </c>
    </row>
    <row r="1964" ht="19.5" customHeight="1">
      <c r="A1964" s="26" t="s">
        <v>5294</v>
      </c>
      <c r="B1964" s="27" t="s">
        <v>5295</v>
      </c>
      <c r="C1964" s="28" t="s">
        <v>178</v>
      </c>
      <c r="D1964" s="29">
        <v>151.0</v>
      </c>
      <c r="E1964" s="28" t="s">
        <v>5296</v>
      </c>
      <c r="F1964" s="7" t="str">
        <f>IFERROR(__xludf.DUMMYFUNCTION("GOOGLETRANSLATE(B1964:B5064,""en"",""fr"")"),"pont")</f>
        <v>pont</v>
      </c>
    </row>
    <row r="1965" ht="19.5" customHeight="1">
      <c r="A1965" s="26" t="s">
        <v>5297</v>
      </c>
      <c r="B1965" s="27" t="s">
        <v>5298</v>
      </c>
      <c r="C1965" s="28" t="s">
        <v>178</v>
      </c>
      <c r="D1965" s="29">
        <v>151.0</v>
      </c>
      <c r="E1965" s="28" t="s">
        <v>5299</v>
      </c>
      <c r="F1965" s="7" t="str">
        <f>IFERROR(__xludf.DUMMYFUNCTION("GOOGLETRANSLATE(B1965:B5064,""en"",""fr"")"),"détail")</f>
        <v>détail</v>
      </c>
    </row>
    <row r="1966" ht="19.5" customHeight="1">
      <c r="A1966" s="26" t="s">
        <v>5300</v>
      </c>
      <c r="B1966" s="27" t="s">
        <v>5301</v>
      </c>
      <c r="C1966" s="28" t="s">
        <v>178</v>
      </c>
      <c r="D1966" s="29">
        <v>151.0</v>
      </c>
      <c r="E1966" s="28" t="s">
        <v>5302</v>
      </c>
      <c r="F1966" s="7" t="str">
        <f>IFERROR(__xludf.DUMMYFUNCTION("GOOGLETRANSLATE(B1966:B5064,""en"",""fr"")"),"régime")</f>
        <v>régime</v>
      </c>
    </row>
    <row r="1967" ht="19.5" customHeight="1">
      <c r="A1967" s="26" t="s">
        <v>5303</v>
      </c>
      <c r="B1967" s="27" t="s">
        <v>5304</v>
      </c>
      <c r="C1967" s="28" t="s">
        <v>32</v>
      </c>
      <c r="D1967" s="29">
        <v>151.0</v>
      </c>
      <c r="E1967" s="28" t="s">
        <v>5305</v>
      </c>
      <c r="F1967" s="7" t="str">
        <f>IFERROR(__xludf.DUMMYFUNCTION("GOOGLETRANSLATE(B1967:B5064,""en"",""fr"")"),"insulte")</f>
        <v>insulte</v>
      </c>
    </row>
    <row r="1968" ht="19.5" customHeight="1">
      <c r="A1968" s="26" t="s">
        <v>5306</v>
      </c>
      <c r="B1968" s="27" t="s">
        <v>5307</v>
      </c>
      <c r="C1968" s="28" t="s">
        <v>178</v>
      </c>
      <c r="D1968" s="29">
        <v>151.0</v>
      </c>
      <c r="E1968" s="28" t="s">
        <v>5308</v>
      </c>
      <c r="F1968" s="7" t="str">
        <f>IFERROR(__xludf.DUMMYFUNCTION("GOOGLETRANSLATE(B1968:B5064,""en"",""fr"")"),"thème")</f>
        <v>thème</v>
      </c>
    </row>
    <row r="1969" ht="19.5" customHeight="1">
      <c r="A1969" s="26" t="s">
        <v>5309</v>
      </c>
      <c r="B1969" s="27" t="s">
        <v>5310</v>
      </c>
      <c r="C1969" s="28" t="s">
        <v>178</v>
      </c>
      <c r="D1969" s="29">
        <v>151.0</v>
      </c>
      <c r="E1969" s="28" t="s">
        <v>5311</v>
      </c>
      <c r="F1969" s="7" t="str">
        <f>IFERROR(__xludf.DUMMYFUNCTION("GOOGLETRANSLATE(B1969:B5064,""en"",""fr"")"),"université")</f>
        <v>université</v>
      </c>
    </row>
    <row r="1970" ht="19.5" customHeight="1">
      <c r="A1970" s="26" t="s">
        <v>5312</v>
      </c>
      <c r="B1970" s="27" t="s">
        <v>5313</v>
      </c>
      <c r="C1970" s="28" t="s">
        <v>178</v>
      </c>
      <c r="D1970" s="29">
        <v>150.0</v>
      </c>
      <c r="E1970" s="28" t="s">
        <v>5314</v>
      </c>
      <c r="F1970" s="7" t="str">
        <f>IFERROR(__xludf.DUMMYFUNCTION("GOOGLETRANSLATE(B1970:B5064,""en"",""fr"")"),"Champagne")</f>
        <v>Champagne</v>
      </c>
    </row>
    <row r="1971" ht="19.5" customHeight="1">
      <c r="A1971" s="26" t="s">
        <v>5315</v>
      </c>
      <c r="B1971" s="27" t="s">
        <v>5316</v>
      </c>
      <c r="C1971" s="28" t="s">
        <v>134</v>
      </c>
      <c r="D1971" s="29">
        <v>150.0</v>
      </c>
      <c r="E1971" s="28" t="s">
        <v>5316</v>
      </c>
      <c r="F1971" s="7" t="str">
        <f>IFERROR(__xludf.DUMMYFUNCTION("GOOGLETRANSLATE(B1971:B5064,""en"",""fr"")"),"charmant")</f>
        <v>charmant</v>
      </c>
    </row>
    <row r="1972" ht="19.5" customHeight="1">
      <c r="A1972" s="26" t="s">
        <v>5317</v>
      </c>
      <c r="B1972" s="27" t="s">
        <v>5318</v>
      </c>
      <c r="C1972" s="28" t="s">
        <v>32</v>
      </c>
      <c r="D1972" s="29">
        <v>150.0</v>
      </c>
      <c r="E1972" s="28" t="s">
        <v>5319</v>
      </c>
      <c r="F1972" s="7" t="str">
        <f>IFERROR(__xludf.DUMMYFUNCTION("GOOGLETRANSLATE(B1972:B5064,""en"",""fr"")"),"comparer")</f>
        <v>comparer</v>
      </c>
    </row>
    <row r="1973" ht="19.5" customHeight="1">
      <c r="A1973" s="26" t="s">
        <v>5320</v>
      </c>
      <c r="B1973" s="27" t="s">
        <v>5321</v>
      </c>
      <c r="C1973" s="28" t="s">
        <v>178</v>
      </c>
      <c r="D1973" s="29">
        <v>150.0</v>
      </c>
      <c r="E1973" s="28" t="s">
        <v>5322</v>
      </c>
      <c r="F1973" s="7" t="str">
        <f>IFERROR(__xludf.DUMMYFUNCTION("GOOGLETRANSLATE(B1973:B5064,""en"",""fr"")"),"intestin")</f>
        <v>intestin</v>
      </c>
    </row>
    <row r="1974" ht="19.5" customHeight="1">
      <c r="A1974" s="26" t="s">
        <v>5323</v>
      </c>
      <c r="B1974" s="27" t="s">
        <v>5324</v>
      </c>
      <c r="C1974" s="28" t="s">
        <v>178</v>
      </c>
      <c r="D1974" s="29">
        <v>150.0</v>
      </c>
      <c r="E1974" s="28" t="s">
        <v>5325</v>
      </c>
      <c r="F1974" s="7" t="str">
        <f>IFERROR(__xludf.DUMMYFUNCTION("GOOGLETRANSLATE(B1974:B5064,""en"",""fr"")"),"carte")</f>
        <v>carte</v>
      </c>
    </row>
    <row r="1975" ht="19.5" customHeight="1">
      <c r="A1975" s="26" t="s">
        <v>5326</v>
      </c>
      <c r="B1975" s="27" t="s">
        <v>5327</v>
      </c>
      <c r="C1975" s="28" t="s">
        <v>178</v>
      </c>
      <c r="D1975" s="29">
        <v>150.0</v>
      </c>
      <c r="E1975" s="28" t="s">
        <v>5328</v>
      </c>
      <c r="F1975" s="7" t="str">
        <f>IFERROR(__xludf.DUMMYFUNCTION("GOOGLETRANSLATE(B1975:B5064,""en"",""fr"")"),"serviette de table")</f>
        <v>serviette de table</v>
      </c>
    </row>
    <row r="1976" ht="19.5" customHeight="1">
      <c r="A1976" s="26" t="s">
        <v>5329</v>
      </c>
      <c r="B1976" s="27" t="s">
        <v>3498</v>
      </c>
      <c r="C1976" s="28" t="s">
        <v>178</v>
      </c>
      <c r="D1976" s="29">
        <v>150.0</v>
      </c>
      <c r="E1976" s="28" t="s">
        <v>5330</v>
      </c>
      <c r="F1976" s="7" t="str">
        <f>IFERROR(__xludf.DUMMYFUNCTION("GOOGLETRANSLATE(B1976:B5064,""en"",""fr"")"),"coup de poing")</f>
        <v>coup de poing</v>
      </c>
    </row>
    <row r="1977" ht="19.5" customHeight="1">
      <c r="A1977" s="26" t="s">
        <v>5331</v>
      </c>
      <c r="B1977" s="27" t="s">
        <v>5332</v>
      </c>
      <c r="C1977" s="28" t="s">
        <v>32</v>
      </c>
      <c r="D1977" s="29">
        <v>149.0</v>
      </c>
      <c r="E1977" s="28" t="s">
        <v>5333</v>
      </c>
      <c r="F1977" s="7" t="str">
        <f>IFERROR(__xludf.DUMMYFUNCTION("GOOGLETRANSLATE(B1977:B5064,""en"",""fr"")"),"appliquer")</f>
        <v>appliquer</v>
      </c>
    </row>
    <row r="1978" ht="19.5" customHeight="1">
      <c r="A1978" s="26" t="s">
        <v>5334</v>
      </c>
      <c r="B1978" s="27" t="s">
        <v>5335</v>
      </c>
      <c r="C1978" s="28" t="s">
        <v>32</v>
      </c>
      <c r="D1978" s="29">
        <v>149.0</v>
      </c>
      <c r="E1978" s="28" t="s">
        <v>5336</v>
      </c>
      <c r="F1978" s="7" t="str">
        <f>IFERROR(__xludf.DUMMYFUNCTION("GOOGLETRANSLATE(B1978:B5064,""en"",""fr"")"),"défi")</f>
        <v>défi</v>
      </c>
    </row>
    <row r="1979" ht="19.5" customHeight="1">
      <c r="A1979" s="26" t="s">
        <v>5337</v>
      </c>
      <c r="B1979" s="27" t="s">
        <v>5338</v>
      </c>
      <c r="C1979" s="28" t="s">
        <v>32</v>
      </c>
      <c r="D1979" s="29">
        <v>149.0</v>
      </c>
      <c r="E1979" s="28" t="s">
        <v>5339</v>
      </c>
      <c r="F1979" s="7" t="str">
        <f>IFERROR(__xludf.DUMMYFUNCTION("GOOGLETRANSLATE(B1979:B5064,""en"",""fr"")"),"collecter")</f>
        <v>collecter</v>
      </c>
    </row>
    <row r="1980" ht="19.5" customHeight="1">
      <c r="A1980" s="26" t="s">
        <v>5340</v>
      </c>
      <c r="B1980" s="27" t="s">
        <v>5341</v>
      </c>
      <c r="C1980" s="28" t="s">
        <v>178</v>
      </c>
      <c r="D1980" s="29">
        <v>149.0</v>
      </c>
      <c r="E1980" s="28" t="s">
        <v>5342</v>
      </c>
      <c r="F1980" s="7" t="str">
        <f>IFERROR(__xludf.DUMMYFUNCTION("GOOGLETRANSLATE(B1980:B5064,""en"",""fr"")"),"cupcake")</f>
        <v>cupcake</v>
      </c>
    </row>
    <row r="1981" ht="19.5" customHeight="1">
      <c r="A1981" s="26" t="s">
        <v>5343</v>
      </c>
      <c r="B1981" s="27" t="s">
        <v>5344</v>
      </c>
      <c r="C1981" s="28" t="s">
        <v>178</v>
      </c>
      <c r="D1981" s="29">
        <v>149.0</v>
      </c>
      <c r="E1981" s="28" t="s">
        <v>5345</v>
      </c>
      <c r="F1981" s="7" t="str">
        <f>IFERROR(__xludf.DUMMYFUNCTION("GOOGLETRANSLATE(B1981:B5064,""en"",""fr"")"),"réfrigérateur")</f>
        <v>réfrigérateur</v>
      </c>
    </row>
    <row r="1982" ht="19.5" customHeight="1">
      <c r="A1982" s="26" t="s">
        <v>5346</v>
      </c>
      <c r="B1982" s="27" t="s">
        <v>5347</v>
      </c>
      <c r="C1982" s="28" t="s">
        <v>178</v>
      </c>
      <c r="D1982" s="29">
        <v>149.0</v>
      </c>
      <c r="E1982" s="28" t="s">
        <v>5348</v>
      </c>
      <c r="F1982" s="7" t="str">
        <f>IFERROR(__xludf.DUMMYFUNCTION("GOOGLETRANSLATE(B1982:B5064,""en"",""fr"")"),"imagination")</f>
        <v>imagination</v>
      </c>
    </row>
    <row r="1983" ht="19.5" customHeight="1">
      <c r="A1983" s="26" t="s">
        <v>5349</v>
      </c>
      <c r="B1983" s="27" t="s">
        <v>1188</v>
      </c>
      <c r="C1983" s="28" t="s">
        <v>32</v>
      </c>
      <c r="D1983" s="29">
        <v>149.0</v>
      </c>
      <c r="E1983" s="28" t="s">
        <v>5350</v>
      </c>
      <c r="F1983" s="7" t="str">
        <f>IFERROR(__xludf.DUMMYFUNCTION("GOOGLETRANSLATE(B1983:B5064,""en"",""fr"")"),"blague")</f>
        <v>blague</v>
      </c>
    </row>
    <row r="1984" ht="19.5" customHeight="1">
      <c r="A1984" s="26" t="s">
        <v>5351</v>
      </c>
      <c r="B1984" s="27" t="s">
        <v>5352</v>
      </c>
      <c r="C1984" s="28" t="s">
        <v>178</v>
      </c>
      <c r="D1984" s="29">
        <v>149.0</v>
      </c>
      <c r="E1984" s="28" t="s">
        <v>5353</v>
      </c>
      <c r="F1984" s="7" t="str">
        <f>IFERROR(__xludf.DUMMYFUNCTION("GOOGLETRANSLATE(B1984:B5064,""en"",""fr"")"),"tampon")</f>
        <v>tampon</v>
      </c>
    </row>
    <row r="1985" ht="19.5" customHeight="1">
      <c r="A1985" s="26" t="s">
        <v>5354</v>
      </c>
      <c r="B1985" s="27" t="s">
        <v>5355</v>
      </c>
      <c r="C1985" s="28" t="s">
        <v>178</v>
      </c>
      <c r="D1985" s="29">
        <v>149.0</v>
      </c>
      <c r="E1985" s="28" t="s">
        <v>5356</v>
      </c>
      <c r="F1985" s="7" t="str">
        <f>IFERROR(__xludf.DUMMYFUNCTION("GOOGLETRANSLATE(B1985:B5064,""en"",""fr"")"),"scénario")</f>
        <v>scénario</v>
      </c>
    </row>
    <row r="1986" ht="31.5" customHeight="1">
      <c r="A1986" s="26" t="s">
        <v>5357</v>
      </c>
      <c r="B1986" s="27" t="s">
        <v>5358</v>
      </c>
      <c r="C1986" s="28" t="s">
        <v>32</v>
      </c>
      <c r="D1986" s="29">
        <v>149.0</v>
      </c>
      <c r="E1986" s="28" t="s">
        <v>5359</v>
      </c>
      <c r="F1986" s="7" t="str">
        <f>IFERROR(__xludf.DUMMYFUNCTION("GOOGLETRANSLATE(B1986:B5064,""en"",""fr"")"),"fouet")</f>
        <v>fouet</v>
      </c>
    </row>
    <row r="1987" ht="19.5" customHeight="1">
      <c r="A1987" s="26" t="s">
        <v>5360</v>
      </c>
      <c r="B1987" s="27" t="s">
        <v>3441</v>
      </c>
      <c r="C1987" s="28" t="s">
        <v>134</v>
      </c>
      <c r="D1987" s="29">
        <v>149.0</v>
      </c>
      <c r="E1987" s="28" t="s">
        <v>3441</v>
      </c>
      <c r="F1987" s="7" t="str">
        <f>IFERROR(__xludf.DUMMYFUNCTION("GOOGLETRANSLATE(B1987:B5064,""en"",""fr"")"),"gauche")</f>
        <v>gauche</v>
      </c>
    </row>
    <row r="1988" ht="19.5" customHeight="1">
      <c r="A1988" s="26" t="s">
        <v>5361</v>
      </c>
      <c r="B1988" s="27" t="s">
        <v>5362</v>
      </c>
      <c r="C1988" s="28" t="s">
        <v>178</v>
      </c>
      <c r="D1988" s="29">
        <v>148.0</v>
      </c>
      <c r="E1988" s="28" t="s">
        <v>5363</v>
      </c>
      <c r="F1988" s="7" t="str">
        <f>IFERROR(__xludf.DUMMYFUNCTION("GOOGLETRANSLATE(B1988:B5064,""en"",""fr"")"),"affaire")</f>
        <v>affaire</v>
      </c>
    </row>
    <row r="1989" ht="19.5" customHeight="1">
      <c r="A1989" s="26" t="s">
        <v>5364</v>
      </c>
      <c r="B1989" s="27" t="s">
        <v>5365</v>
      </c>
      <c r="C1989" s="28" t="s">
        <v>178</v>
      </c>
      <c r="D1989" s="29">
        <v>148.0</v>
      </c>
      <c r="E1989" s="28" t="s">
        <v>5366</v>
      </c>
      <c r="F1989" s="7" t="str">
        <f>IFERROR(__xludf.DUMMYFUNCTION("GOOGLETRANSLATE(B1989:B5064,""en"",""fr"")"),"avantage")</f>
        <v>avantage</v>
      </c>
    </row>
    <row r="1990" ht="19.5" customHeight="1">
      <c r="A1990" s="26" t="s">
        <v>5367</v>
      </c>
      <c r="B1990" s="27" t="s">
        <v>5368</v>
      </c>
      <c r="C1990" s="28" t="s">
        <v>36</v>
      </c>
      <c r="D1990" s="29">
        <v>148.0</v>
      </c>
      <c r="E1990" s="28" t="s">
        <v>5368</v>
      </c>
      <c r="F1990" s="7" t="str">
        <f>IFERROR(__xludf.DUMMYFUNCTION("GOOGLETRANSLATE(B1990:B5064,""en"",""fr"")"),"au-delà")</f>
        <v>au-delà</v>
      </c>
    </row>
    <row r="1991" ht="19.5" customHeight="1">
      <c r="A1991" s="26" t="s">
        <v>5369</v>
      </c>
      <c r="B1991" s="27" t="s">
        <v>874</v>
      </c>
      <c r="C1991" s="28" t="s">
        <v>32</v>
      </c>
      <c r="D1991" s="29">
        <v>148.0</v>
      </c>
      <c r="E1991" s="28" t="s">
        <v>5370</v>
      </c>
      <c r="F1991" s="7" t="str">
        <f>IFERROR(__xludf.DUMMYFUNCTION("GOOGLETRANSLATE(B1991:B5064,""en"",""fr"")"),"livre")</f>
        <v>livre</v>
      </c>
    </row>
    <row r="1992" ht="19.5" customHeight="1">
      <c r="A1992" s="26" t="s">
        <v>5371</v>
      </c>
      <c r="B1992" s="27" t="s">
        <v>5372</v>
      </c>
      <c r="C1992" s="28" t="s">
        <v>178</v>
      </c>
      <c r="D1992" s="29">
        <v>148.0</v>
      </c>
      <c r="E1992" s="28" t="s">
        <v>5373</v>
      </c>
      <c r="F1992" s="7" t="str">
        <f>IFERROR(__xludf.DUMMYFUNCTION("GOOGLETRANSLATE(B1992:B5064,""en"",""fr"")"),"citoyen")</f>
        <v>citoyen</v>
      </c>
    </row>
    <row r="1993" ht="19.5" customHeight="1">
      <c r="A1993" s="26" t="s">
        <v>5374</v>
      </c>
      <c r="B1993" s="27" t="s">
        <v>5122</v>
      </c>
      <c r="C1993" s="28" t="s">
        <v>32</v>
      </c>
      <c r="D1993" s="29">
        <v>148.0</v>
      </c>
      <c r="E1993" s="28" t="s">
        <v>5375</v>
      </c>
      <c r="F1993" s="7" t="str">
        <f>IFERROR(__xludf.DUMMYFUNCTION("GOOGLETRANSLATE(B1993:B5064,""en"",""fr"")"),"Pet")</f>
        <v>Pet</v>
      </c>
    </row>
    <row r="1994" ht="19.5" customHeight="1">
      <c r="A1994" s="26" t="s">
        <v>5376</v>
      </c>
      <c r="B1994" s="27" t="s">
        <v>5377</v>
      </c>
      <c r="C1994" s="28" t="s">
        <v>32</v>
      </c>
      <c r="D1994" s="29">
        <v>148.0</v>
      </c>
      <c r="E1994" s="28" t="s">
        <v>5378</v>
      </c>
      <c r="F1994" s="7" t="str">
        <f>IFERROR(__xludf.DUMMYFUNCTION("GOOGLETRANSLATE(B1994:B5064,""en"",""fr"")"),"accorder")</f>
        <v>accorder</v>
      </c>
    </row>
    <row r="1995" ht="19.5" customHeight="1">
      <c r="A1995" s="26" t="s">
        <v>5379</v>
      </c>
      <c r="B1995" s="27" t="s">
        <v>5380</v>
      </c>
      <c r="C1995" s="28" t="s">
        <v>178</v>
      </c>
      <c r="D1995" s="29">
        <v>148.0</v>
      </c>
      <c r="E1995" s="28" t="s">
        <v>5381</v>
      </c>
      <c r="F1995" s="7" t="str">
        <f>IFERROR(__xludf.DUMMYFUNCTION("GOOGLETRANSLATE(B1995:B5064,""en"",""fr"")"),"ordure")</f>
        <v>ordure</v>
      </c>
    </row>
    <row r="1996" ht="19.5" customHeight="1">
      <c r="A1996" s="26" t="s">
        <v>5382</v>
      </c>
      <c r="B1996" s="27" t="s">
        <v>5383</v>
      </c>
      <c r="C1996" s="28" t="s">
        <v>134</v>
      </c>
      <c r="D1996" s="29">
        <v>148.0</v>
      </c>
      <c r="E1996" s="28" t="s">
        <v>5383</v>
      </c>
      <c r="F1996" s="7" t="str">
        <f>IFERROR(__xludf.DUMMYFUNCTION("GOOGLETRANSLATE(B1996:B5064,""en"",""fr"")"),"magique")</f>
        <v>magique</v>
      </c>
    </row>
    <row r="1997" ht="19.5" customHeight="1">
      <c r="A1997" s="26" t="s">
        <v>5384</v>
      </c>
      <c r="B1997" s="27" t="s">
        <v>5385</v>
      </c>
      <c r="C1997" s="28" t="s">
        <v>178</v>
      </c>
      <c r="D1997" s="29">
        <v>148.0</v>
      </c>
      <c r="E1997" s="28" t="s">
        <v>5386</v>
      </c>
      <c r="F1997" s="7" t="str">
        <f>IFERROR(__xludf.DUMMYFUNCTION("GOOGLETRANSLATE(B1997:B5064,""en"",""fr"")"),"bal de promo")</f>
        <v>bal de promo</v>
      </c>
    </row>
    <row r="1998" ht="19.5" customHeight="1">
      <c r="A1998" s="26" t="s">
        <v>5387</v>
      </c>
      <c r="B1998" s="27" t="s">
        <v>5388</v>
      </c>
      <c r="C1998" s="28" t="s">
        <v>178</v>
      </c>
      <c r="D1998" s="29">
        <v>148.0</v>
      </c>
      <c r="E1998" s="28" t="s">
        <v>5389</v>
      </c>
      <c r="F1998" s="7" t="str">
        <f>IFERROR(__xludf.DUMMYFUNCTION("GOOGLETRANSLATE(B1998:B5064,""en"",""fr"")"),"calendrier")</f>
        <v>calendrier</v>
      </c>
    </row>
    <row r="1999" ht="19.5" customHeight="1">
      <c r="A1999" s="26" t="s">
        <v>5390</v>
      </c>
      <c r="B1999" s="27" t="s">
        <v>5391</v>
      </c>
      <c r="C1999" s="28" t="s">
        <v>178</v>
      </c>
      <c r="D1999" s="29">
        <v>148.0</v>
      </c>
      <c r="E1999" s="28" t="s">
        <v>5392</v>
      </c>
      <c r="F1999" s="7" t="str">
        <f>IFERROR(__xludf.DUMMYFUNCTION("GOOGLETRANSLATE(B1999:B5064,""en"",""fr"")"),"studio")</f>
        <v>studio</v>
      </c>
    </row>
    <row r="2000" ht="19.5" customHeight="1">
      <c r="A2000" s="26" t="s">
        <v>5393</v>
      </c>
      <c r="B2000" s="27" t="s">
        <v>5394</v>
      </c>
      <c r="C2000" s="28" t="s">
        <v>178</v>
      </c>
      <c r="D2000" s="29">
        <v>148.0</v>
      </c>
      <c r="E2000" s="28" t="s">
        <v>5395</v>
      </c>
      <c r="F2000" s="7" t="str">
        <f>IFERROR(__xludf.DUMMYFUNCTION("GOOGLETRANSLATE(B2000:B5064,""en"",""fr"")"),"valeur")</f>
        <v>valeur</v>
      </c>
    </row>
    <row r="2001" ht="19.5" customHeight="1">
      <c r="A2001" s="26" t="s">
        <v>5396</v>
      </c>
      <c r="B2001" s="27" t="s">
        <v>5397</v>
      </c>
      <c r="C2001" s="28" t="s">
        <v>134</v>
      </c>
      <c r="D2001" s="29">
        <v>148.0</v>
      </c>
      <c r="E2001" s="28" t="s">
        <v>5398</v>
      </c>
      <c r="F2001" s="7" t="str">
        <f>IFERROR(__xludf.DUMMYFUNCTION("GOOGLETRANSLATE(B2001:B5064,""en"",""fr"")"),"sage")</f>
        <v>sage</v>
      </c>
    </row>
    <row r="2002" ht="19.5" customHeight="1">
      <c r="A2002" s="26" t="s">
        <v>5399</v>
      </c>
      <c r="B2002" s="27" t="s">
        <v>5400</v>
      </c>
      <c r="C2002" s="28" t="s">
        <v>728</v>
      </c>
      <c r="D2002" s="29">
        <v>147.0</v>
      </c>
      <c r="E2002" s="28" t="s">
        <v>5401</v>
      </c>
      <c r="F2002" s="7" t="str">
        <f>IFERROR(__xludf.DUMMYFUNCTION("GOOGLETRANSLATE(B2002:B5064,""en"",""fr"")"),"Bible")</f>
        <v>Bible</v>
      </c>
    </row>
    <row r="2003" ht="19.5" customHeight="1">
      <c r="A2003" s="26" t="s">
        <v>5402</v>
      </c>
      <c r="B2003" s="27" t="s">
        <v>5403</v>
      </c>
      <c r="C2003" s="28" t="s">
        <v>178</v>
      </c>
      <c r="D2003" s="29">
        <v>147.0</v>
      </c>
      <c r="E2003" s="28" t="s">
        <v>5404</v>
      </c>
      <c r="F2003" s="7" t="str">
        <f>IFERROR(__xludf.DUMMYFUNCTION("GOOGLETRANSLATE(B2003:B5064,""en"",""fr"")"),"indice")</f>
        <v>indice</v>
      </c>
    </row>
    <row r="2004" ht="19.5" customHeight="1">
      <c r="A2004" s="26" t="s">
        <v>5405</v>
      </c>
      <c r="B2004" s="27" t="s">
        <v>5406</v>
      </c>
      <c r="C2004" s="28" t="s">
        <v>178</v>
      </c>
      <c r="D2004" s="29">
        <v>147.0</v>
      </c>
      <c r="E2004" s="28" t="s">
        <v>5407</v>
      </c>
      <c r="F2004" s="7" t="str">
        <f>IFERROR(__xludf.DUMMYFUNCTION("GOOGLETRANSLATE(B2004:B5064,""en"",""fr"")"),"suicide")</f>
        <v>suicide</v>
      </c>
    </row>
    <row r="2005" ht="19.5" customHeight="1">
      <c r="A2005" s="26" t="s">
        <v>5408</v>
      </c>
      <c r="B2005" s="27" t="s">
        <v>5409</v>
      </c>
      <c r="C2005" s="28" t="s">
        <v>728</v>
      </c>
      <c r="D2005" s="29">
        <v>147.0</v>
      </c>
      <c r="E2005" s="28" t="s">
        <v>5410</v>
      </c>
      <c r="F2005" s="7" t="str">
        <f>IFERROR(__xludf.DUMMYFUNCTION("GOOGLETRANSLATE(B2005:B5064,""en"",""fr"")"),"Mercredi")</f>
        <v>Mercredi</v>
      </c>
    </row>
    <row r="2006" ht="19.5" customHeight="1">
      <c r="A2006" s="26" t="s">
        <v>5411</v>
      </c>
      <c r="B2006" s="27" t="s">
        <v>5412</v>
      </c>
      <c r="C2006" s="28" t="s">
        <v>134</v>
      </c>
      <c r="D2006" s="29">
        <v>147.0</v>
      </c>
      <c r="E2006" s="28" t="s">
        <v>5413</v>
      </c>
      <c r="F2006" s="7" t="str">
        <f>IFERROR(__xludf.DUMMYFUNCTION("GOOGLETRANSLATE(B2006:B5064,""en"",""fr"")"),"amical")</f>
        <v>amical</v>
      </c>
    </row>
    <row r="2007" ht="19.5" customHeight="1">
      <c r="A2007" s="26" t="s">
        <v>5414</v>
      </c>
      <c r="B2007" s="27" t="s">
        <v>5415</v>
      </c>
      <c r="C2007" s="28" t="s">
        <v>32</v>
      </c>
      <c r="D2007" s="29">
        <v>146.0</v>
      </c>
      <c r="E2007" s="28" t="s">
        <v>5416</v>
      </c>
      <c r="F2007" s="7" t="str">
        <f>IFERROR(__xludf.DUMMYFUNCTION("GOOGLETRANSLATE(B2007:B5064,""en"",""fr"")"),"réclamer")</f>
        <v>réclamer</v>
      </c>
    </row>
    <row r="2008" ht="19.5" customHeight="1">
      <c r="A2008" s="26" t="s">
        <v>5417</v>
      </c>
      <c r="B2008" s="27" t="s">
        <v>5418</v>
      </c>
      <c r="C2008" s="28" t="s">
        <v>32</v>
      </c>
      <c r="D2008" s="29">
        <v>146.0</v>
      </c>
      <c r="E2008" s="28" t="s">
        <v>5419</v>
      </c>
      <c r="F2008" s="7" t="str">
        <f>IFERROR(__xludf.DUMMYFUNCTION("GOOGLETRANSLATE(B2008:B5064,""en"",""fr"")"),"compliquer")</f>
        <v>compliquer</v>
      </c>
    </row>
    <row r="2009" ht="19.5" customHeight="1">
      <c r="A2009" s="26" t="s">
        <v>5420</v>
      </c>
      <c r="B2009" s="27" t="s">
        <v>5421</v>
      </c>
      <c r="C2009" s="28" t="s">
        <v>178</v>
      </c>
      <c r="D2009" s="29">
        <v>146.0</v>
      </c>
      <c r="E2009" s="28" t="s">
        <v>5422</v>
      </c>
      <c r="F2009" s="7" t="str">
        <f>IFERROR(__xludf.DUMMYFUNCTION("GOOGLETRANSLATE(B2009:B5064,""en"",""fr"")"),"doute")</f>
        <v>doute</v>
      </c>
    </row>
    <row r="2010" ht="19.5" customHeight="1">
      <c r="A2010" s="26" t="s">
        <v>5423</v>
      </c>
      <c r="B2010" s="27" t="s">
        <v>5424</v>
      </c>
      <c r="C2010" s="28" t="s">
        <v>178</v>
      </c>
      <c r="D2010" s="29">
        <v>146.0</v>
      </c>
      <c r="E2010" s="28" t="s">
        <v>5425</v>
      </c>
      <c r="F2010" s="7" t="str">
        <f>IFERROR(__xludf.DUMMYFUNCTION("GOOGLETRANSLATE(B2010:B5064,""en"",""fr"")"),"génération")</f>
        <v>génération</v>
      </c>
    </row>
    <row r="2011" ht="19.5" customHeight="1">
      <c r="A2011" s="26" t="s">
        <v>5426</v>
      </c>
      <c r="B2011" s="27" t="s">
        <v>5427</v>
      </c>
      <c r="C2011" s="28" t="s">
        <v>178</v>
      </c>
      <c r="D2011" s="29">
        <v>146.0</v>
      </c>
      <c r="E2011" s="28" t="s">
        <v>5428</v>
      </c>
      <c r="F2011" s="7" t="str">
        <f>IFERROR(__xludf.DUMMYFUNCTION("GOOGLETRANSLATE(B2011:B5064,""en"",""fr"")"),"tombe")</f>
        <v>tombe</v>
      </c>
    </row>
    <row r="2012" ht="19.5" customHeight="1">
      <c r="A2012" s="26" t="s">
        <v>5429</v>
      </c>
      <c r="B2012" s="27" t="s">
        <v>5430</v>
      </c>
      <c r="C2012" s="28" t="s">
        <v>32</v>
      </c>
      <c r="D2012" s="29">
        <v>146.0</v>
      </c>
      <c r="E2012" s="28" t="s">
        <v>5431</v>
      </c>
      <c r="F2012" s="7" t="str">
        <f>IFERROR(__xludf.DUMMYFUNCTION("GOOGLETRANSLATE(B2012:B5064,""en"",""fr"")"),"exiger")</f>
        <v>exiger</v>
      </c>
    </row>
    <row r="2013" ht="19.5" customHeight="1">
      <c r="A2013" s="26" t="s">
        <v>5432</v>
      </c>
      <c r="B2013" s="27" t="s">
        <v>5433</v>
      </c>
      <c r="C2013" s="28" t="s">
        <v>178</v>
      </c>
      <c r="D2013" s="29">
        <v>146.0</v>
      </c>
      <c r="E2013" s="28" t="s">
        <v>5434</v>
      </c>
      <c r="F2013" s="7" t="str">
        <f>IFERROR(__xludf.DUMMYFUNCTION("GOOGLETRANSLATE(B2013:B5064,""en"",""fr"")"),"escalier")</f>
        <v>escalier</v>
      </c>
    </row>
    <row r="2014" ht="19.5" customHeight="1">
      <c r="A2014" s="26" t="s">
        <v>5435</v>
      </c>
      <c r="B2014" s="27" t="s">
        <v>5436</v>
      </c>
      <c r="C2014" s="28" t="s">
        <v>178</v>
      </c>
      <c r="D2014" s="29">
        <v>145.0</v>
      </c>
      <c r="E2014" s="28" t="s">
        <v>5437</v>
      </c>
      <c r="F2014" s="7" t="str">
        <f>IFERROR(__xludf.DUMMYFUNCTION("GOOGLETRANSLATE(B2014:B5064,""en"",""fr"")"),"album")</f>
        <v>album</v>
      </c>
    </row>
    <row r="2015" ht="19.5" customHeight="1">
      <c r="A2015" s="26" t="s">
        <v>5438</v>
      </c>
      <c r="B2015" s="27" t="s">
        <v>5439</v>
      </c>
      <c r="C2015" s="28" t="s">
        <v>32</v>
      </c>
      <c r="D2015" s="29">
        <v>145.0</v>
      </c>
      <c r="E2015" s="28" t="s">
        <v>5440</v>
      </c>
      <c r="F2015" s="7" t="str">
        <f>IFERROR(__xludf.DUMMYFUNCTION("GOOGLETRANSLATE(B2015:B5064,""en"",""fr"")"),"dépendre")</f>
        <v>dépendre</v>
      </c>
    </row>
    <row r="2016" ht="19.5" customHeight="1">
      <c r="A2016" s="26" t="s">
        <v>5441</v>
      </c>
      <c r="B2016" s="27" t="s">
        <v>5442</v>
      </c>
      <c r="C2016" s="28" t="s">
        <v>178</v>
      </c>
      <c r="D2016" s="29">
        <v>145.0</v>
      </c>
      <c r="E2016" s="28" t="s">
        <v>5443</v>
      </c>
      <c r="F2016" s="7" t="str">
        <f>IFERROR(__xludf.DUMMYFUNCTION("GOOGLETRANSLATE(B2016:B5064,""en"",""fr"")"),"femme de ménage")</f>
        <v>femme de ménage</v>
      </c>
    </row>
    <row r="2017" ht="19.5" customHeight="1">
      <c r="A2017" s="26" t="s">
        <v>5444</v>
      </c>
      <c r="B2017" s="27" t="s">
        <v>5445</v>
      </c>
      <c r="C2017" s="28" t="s">
        <v>178</v>
      </c>
      <c r="D2017" s="29">
        <v>145.0</v>
      </c>
      <c r="E2017" s="28" t="s">
        <v>5446</v>
      </c>
      <c r="F2017" s="7" t="str">
        <f>IFERROR(__xludf.DUMMYFUNCTION("GOOGLETRANSLATE(B2017:B5064,""en"",""fr"")"),"imbécile")</f>
        <v>imbécile</v>
      </c>
    </row>
    <row r="2018" ht="19.5" customHeight="1">
      <c r="A2018" s="26" t="s">
        <v>5447</v>
      </c>
      <c r="B2018" s="27" t="s">
        <v>5448</v>
      </c>
      <c r="C2018" s="28" t="s">
        <v>134</v>
      </c>
      <c r="D2018" s="29">
        <v>145.0</v>
      </c>
      <c r="E2018" s="28" t="s">
        <v>5448</v>
      </c>
      <c r="F2018" s="7" t="str">
        <f>IFERROR(__xludf.DUMMYFUNCTION("GOOGLETRANSLATE(B2018:B5064,""en"",""fr"")"),"nécessaire")</f>
        <v>nécessaire</v>
      </c>
    </row>
    <row r="2019" ht="19.5" customHeight="1">
      <c r="A2019" s="26" t="s">
        <v>5449</v>
      </c>
      <c r="B2019" s="27" t="s">
        <v>5450</v>
      </c>
      <c r="C2019" s="28" t="s">
        <v>178</v>
      </c>
      <c r="D2019" s="29">
        <v>145.0</v>
      </c>
      <c r="E2019" s="28" t="s">
        <v>5451</v>
      </c>
      <c r="F2019" s="7" t="str">
        <f>IFERROR(__xludf.DUMMYFUNCTION("GOOGLETRANSLATE(B2019:B5064,""en"",""fr"")"),"four")</f>
        <v>four</v>
      </c>
    </row>
    <row r="2020" ht="19.5" customHeight="1">
      <c r="A2020" s="26" t="s">
        <v>5452</v>
      </c>
      <c r="B2020" s="27" t="s">
        <v>3487</v>
      </c>
      <c r="C2020" s="28" t="s">
        <v>178</v>
      </c>
      <c r="D2020" s="29">
        <v>145.0</v>
      </c>
      <c r="E2020" s="28" t="s">
        <v>5453</v>
      </c>
      <c r="F2020" s="7" t="str">
        <f>IFERROR(__xludf.DUMMYFUNCTION("GOOGLETRANSLATE(B2020:B5064,""en"",""fr"")"),"peinture")</f>
        <v>peinture</v>
      </c>
    </row>
    <row r="2021" ht="19.5" customHeight="1">
      <c r="A2021" s="26" t="s">
        <v>5454</v>
      </c>
      <c r="B2021" s="27" t="s">
        <v>5455</v>
      </c>
      <c r="C2021" s="28" t="s">
        <v>32</v>
      </c>
      <c r="D2021" s="29">
        <v>145.0</v>
      </c>
      <c r="E2021" s="28" t="s">
        <v>5456</v>
      </c>
      <c r="F2021" s="7" t="str">
        <f>IFERROR(__xludf.DUMMYFUNCTION("GOOGLETRANSLATE(B2021:B5064,""en"",""fr"")"),"référer")</f>
        <v>référer</v>
      </c>
    </row>
    <row r="2022" ht="19.5" customHeight="1">
      <c r="A2022" s="26" t="s">
        <v>5457</v>
      </c>
      <c r="B2022" s="27" t="s">
        <v>5458</v>
      </c>
      <c r="C2022" s="28" t="s">
        <v>32</v>
      </c>
      <c r="D2022" s="29">
        <v>145.0</v>
      </c>
      <c r="E2022" s="28" t="s">
        <v>5459</v>
      </c>
      <c r="F2022" s="7" t="str">
        <f>IFERROR(__xludf.DUMMYFUNCTION("GOOGLETRANSLATE(B2022:B5064,""en"",""fr"")"),"gratter")</f>
        <v>gratter</v>
      </c>
    </row>
    <row r="2023" ht="19.5" customHeight="1">
      <c r="A2023" s="26" t="s">
        <v>5460</v>
      </c>
      <c r="B2023" s="27" t="s">
        <v>5461</v>
      </c>
      <c r="C2023" s="28" t="s">
        <v>32</v>
      </c>
      <c r="D2023" s="29">
        <v>145.0</v>
      </c>
      <c r="E2023" s="28" t="s">
        <v>5462</v>
      </c>
      <c r="F2023" s="7" t="str">
        <f>IFERROR(__xludf.DUMMYFUNCTION("GOOGLETRANSLATE(B2023:B5064,""en"",""fr"")"),"répandre")</f>
        <v>répandre</v>
      </c>
    </row>
    <row r="2024" ht="19.5" customHeight="1">
      <c r="A2024" s="26" t="s">
        <v>5463</v>
      </c>
      <c r="B2024" s="27" t="s">
        <v>5464</v>
      </c>
      <c r="C2024" s="28" t="s">
        <v>178</v>
      </c>
      <c r="D2024" s="29">
        <v>145.0</v>
      </c>
      <c r="E2024" s="28" t="s">
        <v>5465</v>
      </c>
      <c r="F2024" s="7" t="str">
        <f>IFERROR(__xludf.DUMMYFUNCTION("GOOGLETRANSLATE(B2024:B5064,""en"",""fr"")"),"tache")</f>
        <v>tache</v>
      </c>
    </row>
    <row r="2025" ht="19.5" customHeight="1">
      <c r="A2025" s="26" t="s">
        <v>5466</v>
      </c>
      <c r="B2025" s="27" t="s">
        <v>5467</v>
      </c>
      <c r="C2025" s="28" t="s">
        <v>32</v>
      </c>
      <c r="D2025" s="29">
        <v>144.0</v>
      </c>
      <c r="E2025" s="28" t="s">
        <v>5468</v>
      </c>
      <c r="F2025" s="7" t="str">
        <f>IFERROR(__xludf.DUMMYFUNCTION("GOOGLETRANSLATE(B2025:B5064,""en"",""fr"")"),"adopter")</f>
        <v>adopter</v>
      </c>
    </row>
    <row r="2026" ht="19.5" customHeight="1">
      <c r="A2026" s="26" t="s">
        <v>5469</v>
      </c>
      <c r="B2026" s="27" t="s">
        <v>5470</v>
      </c>
      <c r="C2026" s="28" t="s">
        <v>32</v>
      </c>
      <c r="D2026" s="29">
        <v>144.0</v>
      </c>
      <c r="E2026" s="28" t="s">
        <v>5471</v>
      </c>
      <c r="F2026" s="7" t="str">
        <f>IFERROR(__xludf.DUMMYFUNCTION("GOOGLETRANSLATE(B2026:B5064,""en"",""fr"")"),"brosse")</f>
        <v>brosse</v>
      </c>
    </row>
    <row r="2027" ht="19.5" customHeight="1">
      <c r="A2027" s="26" t="s">
        <v>5472</v>
      </c>
      <c r="B2027" s="27" t="s">
        <v>5473</v>
      </c>
      <c r="C2027" s="28" t="s">
        <v>178</v>
      </c>
      <c r="D2027" s="29">
        <v>144.0</v>
      </c>
      <c r="E2027" s="28" t="s">
        <v>5474</v>
      </c>
      <c r="F2027" s="7" t="str">
        <f>IFERROR(__xludf.DUMMYFUNCTION("GOOGLETRANSLATE(B2027:B5064,""en"",""fr"")"),"livraison")</f>
        <v>livraison</v>
      </c>
    </row>
    <row r="2028" ht="19.5" customHeight="1">
      <c r="A2028" s="26" t="s">
        <v>5475</v>
      </c>
      <c r="B2028" s="27" t="s">
        <v>5476</v>
      </c>
      <c r="C2028" s="28" t="s">
        <v>32</v>
      </c>
      <c r="D2028" s="29">
        <v>144.0</v>
      </c>
      <c r="E2028" s="28" t="s">
        <v>5477</v>
      </c>
      <c r="F2028" s="7" t="str">
        <f>IFERROR(__xludf.DUMMYFUNCTION("GOOGLETRANSLATE(B2028:B5064,""en"",""fr"")"),"disparaître")</f>
        <v>disparaître</v>
      </c>
    </row>
    <row r="2029" ht="19.5" customHeight="1">
      <c r="A2029" s="26" t="s">
        <v>5478</v>
      </c>
      <c r="B2029" s="27" t="s">
        <v>5479</v>
      </c>
      <c r="C2029" s="28" t="s">
        <v>134</v>
      </c>
      <c r="D2029" s="29">
        <v>144.0</v>
      </c>
      <c r="E2029" s="28" t="s">
        <v>5479</v>
      </c>
      <c r="F2029" s="7" t="str">
        <f>IFERROR(__xludf.DUMMYFUNCTION("GOOGLETRANSLATE(B2029:B5064,""en"",""fr"")"),"élémentaire")</f>
        <v>élémentaire</v>
      </c>
    </row>
    <row r="2030" ht="19.5" customHeight="1">
      <c r="A2030" s="26" t="s">
        <v>5480</v>
      </c>
      <c r="B2030" s="27" t="s">
        <v>5481</v>
      </c>
      <c r="C2030" s="28" t="s">
        <v>178</v>
      </c>
      <c r="D2030" s="29">
        <v>144.0</v>
      </c>
      <c r="E2030" s="28" t="s">
        <v>5482</v>
      </c>
      <c r="F2030" s="7" t="str">
        <f>IFERROR(__xludf.DUMMYFUNCTION("GOOGLETRANSLATE(B2030:B5064,""en"",""fr"")"),"humour")</f>
        <v>humour</v>
      </c>
    </row>
    <row r="2031" ht="19.5" customHeight="1">
      <c r="A2031" s="26" t="s">
        <v>5483</v>
      </c>
      <c r="B2031" s="27" t="s">
        <v>3401</v>
      </c>
      <c r="C2031" s="28" t="s">
        <v>178</v>
      </c>
      <c r="D2031" s="29">
        <v>144.0</v>
      </c>
      <c r="E2031" s="28" t="s">
        <v>5484</v>
      </c>
      <c r="F2031" s="7" t="str">
        <f>IFERROR(__xludf.DUMMYFUNCTION("GOOGLETRANSLATE(B2031:B5064,""en"",""fr"")"),"larme")</f>
        <v>larme</v>
      </c>
    </row>
    <row r="2032" ht="19.5" customHeight="1">
      <c r="A2032" s="26" t="s">
        <v>5485</v>
      </c>
      <c r="B2032" s="27" t="s">
        <v>3870</v>
      </c>
      <c r="C2032" s="28" t="s">
        <v>178</v>
      </c>
      <c r="D2032" s="29">
        <v>144.0</v>
      </c>
      <c r="E2032" s="28" t="s">
        <v>5486</v>
      </c>
      <c r="F2032" s="7" t="str">
        <f>IFERROR(__xludf.DUMMYFUNCTION("GOOGLETRANSLATE(B2032:B5064,""en"",""fr"")"),"piège")</f>
        <v>piège</v>
      </c>
    </row>
    <row r="2033" ht="19.5" customHeight="1">
      <c r="A2033" s="26" t="s">
        <v>5487</v>
      </c>
      <c r="B2033" s="27" t="s">
        <v>5488</v>
      </c>
      <c r="C2033" s="28" t="s">
        <v>134</v>
      </c>
      <c r="D2033" s="29">
        <v>143.0</v>
      </c>
      <c r="E2033" s="28" t="s">
        <v>5488</v>
      </c>
      <c r="F2033" s="7" t="str">
        <f>IFERROR(__xludf.DUMMYFUNCTION("GOOGLETRANSLATE(B2033:B5064,""en"",""fr"")"),"incroyable")</f>
        <v>incroyable</v>
      </c>
    </row>
    <row r="2034" ht="19.5" customHeight="1">
      <c r="A2034" s="26" t="s">
        <v>5489</v>
      </c>
      <c r="B2034" s="27" t="s">
        <v>5490</v>
      </c>
      <c r="C2034" s="28" t="s">
        <v>728</v>
      </c>
      <c r="D2034" s="29">
        <v>143.0</v>
      </c>
      <c r="E2034" s="28" t="s">
        <v>5491</v>
      </c>
      <c r="F2034" s="7" t="str">
        <f>IFERROR(__xludf.DUMMYFUNCTION("GOOGLETRANSLATE(B2034:B5064,""en"",""fr"")"),"asiatique")</f>
        <v>asiatique</v>
      </c>
    </row>
    <row r="2035" ht="19.5" customHeight="1">
      <c r="A2035" s="26" t="s">
        <v>5492</v>
      </c>
      <c r="B2035" s="27" t="s">
        <v>5493</v>
      </c>
      <c r="C2035" s="28" t="s">
        <v>178</v>
      </c>
      <c r="D2035" s="29">
        <v>143.0</v>
      </c>
      <c r="E2035" s="28" t="s">
        <v>5494</v>
      </c>
      <c r="F2035" s="7" t="str">
        <f>IFERROR(__xludf.DUMMYFUNCTION("GOOGLETRANSLATE(B2035:B5064,""en"",""fr"")"),"botte")</f>
        <v>botte</v>
      </c>
    </row>
    <row r="2036" ht="19.5" customHeight="1">
      <c r="A2036" s="26" t="s">
        <v>5495</v>
      </c>
      <c r="B2036" s="27" t="s">
        <v>5496</v>
      </c>
      <c r="C2036" s="28" t="s">
        <v>178</v>
      </c>
      <c r="D2036" s="29">
        <v>143.0</v>
      </c>
      <c r="E2036" s="28" t="s">
        <v>5497</v>
      </c>
      <c r="F2036" s="7" t="str">
        <f>IFERROR(__xludf.DUMMYFUNCTION("GOOGLETRANSLATE(B2036:B5064,""en"",""fr"")"),"connexion")</f>
        <v>connexion</v>
      </c>
    </row>
    <row r="2037" ht="19.5" customHeight="1">
      <c r="A2037" s="26" t="s">
        <v>5498</v>
      </c>
      <c r="B2037" s="27" t="s">
        <v>5499</v>
      </c>
      <c r="C2037" s="28" t="s">
        <v>178</v>
      </c>
      <c r="D2037" s="29">
        <v>143.0</v>
      </c>
      <c r="E2037" s="28" t="s">
        <v>5500</v>
      </c>
      <c r="F2037" s="7" t="str">
        <f>IFERROR(__xludf.DUMMYFUNCTION("GOOGLETRANSLATE(B2037:B5064,""en"",""fr"")"),"veille")</f>
        <v>veille</v>
      </c>
    </row>
    <row r="2038" ht="19.5" customHeight="1">
      <c r="A2038" s="26" t="s">
        <v>5501</v>
      </c>
      <c r="B2038" s="27" t="s">
        <v>5502</v>
      </c>
      <c r="C2038" s="28" t="s">
        <v>178</v>
      </c>
      <c r="D2038" s="29">
        <v>143.0</v>
      </c>
      <c r="E2038" s="28" t="s">
        <v>5502</v>
      </c>
      <c r="F2038" s="7" t="str">
        <f>IFERROR(__xludf.DUMMYFUNCTION("GOOGLETRANSLATE(B2038:B5064,""en"",""fr"")"),"bonheur")</f>
        <v>bonheur</v>
      </c>
    </row>
    <row r="2039" ht="19.5" customHeight="1">
      <c r="A2039" s="26" t="s">
        <v>5503</v>
      </c>
      <c r="B2039" s="27" t="s">
        <v>5504</v>
      </c>
      <c r="C2039" s="28" t="s">
        <v>178</v>
      </c>
      <c r="D2039" s="29">
        <v>143.0</v>
      </c>
      <c r="E2039" s="28" t="s">
        <v>5505</v>
      </c>
      <c r="F2039" s="7" t="str">
        <f>IFERROR(__xludf.DUMMYFUNCTION("GOOGLETRANSLATE(B2039:B5064,""en"",""fr"")"),"durée de vie")</f>
        <v>durée de vie</v>
      </c>
    </row>
    <row r="2040" ht="19.5" customHeight="1">
      <c r="A2040" s="26" t="s">
        <v>5506</v>
      </c>
      <c r="B2040" s="27" t="s">
        <v>5507</v>
      </c>
      <c r="C2040" s="28" t="s">
        <v>100</v>
      </c>
      <c r="D2040" s="29">
        <v>143.0</v>
      </c>
      <c r="E2040" s="28" t="s">
        <v>5507</v>
      </c>
      <c r="F2040" s="7" t="str">
        <f>IFERROR(__xludf.DUMMYFUNCTION("GOOGLETRANSLATE(B2040:B5064,""en"",""fr"")"),"officiellement")</f>
        <v>officiellement</v>
      </c>
    </row>
    <row r="2041" ht="19.5" customHeight="1">
      <c r="A2041" s="26" t="s">
        <v>5508</v>
      </c>
      <c r="B2041" s="27" t="s">
        <v>5509</v>
      </c>
      <c r="C2041" s="28" t="s">
        <v>178</v>
      </c>
      <c r="D2041" s="29">
        <v>143.0</v>
      </c>
      <c r="E2041" s="28" t="s">
        <v>5510</v>
      </c>
      <c r="F2041" s="7" t="str">
        <f>IFERROR(__xludf.DUMMYFUNCTION("GOOGLETRANSLATE(B2041:B5064,""en"",""fr"")"),"qualité")</f>
        <v>qualité</v>
      </c>
    </row>
    <row r="2042" ht="19.5" customHeight="1">
      <c r="A2042" s="26" t="s">
        <v>5511</v>
      </c>
      <c r="B2042" s="27" t="s">
        <v>5512</v>
      </c>
      <c r="C2042" s="28" t="s">
        <v>178</v>
      </c>
      <c r="D2042" s="29">
        <v>142.0</v>
      </c>
      <c r="E2042" s="28" t="s">
        <v>5513</v>
      </c>
      <c r="F2042" s="7" t="str">
        <f>IFERROR(__xludf.DUMMYFUNCTION("GOOGLETRANSLATE(B2042:B5064,""en"",""fr"")"),"accord")</f>
        <v>accord</v>
      </c>
    </row>
    <row r="2043" ht="19.5" customHeight="1">
      <c r="A2043" s="26" t="s">
        <v>5514</v>
      </c>
      <c r="B2043" s="27" t="s">
        <v>5515</v>
      </c>
      <c r="C2043" s="28" t="s">
        <v>178</v>
      </c>
      <c r="D2043" s="29">
        <v>142.0</v>
      </c>
      <c r="E2043" s="28" t="s">
        <v>5516</v>
      </c>
      <c r="F2043" s="7" t="str">
        <f>IFERROR(__xludf.DUMMYFUNCTION("GOOGLETRANSLATE(B2043:B5064,""en"",""fr"")"),"argument")</f>
        <v>argument</v>
      </c>
    </row>
    <row r="2044" ht="19.5" customHeight="1">
      <c r="A2044" s="26" t="s">
        <v>5517</v>
      </c>
      <c r="B2044" s="27" t="s">
        <v>5518</v>
      </c>
      <c r="C2044" s="28" t="s">
        <v>178</v>
      </c>
      <c r="D2044" s="29">
        <v>142.0</v>
      </c>
      <c r="E2044" s="28" t="s">
        <v>5519</v>
      </c>
      <c r="F2044" s="7" t="str">
        <f>IFERROR(__xludf.DUMMYFUNCTION("GOOGLETRANSLATE(B2044:B5064,""en"",""fr"")"),"tapis")</f>
        <v>tapis</v>
      </c>
    </row>
    <row r="2045" ht="19.5" customHeight="1">
      <c r="A2045" s="26" t="s">
        <v>5520</v>
      </c>
      <c r="B2045" s="27" t="s">
        <v>5521</v>
      </c>
      <c r="C2045" s="28" t="s">
        <v>178</v>
      </c>
      <c r="D2045" s="29">
        <v>142.0</v>
      </c>
      <c r="E2045" s="28" t="s">
        <v>5522</v>
      </c>
      <c r="F2045" s="7" t="str">
        <f>IFERROR(__xludf.DUMMYFUNCTION("GOOGLETRANSLATE(B2045:B5064,""en"",""fr"")"),"crise")</f>
        <v>crise</v>
      </c>
    </row>
    <row r="2046" ht="19.5" customHeight="1">
      <c r="A2046" s="26" t="s">
        <v>5523</v>
      </c>
      <c r="B2046" s="27" t="s">
        <v>4304</v>
      </c>
      <c r="C2046" s="28" t="s">
        <v>178</v>
      </c>
      <c r="D2046" s="29">
        <v>142.0</v>
      </c>
      <c r="E2046" s="28" t="s">
        <v>5524</v>
      </c>
      <c r="F2046" s="7" t="str">
        <f>IFERROR(__xludf.DUMMYFUNCTION("GOOGLETRANSLATE(B2046:B5064,""en"",""fr"")"),"conception")</f>
        <v>conception</v>
      </c>
    </row>
    <row r="2047" ht="19.5" customHeight="1">
      <c r="A2047" s="26" t="s">
        <v>5525</v>
      </c>
      <c r="B2047" s="27" t="s">
        <v>5526</v>
      </c>
      <c r="C2047" s="28" t="s">
        <v>178</v>
      </c>
      <c r="D2047" s="29">
        <v>142.0</v>
      </c>
      <c r="E2047" s="28" t="s">
        <v>5527</v>
      </c>
      <c r="F2047" s="7" t="str">
        <f>IFERROR(__xludf.DUMMYFUNCTION("GOOGLETRANSLATE(B2047:B5064,""en"",""fr"")"),"tiroir")</f>
        <v>tiroir</v>
      </c>
    </row>
    <row r="2048" ht="19.5" customHeight="1">
      <c r="A2048" s="26" t="s">
        <v>5528</v>
      </c>
      <c r="B2048" s="27" t="s">
        <v>5529</v>
      </c>
      <c r="C2048" s="28" t="s">
        <v>100</v>
      </c>
      <c r="D2048" s="29">
        <v>142.0</v>
      </c>
      <c r="E2048" s="28" t="s">
        <v>5529</v>
      </c>
      <c r="F2048" s="7" t="str">
        <f>IFERROR(__xludf.DUMMYFUNCTION("GOOGLETRANSLATE(B2048:B5064,""en"",""fr"")"),"plus loin")</f>
        <v>plus loin</v>
      </c>
    </row>
    <row r="2049" ht="19.5" customHeight="1">
      <c r="A2049" s="26" t="s">
        <v>5530</v>
      </c>
      <c r="B2049" s="27" t="s">
        <v>5531</v>
      </c>
      <c r="C2049" s="28" t="s">
        <v>100</v>
      </c>
      <c r="D2049" s="29">
        <v>142.0</v>
      </c>
      <c r="E2049" s="28" t="s">
        <v>5531</v>
      </c>
      <c r="F2049" s="7" t="str">
        <f>IFERROR(__xludf.DUMMYFUNCTION("GOOGLETRANSLATE(B2049:B5064,""en"",""fr"")"),"incroyablement")</f>
        <v>incroyablement</v>
      </c>
    </row>
    <row r="2050" ht="19.5" customHeight="1">
      <c r="A2050" s="26" t="s">
        <v>5532</v>
      </c>
      <c r="B2050" s="27" t="s">
        <v>5533</v>
      </c>
      <c r="C2050" s="28" t="s">
        <v>134</v>
      </c>
      <c r="D2050" s="29">
        <v>142.0</v>
      </c>
      <c r="E2050" s="28" t="s">
        <v>5534</v>
      </c>
      <c r="F2050" s="7" t="str">
        <f>IFERROR(__xludf.DUMMYFUNCTION("GOOGLETRANSLATE(B2050:B5064,""en"",""fr"")"),"lâche")</f>
        <v>lâche</v>
      </c>
    </row>
    <row r="2051" ht="19.5" customHeight="1">
      <c r="A2051" s="26" t="s">
        <v>5535</v>
      </c>
      <c r="B2051" s="27" t="s">
        <v>5280</v>
      </c>
      <c r="C2051" s="28" t="s">
        <v>150</v>
      </c>
      <c r="D2051" s="29">
        <v>142.0</v>
      </c>
      <c r="E2051" s="28" t="s">
        <v>5281</v>
      </c>
      <c r="F2051" s="7" t="str">
        <f>IFERROR(__xludf.DUMMYFUNCTION("GOOGLETRANSLATE(B2051:B5064,""en"",""fr"")"),"paire")</f>
        <v>paire</v>
      </c>
    </row>
    <row r="2052" ht="19.5" customHeight="1">
      <c r="A2052" s="26" t="s">
        <v>5536</v>
      </c>
      <c r="B2052" s="27" t="s">
        <v>5537</v>
      </c>
      <c r="C2052" s="28" t="s">
        <v>32</v>
      </c>
      <c r="D2052" s="29">
        <v>142.0</v>
      </c>
      <c r="E2052" s="28" t="s">
        <v>5538</v>
      </c>
      <c r="F2052" s="7" t="str">
        <f>IFERROR(__xludf.DUMMYFUNCTION("GOOGLETRANSLATE(B2052:B5064,""en"",""fr"")"),"refuser")</f>
        <v>refuser</v>
      </c>
    </row>
    <row r="2053" ht="19.5" customHeight="1">
      <c r="A2053" s="26" t="s">
        <v>5539</v>
      </c>
      <c r="B2053" s="27" t="s">
        <v>5540</v>
      </c>
      <c r="C2053" s="28" t="s">
        <v>178</v>
      </c>
      <c r="D2053" s="29">
        <v>142.0</v>
      </c>
      <c r="E2053" s="28" t="s">
        <v>5541</v>
      </c>
      <c r="F2053" s="7" t="str">
        <f>IFERROR(__xludf.DUMMYFUNCTION("GOOGLETRANSLATE(B2053:B5064,""en"",""fr"")"),"risque")</f>
        <v>risque</v>
      </c>
    </row>
    <row r="2054" ht="19.5" customHeight="1">
      <c r="A2054" s="26" t="s">
        <v>5542</v>
      </c>
      <c r="B2054" s="27" t="s">
        <v>5543</v>
      </c>
      <c r="C2054" s="28" t="s">
        <v>134</v>
      </c>
      <c r="D2054" s="29">
        <v>142.0</v>
      </c>
      <c r="E2054" s="28" t="s">
        <v>5543</v>
      </c>
      <c r="F2054" s="7" t="str">
        <f>IFERROR(__xludf.DUMMYFUNCTION("GOOGLETRANSLATE(B2054:B5064,""en"",""fr"")"),"égoïste")</f>
        <v>égoïste</v>
      </c>
    </row>
    <row r="2055" ht="19.5" customHeight="1">
      <c r="A2055" s="26" t="s">
        <v>5544</v>
      </c>
      <c r="B2055" s="27" t="s">
        <v>5545</v>
      </c>
      <c r="C2055" s="28" t="s">
        <v>178</v>
      </c>
      <c r="D2055" s="29">
        <v>142.0</v>
      </c>
      <c r="E2055" s="28" t="s">
        <v>5546</v>
      </c>
      <c r="F2055" s="7" t="str">
        <f>IFERROR(__xludf.DUMMYFUNCTION("GOOGLETRANSLATE(B2055:B5064,""en"",""fr"")"),"village")</f>
        <v>village</v>
      </c>
    </row>
    <row r="2056" ht="19.5" customHeight="1">
      <c r="A2056" s="26" t="s">
        <v>5547</v>
      </c>
      <c r="B2056" s="27" t="s">
        <v>5548</v>
      </c>
      <c r="C2056" s="28" t="s">
        <v>178</v>
      </c>
      <c r="D2056" s="29">
        <v>141.0</v>
      </c>
      <c r="E2056" s="28" t="s">
        <v>5549</v>
      </c>
      <c r="F2056" s="7" t="str">
        <f>IFERROR(__xludf.DUMMYFUNCTION("GOOGLETRANSLATE(B2056:B5064,""en"",""fr"")"),"colère")</f>
        <v>colère</v>
      </c>
    </row>
    <row r="2057" ht="19.5" customHeight="1">
      <c r="A2057" s="26" t="s">
        <v>5550</v>
      </c>
      <c r="B2057" s="27" t="s">
        <v>5551</v>
      </c>
      <c r="C2057" s="28" t="s">
        <v>32</v>
      </c>
      <c r="D2057" s="29">
        <v>141.0</v>
      </c>
      <c r="E2057" s="28" t="s">
        <v>5552</v>
      </c>
      <c r="F2057" s="7" t="str">
        <f>IFERROR(__xludf.DUMMYFUNCTION("GOOGLETRANSLATE(B2057:B5064,""en"",""fr"")"),"assurer")</f>
        <v>assurer</v>
      </c>
    </row>
    <row r="2058" ht="19.5" customHeight="1">
      <c r="A2058" s="26" t="s">
        <v>5553</v>
      </c>
      <c r="B2058" s="27" t="s">
        <v>1250</v>
      </c>
      <c r="C2058" s="28" t="s">
        <v>178</v>
      </c>
      <c r="D2058" s="29">
        <v>141.0</v>
      </c>
      <c r="E2058" s="28" t="s">
        <v>5554</v>
      </c>
      <c r="F2058" s="7" t="str">
        <f>IFERROR(__xludf.DUMMYFUNCTION("GOOGLETRANSLATE(B2058:B5064,""en"",""fr"")"),"pari")</f>
        <v>pari</v>
      </c>
    </row>
    <row r="2059" ht="19.5" customHeight="1">
      <c r="A2059" s="26" t="s">
        <v>5555</v>
      </c>
      <c r="B2059" s="27" t="s">
        <v>5556</v>
      </c>
      <c r="C2059" s="28" t="s">
        <v>178</v>
      </c>
      <c r="D2059" s="29">
        <v>141.0</v>
      </c>
      <c r="E2059" s="28" t="s">
        <v>5556</v>
      </c>
      <c r="F2059" s="7" t="str">
        <f>IFERROR(__xludf.DUMMYFUNCTION("GOOGLETRANSLATE(B2059:B5064,""en"",""fr"")"),"bingo")</f>
        <v>bingo</v>
      </c>
    </row>
    <row r="2060" ht="19.5" customHeight="1">
      <c r="A2060" s="26" t="s">
        <v>5557</v>
      </c>
      <c r="B2060" s="27" t="s">
        <v>5558</v>
      </c>
      <c r="C2060" s="28" t="s">
        <v>178</v>
      </c>
      <c r="D2060" s="29">
        <v>141.0</v>
      </c>
      <c r="E2060" s="28" t="s">
        <v>5559</v>
      </c>
      <c r="F2060" s="7" t="str">
        <f>IFERROR(__xludf.DUMMYFUNCTION("GOOGLETRANSLATE(B2060:B5064,""en"",""fr"")"),"lapin")</f>
        <v>lapin</v>
      </c>
    </row>
    <row r="2061" ht="19.5" customHeight="1">
      <c r="A2061" s="26" t="s">
        <v>5560</v>
      </c>
      <c r="B2061" s="27" t="s">
        <v>5561</v>
      </c>
      <c r="C2061" s="28" t="s">
        <v>32</v>
      </c>
      <c r="D2061" s="29">
        <v>141.0</v>
      </c>
      <c r="E2061" s="28" t="s">
        <v>5562</v>
      </c>
      <c r="F2061" s="7" t="str">
        <f>IFERROR(__xludf.DUMMYFUNCTION("GOOGLETRANSLATE(B2061:B5064,""en"",""fr"")"),"crawl")</f>
        <v>crawl</v>
      </c>
    </row>
    <row r="2062" ht="19.5" customHeight="1">
      <c r="A2062" s="26" t="s">
        <v>5563</v>
      </c>
      <c r="B2062" s="27" t="s">
        <v>5564</v>
      </c>
      <c r="C2062" s="28" t="s">
        <v>32</v>
      </c>
      <c r="D2062" s="29">
        <v>141.0</v>
      </c>
      <c r="E2062" s="28" t="s">
        <v>5565</v>
      </c>
      <c r="F2062" s="7" t="str">
        <f>IFERROR(__xludf.DUMMYFUNCTION("GOOGLETRANSLATE(B2062:B5064,""en"",""fr"")"),"demande")</f>
        <v>demande</v>
      </c>
    </row>
    <row r="2063" ht="19.5" customHeight="1">
      <c r="A2063" s="26" t="s">
        <v>5566</v>
      </c>
      <c r="B2063" s="27" t="s">
        <v>5567</v>
      </c>
      <c r="C2063" s="28" t="s">
        <v>134</v>
      </c>
      <c r="D2063" s="29">
        <v>141.0</v>
      </c>
      <c r="E2063" s="28" t="s">
        <v>5567</v>
      </c>
      <c r="F2063" s="7" t="str">
        <f>IFERROR(__xludf.DUMMYFUNCTION("GOOGLETRANSLATE(B2063:B5064,""en"",""fr"")"),"désespéré")</f>
        <v>désespéré</v>
      </c>
    </row>
    <row r="2064" ht="19.5" customHeight="1">
      <c r="A2064" s="26" t="s">
        <v>5568</v>
      </c>
      <c r="B2064" s="27" t="s">
        <v>5569</v>
      </c>
      <c r="C2064" s="28" t="s">
        <v>178</v>
      </c>
      <c r="D2064" s="29">
        <v>141.0</v>
      </c>
      <c r="E2064" s="28" t="s">
        <v>5570</v>
      </c>
      <c r="F2064" s="7" t="str">
        <f>IFERROR(__xludf.DUMMYFUNCTION("GOOGLETRANSLATE(B2064:B5064,""en"",""fr"")"),"ascenseur")</f>
        <v>ascenseur</v>
      </c>
    </row>
    <row r="2065" ht="19.5" customHeight="1">
      <c r="A2065" s="26" t="s">
        <v>5571</v>
      </c>
      <c r="B2065" s="27" t="s">
        <v>5572</v>
      </c>
      <c r="C2065" s="28" t="s">
        <v>178</v>
      </c>
      <c r="D2065" s="29">
        <v>141.0</v>
      </c>
      <c r="E2065" s="28" t="s">
        <v>5573</v>
      </c>
      <c r="F2065" s="7" t="str">
        <f>IFERROR(__xludf.DUMMYFUNCTION("GOOGLETRANSLATE(B2065:B5064,""en"",""fr"")"),"chèvre")</f>
        <v>chèvre</v>
      </c>
    </row>
    <row r="2066" ht="19.5" customHeight="1">
      <c r="A2066" s="26" t="s">
        <v>5574</v>
      </c>
      <c r="B2066" s="27" t="s">
        <v>5575</v>
      </c>
      <c r="C2066" s="28" t="s">
        <v>178</v>
      </c>
      <c r="D2066" s="29">
        <v>141.0</v>
      </c>
      <c r="E2066" s="28" t="s">
        <v>5576</v>
      </c>
      <c r="F2066" s="7" t="str">
        <f>IFERROR(__xludf.DUMMYFUNCTION("GOOGLETRANSLATE(B2066:B5064,""en"",""fr"")"),"voyage de noces")</f>
        <v>voyage de noces</v>
      </c>
    </row>
    <row r="2067" ht="19.5" customHeight="1">
      <c r="A2067" s="26" t="s">
        <v>5577</v>
      </c>
      <c r="B2067" s="27" t="s">
        <v>5578</v>
      </c>
      <c r="C2067" s="28" t="s">
        <v>32</v>
      </c>
      <c r="D2067" s="29">
        <v>141.0</v>
      </c>
      <c r="E2067" s="28" t="s">
        <v>5579</v>
      </c>
      <c r="F2067" s="7" t="str">
        <f>IFERROR(__xludf.DUMMYFUNCTION("GOOGLETRANSLATE(B2067:B5064,""en"",""fr"")"),"insister")</f>
        <v>insister</v>
      </c>
    </row>
    <row r="2068" ht="19.5" customHeight="1">
      <c r="A2068" s="26" t="s">
        <v>5580</v>
      </c>
      <c r="B2068" s="27" t="s">
        <v>1801</v>
      </c>
      <c r="C2068" s="28" t="s">
        <v>178</v>
      </c>
      <c r="D2068" s="29">
        <v>141.0</v>
      </c>
      <c r="E2068" s="28" t="s">
        <v>1802</v>
      </c>
      <c r="F2068" s="7" t="str">
        <f>IFERROR(__xludf.DUMMYFUNCTION("GOOGLETRANSLATE(B2068:B5064,""en"",""fr"")"),"million")</f>
        <v>million</v>
      </c>
    </row>
    <row r="2069" ht="19.5" customHeight="1">
      <c r="A2069" s="26" t="s">
        <v>5581</v>
      </c>
      <c r="B2069" s="27" t="s">
        <v>3611</v>
      </c>
      <c r="C2069" s="28" t="s">
        <v>32</v>
      </c>
      <c r="D2069" s="29">
        <v>141.0</v>
      </c>
      <c r="E2069" s="28" t="s">
        <v>5582</v>
      </c>
      <c r="F2069" s="7" t="str">
        <f>IFERROR(__xludf.DUMMYFUNCTION("GOOGLETRANSLATE(B2069:B5064,""en"",""fr"")"),"meurtre")</f>
        <v>meurtre</v>
      </c>
    </row>
    <row r="2070" ht="19.5" customHeight="1">
      <c r="A2070" s="26" t="s">
        <v>5583</v>
      </c>
      <c r="B2070" s="27" t="s">
        <v>5584</v>
      </c>
      <c r="C2070" s="28" t="s">
        <v>178</v>
      </c>
      <c r="D2070" s="29">
        <v>141.0</v>
      </c>
      <c r="E2070" s="28" t="s">
        <v>5585</v>
      </c>
      <c r="F2070" s="7" t="str">
        <f>IFERROR(__xludf.DUMMYFUNCTION("GOOGLETRANSLATE(B2070:B5064,""en"",""fr"")"),"penny")</f>
        <v>penny</v>
      </c>
    </row>
    <row r="2071" ht="19.5" customHeight="1">
      <c r="A2071" s="26" t="s">
        <v>5586</v>
      </c>
      <c r="B2071" s="27" t="s">
        <v>5587</v>
      </c>
      <c r="C2071" s="28" t="s">
        <v>134</v>
      </c>
      <c r="D2071" s="29">
        <v>141.0</v>
      </c>
      <c r="E2071" s="28" t="s">
        <v>5587</v>
      </c>
      <c r="F2071" s="7" t="str">
        <f>IFERROR(__xludf.DUMMYFUNCTION("GOOGLETRANSLATE(B2071:B5064,""en"",""fr"")"),"habituel")</f>
        <v>habituel</v>
      </c>
    </row>
    <row r="2072" ht="19.5" customHeight="1">
      <c r="A2072" s="26" t="s">
        <v>5588</v>
      </c>
      <c r="B2072" s="27" t="s">
        <v>5589</v>
      </c>
      <c r="C2072" s="28" t="s">
        <v>134</v>
      </c>
      <c r="D2072" s="29">
        <v>141.0</v>
      </c>
      <c r="E2072" s="28" t="s">
        <v>5589</v>
      </c>
      <c r="F2072" s="7" t="str">
        <f>IFERROR(__xludf.DUMMYFUNCTION("GOOGLETRANSLATE(B2072:B5064,""en"",""fr"")"),"bien-aimé")</f>
        <v>bien-aimé</v>
      </c>
    </row>
    <row r="2073" ht="19.5" customHeight="1">
      <c r="A2073" s="26" t="s">
        <v>5590</v>
      </c>
      <c r="B2073" s="27" t="s">
        <v>4476</v>
      </c>
      <c r="C2073" s="28" t="s">
        <v>32</v>
      </c>
      <c r="D2073" s="29">
        <v>140.0</v>
      </c>
      <c r="E2073" s="28" t="s">
        <v>5591</v>
      </c>
      <c r="F2073" s="7" t="str">
        <f>IFERROR(__xludf.DUMMYFUNCTION("GOOGLETRANSLATE(B2073:B5064,""en"",""fr"")"),"copie")</f>
        <v>copie</v>
      </c>
    </row>
    <row r="2074" ht="19.5" customHeight="1">
      <c r="A2074" s="26" t="s">
        <v>5592</v>
      </c>
      <c r="B2074" s="27" t="s">
        <v>5593</v>
      </c>
      <c r="C2074" s="28" t="s">
        <v>178</v>
      </c>
      <c r="D2074" s="29">
        <v>140.0</v>
      </c>
      <c r="E2074" s="28" t="s">
        <v>5594</v>
      </c>
      <c r="F2074" s="7" t="str">
        <f>IFERROR(__xludf.DUMMYFUNCTION("GOOGLETRANSLATE(B2074:B5064,""en"",""fr"")"),"festival")</f>
        <v>festival</v>
      </c>
    </row>
    <row r="2075" ht="19.5" customHeight="1">
      <c r="A2075" s="26" t="s">
        <v>5595</v>
      </c>
      <c r="B2075" s="27" t="s">
        <v>5596</v>
      </c>
      <c r="C2075" s="28" t="s">
        <v>178</v>
      </c>
      <c r="D2075" s="29">
        <v>140.0</v>
      </c>
      <c r="E2075" s="28" t="s">
        <v>5596</v>
      </c>
      <c r="F2075" s="7" t="str">
        <f>IFERROR(__xludf.DUMMYFUNCTION("GOOGLETRANSLATE(B2075:B5064,""en"",""fr"")"),"tennis")</f>
        <v>tennis</v>
      </c>
    </row>
    <row r="2076" ht="19.5" customHeight="1">
      <c r="A2076" s="26" t="s">
        <v>5597</v>
      </c>
      <c r="B2076" s="27" t="s">
        <v>5598</v>
      </c>
      <c r="C2076" s="28" t="s">
        <v>32</v>
      </c>
      <c r="D2076" s="29">
        <v>140.0</v>
      </c>
      <c r="E2076" s="28" t="s">
        <v>5599</v>
      </c>
      <c r="F2076" s="7" t="str">
        <f>IFERROR(__xludf.DUMMYFUNCTION("GOOGLETRANSLATE(B2076:B5064,""en"",""fr"")"),"menacer")</f>
        <v>menacer</v>
      </c>
    </row>
    <row r="2077" ht="19.5" customHeight="1">
      <c r="A2077" s="26" t="s">
        <v>5600</v>
      </c>
      <c r="B2077" s="27" t="s">
        <v>5601</v>
      </c>
      <c r="C2077" s="28" t="s">
        <v>178</v>
      </c>
      <c r="D2077" s="29">
        <v>139.0</v>
      </c>
      <c r="E2077" s="28" t="s">
        <v>5602</v>
      </c>
      <c r="F2077" s="7" t="str">
        <f>IFERROR(__xludf.DUMMYFUNCTION("GOOGLETRANSLATE(B2077:B5064,""en"",""fr"")"),"début")</f>
        <v>début</v>
      </c>
    </row>
    <row r="2078" ht="19.5" customHeight="1">
      <c r="A2078" s="26" t="s">
        <v>5603</v>
      </c>
      <c r="B2078" s="27" t="s">
        <v>5604</v>
      </c>
      <c r="C2078" s="28" t="s">
        <v>178</v>
      </c>
      <c r="D2078" s="29">
        <v>139.0</v>
      </c>
      <c r="E2078" s="28" t="s">
        <v>5605</v>
      </c>
      <c r="F2078" s="7" t="str">
        <f>IFERROR(__xludf.DUMMYFUNCTION("GOOGLETRANSLATE(B2078:B5064,""en"",""fr"")"),"cigare")</f>
        <v>cigare</v>
      </c>
    </row>
    <row r="2079" ht="19.5" customHeight="1">
      <c r="A2079" s="26" t="s">
        <v>5606</v>
      </c>
      <c r="B2079" s="27" t="s">
        <v>5607</v>
      </c>
      <c r="C2079" s="28" t="s">
        <v>178</v>
      </c>
      <c r="D2079" s="29">
        <v>139.0</v>
      </c>
      <c r="E2079" s="28" t="s">
        <v>5608</v>
      </c>
      <c r="F2079" s="7" t="str">
        <f>IFERROR(__xludf.DUMMYFUNCTION("GOOGLETRANSLATE(B2079:B5064,""en"",""fr"")"),"Danseur")</f>
        <v>Danseur</v>
      </c>
    </row>
    <row r="2080" ht="19.5" customHeight="1">
      <c r="A2080" s="26" t="s">
        <v>5609</v>
      </c>
      <c r="B2080" s="27" t="s">
        <v>5610</v>
      </c>
      <c r="C2080" s="28" t="s">
        <v>178</v>
      </c>
      <c r="D2080" s="29">
        <v>139.0</v>
      </c>
      <c r="E2080" s="28" t="s">
        <v>5610</v>
      </c>
      <c r="F2080" s="7" t="str">
        <f>IFERROR(__xludf.DUMMYFUNCTION("GOOGLETRANSLATE(B2080:B5064,""en"",""fr"")"),"Zut")</f>
        <v>Zut</v>
      </c>
    </row>
    <row r="2081" ht="19.5" customHeight="1">
      <c r="A2081" s="26" t="s">
        <v>5611</v>
      </c>
      <c r="B2081" s="27" t="s">
        <v>3087</v>
      </c>
      <c r="C2081" s="28" t="s">
        <v>100</v>
      </c>
      <c r="D2081" s="29">
        <v>139.0</v>
      </c>
      <c r="E2081" s="28" t="s">
        <v>3088</v>
      </c>
      <c r="F2081" s="7" t="str">
        <f>IFERROR(__xludf.DUMMYFUNCTION("GOOGLETRANSLATE(B2081:B5064,""en"",""fr"")"),"faible")</f>
        <v>faible</v>
      </c>
    </row>
    <row r="2082" ht="19.5" customHeight="1">
      <c r="A2082" s="26" t="s">
        <v>5612</v>
      </c>
      <c r="B2082" s="27" t="s">
        <v>5613</v>
      </c>
      <c r="C2082" s="28" t="s">
        <v>178</v>
      </c>
      <c r="D2082" s="29">
        <v>139.0</v>
      </c>
      <c r="E2082" s="28" t="s">
        <v>5614</v>
      </c>
      <c r="F2082" s="7" t="str">
        <f>IFERROR(__xludf.DUMMYFUNCTION("GOOGLETRANSLATE(B2082:B5064,""en"",""fr"")"),"matériel")</f>
        <v>matériel</v>
      </c>
    </row>
    <row r="2083" ht="19.5" customHeight="1">
      <c r="A2083" s="26" t="s">
        <v>5615</v>
      </c>
      <c r="B2083" s="27" t="s">
        <v>5616</v>
      </c>
      <c r="C2083" s="28" t="s">
        <v>728</v>
      </c>
      <c r="D2083" s="29">
        <v>139.0</v>
      </c>
      <c r="E2083" s="28" t="s">
        <v>5617</v>
      </c>
      <c r="F2083" s="7" t="str">
        <f>IFERROR(__xludf.DUMMYFUNCTION("GOOGLETRANSLATE(B2083:B5064,""en"",""fr"")"),"Yankee")</f>
        <v>Yankee</v>
      </c>
    </row>
    <row r="2084" ht="19.5" customHeight="1">
      <c r="A2084" s="26" t="s">
        <v>5618</v>
      </c>
      <c r="B2084" s="27" t="s">
        <v>5619</v>
      </c>
      <c r="C2084" s="28" t="s">
        <v>178</v>
      </c>
      <c r="D2084" s="29">
        <v>138.0</v>
      </c>
      <c r="E2084" s="28" t="s">
        <v>5620</v>
      </c>
      <c r="F2084" s="7" t="str">
        <f>IFERROR(__xludf.DUMMYFUNCTION("GOOGLETRANSLATE(B2084:B5064,""en"",""fr"")"),"chapitre")</f>
        <v>chapitre</v>
      </c>
    </row>
    <row r="2085" ht="19.5" customHeight="1">
      <c r="A2085" s="26" t="s">
        <v>5621</v>
      </c>
      <c r="B2085" s="27" t="s">
        <v>5622</v>
      </c>
      <c r="C2085" s="28" t="s">
        <v>32</v>
      </c>
      <c r="D2085" s="29">
        <v>138.0</v>
      </c>
      <c r="E2085" s="28" t="s">
        <v>5623</v>
      </c>
      <c r="F2085" s="7" t="str">
        <f>IFERROR(__xludf.DUMMYFUNCTION("GOOGLETRANSLATE(B2085:B5064,""en"",""fr"")"),"chat")</f>
        <v>chat</v>
      </c>
    </row>
    <row r="2086" ht="19.5" customHeight="1">
      <c r="A2086" s="26" t="s">
        <v>5624</v>
      </c>
      <c r="B2086" s="27" t="s">
        <v>5625</v>
      </c>
      <c r="C2086" s="28" t="s">
        <v>134</v>
      </c>
      <c r="D2086" s="29">
        <v>138.0</v>
      </c>
      <c r="E2086" s="28" t="s">
        <v>5625</v>
      </c>
      <c r="F2086" s="7" t="str">
        <f>IFERROR(__xludf.DUMMYFUNCTION("GOOGLETRANSLATE(B2086:B5064,""en"",""fr"")"),"sans-abri")</f>
        <v>sans-abri</v>
      </c>
    </row>
    <row r="2087" ht="19.5" customHeight="1">
      <c r="A2087" s="26" t="s">
        <v>5626</v>
      </c>
      <c r="B2087" s="27" t="s">
        <v>5627</v>
      </c>
      <c r="C2087" s="28" t="s">
        <v>178</v>
      </c>
      <c r="D2087" s="29">
        <v>138.0</v>
      </c>
      <c r="E2087" s="28" t="s">
        <v>5628</v>
      </c>
      <c r="F2087" s="7" t="str">
        <f>IFERROR(__xludf.DUMMYFUNCTION("GOOGLETRANSLATE(B2087:B5064,""en"",""fr"")"),"genoux")</f>
        <v>genoux</v>
      </c>
    </row>
    <row r="2088" ht="19.5" customHeight="1">
      <c r="A2088" s="26" t="s">
        <v>5629</v>
      </c>
      <c r="B2088" s="27" t="s">
        <v>5630</v>
      </c>
      <c r="C2088" s="28" t="s">
        <v>134</v>
      </c>
      <c r="D2088" s="29">
        <v>138.0</v>
      </c>
      <c r="E2088" s="28" t="s">
        <v>5630</v>
      </c>
      <c r="F2088" s="7" t="str">
        <f>IFERROR(__xludf.DUMMYFUNCTION("GOOGLETRANSLATE(B2088:B5064,""en"",""fr"")"),"majeur")</f>
        <v>majeur</v>
      </c>
    </row>
    <row r="2089" ht="19.5" customHeight="1">
      <c r="A2089" s="26" t="s">
        <v>5631</v>
      </c>
      <c r="B2089" s="27" t="s">
        <v>5632</v>
      </c>
      <c r="C2089" s="28" t="s">
        <v>32</v>
      </c>
      <c r="D2089" s="29">
        <v>138.0</v>
      </c>
      <c r="E2089" s="28" t="s">
        <v>5633</v>
      </c>
      <c r="F2089" s="7" t="str">
        <f>IFERROR(__xludf.DUMMYFUNCTION("GOOGLETRANSLATE(B2089:B5064,""en"",""fr"")"),"marque")</f>
        <v>marque</v>
      </c>
    </row>
    <row r="2090" ht="19.5" customHeight="1">
      <c r="A2090" s="26" t="s">
        <v>5634</v>
      </c>
      <c r="B2090" s="27" t="s">
        <v>5635</v>
      </c>
      <c r="C2090" s="28" t="s">
        <v>178</v>
      </c>
      <c r="D2090" s="29">
        <v>138.0</v>
      </c>
      <c r="E2090" s="28" t="s">
        <v>5636</v>
      </c>
      <c r="F2090" s="7" t="str">
        <f>IFERROR(__xludf.DUMMYFUNCTION("GOOGLETRANSLATE(B2090:B5064,""en"",""fr"")"),"rivière")</f>
        <v>rivière</v>
      </c>
    </row>
    <row r="2091" ht="19.5" customHeight="1">
      <c r="A2091" s="26" t="s">
        <v>5637</v>
      </c>
      <c r="B2091" s="27" t="s">
        <v>5638</v>
      </c>
      <c r="C2091" s="28" t="s">
        <v>178</v>
      </c>
      <c r="D2091" s="29">
        <v>138.0</v>
      </c>
      <c r="E2091" s="28" t="s">
        <v>5639</v>
      </c>
      <c r="F2091" s="7" t="str">
        <f>IFERROR(__xludf.DUMMYFUNCTION("GOOGLETRANSLATE(B2091:B5064,""en"",""fr"")"),"requin")</f>
        <v>requin</v>
      </c>
    </row>
    <row r="2092" ht="19.5" customHeight="1">
      <c r="A2092" s="26" t="s">
        <v>5640</v>
      </c>
      <c r="B2092" s="27" t="s">
        <v>5641</v>
      </c>
      <c r="C2092" s="28" t="s">
        <v>178</v>
      </c>
      <c r="D2092" s="29">
        <v>138.0</v>
      </c>
      <c r="E2092" s="28" t="s">
        <v>5642</v>
      </c>
      <c r="F2092" s="7" t="str">
        <f>IFERROR(__xludf.DUMMYFUNCTION("GOOGLETRANSLATE(B2092:B5064,""en"",""fr"")"),"force")</f>
        <v>force</v>
      </c>
    </row>
    <row r="2093" ht="19.5" customHeight="1">
      <c r="A2093" s="26" t="s">
        <v>5643</v>
      </c>
      <c r="B2093" s="27" t="s">
        <v>5644</v>
      </c>
      <c r="C2093" s="28" t="s">
        <v>100</v>
      </c>
      <c r="D2093" s="29">
        <v>137.0</v>
      </c>
      <c r="E2093" s="28" t="s">
        <v>5644</v>
      </c>
      <c r="F2093" s="7" t="str">
        <f>IFERROR(__xludf.DUMMYFUNCTION("GOOGLETRANSLATE(B2093:B5064,""en"",""fr"")"),"accidentellement")</f>
        <v>accidentellement</v>
      </c>
    </row>
    <row r="2094" ht="19.5" customHeight="1">
      <c r="A2094" s="26" t="s">
        <v>5645</v>
      </c>
      <c r="B2094" s="27" t="s">
        <v>5646</v>
      </c>
      <c r="C2094" s="28" t="s">
        <v>134</v>
      </c>
      <c r="D2094" s="29">
        <v>137.0</v>
      </c>
      <c r="E2094" s="28" t="s">
        <v>5646</v>
      </c>
      <c r="F2094" s="7" t="str">
        <f>IFERROR(__xludf.DUMMYFUNCTION("GOOGLETRANSLATE(B2094:B5064,""en"",""fr"")"),"ancien")</f>
        <v>ancien</v>
      </c>
    </row>
    <row r="2095" ht="19.5" customHeight="1">
      <c r="A2095" s="26" t="s">
        <v>5647</v>
      </c>
      <c r="B2095" s="27" t="s">
        <v>5648</v>
      </c>
      <c r="C2095" s="28" t="s">
        <v>178</v>
      </c>
      <c r="D2095" s="29">
        <v>137.0</v>
      </c>
      <c r="E2095" s="28" t="s">
        <v>5649</v>
      </c>
      <c r="F2095" s="7" t="str">
        <f>IFERROR(__xludf.DUMMYFUNCTION("GOOGLETRANSLATE(B2095:B5064,""en"",""fr"")"),"collection")</f>
        <v>collection</v>
      </c>
    </row>
    <row r="2096" ht="19.5" customHeight="1">
      <c r="A2096" s="26" t="s">
        <v>5650</v>
      </c>
      <c r="B2096" s="27" t="s">
        <v>5651</v>
      </c>
      <c r="C2096" s="28" t="s">
        <v>178</v>
      </c>
      <c r="D2096" s="29">
        <v>137.0</v>
      </c>
      <c r="E2096" s="28" t="s">
        <v>5652</v>
      </c>
      <c r="F2096" s="7" t="str">
        <f>IFERROR(__xludf.DUMMYFUNCTION("GOOGLETRANSLATE(B2096:B5064,""en"",""fr"")"),"exercice")</f>
        <v>exercice</v>
      </c>
    </row>
    <row r="2097" ht="19.5" customHeight="1">
      <c r="A2097" s="26" t="s">
        <v>5653</v>
      </c>
      <c r="B2097" s="27" t="s">
        <v>5654</v>
      </c>
      <c r="C2097" s="28" t="s">
        <v>32</v>
      </c>
      <c r="D2097" s="29">
        <v>137.0</v>
      </c>
      <c r="E2097" s="28" t="s">
        <v>5655</v>
      </c>
      <c r="F2097" s="7" t="str">
        <f>IFERROR(__xludf.DUMMYFUNCTION("GOOGLETRANSLATE(B2097:B5064,""en"",""fr"")"),"inclure")</f>
        <v>inclure</v>
      </c>
    </row>
    <row r="2098" ht="19.5" customHeight="1">
      <c r="A2098" s="26" t="s">
        <v>5656</v>
      </c>
      <c r="B2098" s="27" t="s">
        <v>5657</v>
      </c>
      <c r="C2098" s="28" t="s">
        <v>178</v>
      </c>
      <c r="D2098" s="29">
        <v>137.0</v>
      </c>
      <c r="E2098" s="28" t="s">
        <v>5658</v>
      </c>
      <c r="F2098" s="7" t="str">
        <f>IFERROR(__xludf.DUMMYFUNCTION("GOOGLETRANSLATE(B2098:B5064,""en"",""fr"")"),"muffin")</f>
        <v>muffin</v>
      </c>
    </row>
    <row r="2099" ht="19.5" customHeight="1">
      <c r="A2099" s="26" t="s">
        <v>5659</v>
      </c>
      <c r="B2099" s="27" t="s">
        <v>5660</v>
      </c>
      <c r="C2099" s="28" t="s">
        <v>178</v>
      </c>
      <c r="D2099" s="29">
        <v>137.0</v>
      </c>
      <c r="E2099" s="28" t="s">
        <v>5661</v>
      </c>
      <c r="F2099" s="7" t="str">
        <f>IFERROR(__xludf.DUMMYFUNCTION("GOOGLETRANSLATE(B2099:B5064,""en"",""fr"")"),"infraction")</f>
        <v>infraction</v>
      </c>
    </row>
    <row r="2100" ht="19.5" customHeight="1">
      <c r="A2100" s="26" t="s">
        <v>5662</v>
      </c>
      <c r="B2100" s="27" t="s">
        <v>5663</v>
      </c>
      <c r="C2100" s="28" t="s">
        <v>178</v>
      </c>
      <c r="D2100" s="29">
        <v>137.0</v>
      </c>
      <c r="E2100" s="28" t="s">
        <v>5664</v>
      </c>
      <c r="F2100" s="7" t="str">
        <f>IFERROR(__xludf.DUMMYFUNCTION("GOOGLETRANSLATE(B2100:B5064,""en"",""fr"")"),"écran")</f>
        <v>écran</v>
      </c>
    </row>
    <row r="2101" ht="19.5" customHeight="1">
      <c r="A2101" s="26" t="s">
        <v>5665</v>
      </c>
      <c r="B2101" s="27" t="s">
        <v>5666</v>
      </c>
      <c r="C2101" s="28" t="s">
        <v>178</v>
      </c>
      <c r="D2101" s="29">
        <v>137.0</v>
      </c>
      <c r="E2101" s="28" t="s">
        <v>5667</v>
      </c>
      <c r="F2101" s="7" t="str">
        <f>IFERROR(__xludf.DUMMYFUNCTION("GOOGLETRANSLATE(B2101:B5064,""en"",""fr"")"),"tomate")</f>
        <v>tomate</v>
      </c>
    </row>
    <row r="2102" ht="19.5" customHeight="1">
      <c r="A2102" s="26" t="s">
        <v>5668</v>
      </c>
      <c r="B2102" s="27" t="s">
        <v>5669</v>
      </c>
      <c r="C2102" s="28" t="s">
        <v>85</v>
      </c>
      <c r="D2102" s="29">
        <v>136.0</v>
      </c>
      <c r="E2102" s="28" t="s">
        <v>5669</v>
      </c>
      <c r="F2102" s="7" t="str">
        <f>IFERROR(__xludf.DUMMYFUNCTION("GOOGLETRANSLATE(B2102:B5064,""en"",""fr"")"),"aha")</f>
        <v>aha</v>
      </c>
    </row>
    <row r="2103" ht="19.5" customHeight="1">
      <c r="A2103" s="26" t="s">
        <v>5670</v>
      </c>
      <c r="B2103" s="27" t="s">
        <v>5671</v>
      </c>
      <c r="C2103" s="28" t="s">
        <v>178</v>
      </c>
      <c r="D2103" s="29">
        <v>136.0</v>
      </c>
      <c r="E2103" s="28" t="s">
        <v>5672</v>
      </c>
      <c r="F2103" s="7" t="str">
        <f>IFERROR(__xludf.DUMMYFUNCTION("GOOGLETRANSLATE(B2103:B5064,""en"",""fr"")"),"cafétéria")</f>
        <v>cafétéria</v>
      </c>
    </row>
    <row r="2104" ht="19.5" customHeight="1">
      <c r="A2104" s="26" t="s">
        <v>5673</v>
      </c>
      <c r="B2104" s="27" t="s">
        <v>4744</v>
      </c>
      <c r="C2104" s="28" t="s">
        <v>178</v>
      </c>
      <c r="D2104" s="29">
        <v>136.0</v>
      </c>
      <c r="E2104" s="28" t="s">
        <v>5674</v>
      </c>
      <c r="F2104" s="7" t="str">
        <f>IFERROR(__xludf.DUMMYFUNCTION("GOOGLETRANSLATE(B2104:B5064,""en"",""fr"")"),"fissure")</f>
        <v>fissure</v>
      </c>
    </row>
    <row r="2105" ht="19.5" customHeight="1">
      <c r="A2105" s="26" t="s">
        <v>5675</v>
      </c>
      <c r="B2105" s="27" t="s">
        <v>5676</v>
      </c>
      <c r="C2105" s="28" t="s">
        <v>134</v>
      </c>
      <c r="D2105" s="29">
        <v>136.0</v>
      </c>
      <c r="E2105" s="28" t="s">
        <v>5677</v>
      </c>
      <c r="F2105" s="7" t="str">
        <f>IFERROR(__xludf.DUMMYFUNCTION("GOOGLETRANSLATE(B2105:B5064,""en"",""fr"")"),"merdique")</f>
        <v>merdique</v>
      </c>
    </row>
    <row r="2106" ht="19.5" customHeight="1">
      <c r="A2106" s="26" t="s">
        <v>5678</v>
      </c>
      <c r="B2106" s="27" t="s">
        <v>5679</v>
      </c>
      <c r="C2106" s="28" t="s">
        <v>728</v>
      </c>
      <c r="D2106" s="29">
        <v>136.0</v>
      </c>
      <c r="E2106" s="28" t="s">
        <v>5679</v>
      </c>
      <c r="F2106" s="7" t="str">
        <f>IFERROR(__xludf.DUMMYFUNCTION("GOOGLETRANSLATE(B2106:B5064,""en"",""fr"")"),"Japonais")</f>
        <v>Japonais</v>
      </c>
    </row>
    <row r="2107" ht="19.5" customHeight="1">
      <c r="A2107" s="26" t="s">
        <v>5680</v>
      </c>
      <c r="B2107" s="27" t="s">
        <v>5681</v>
      </c>
      <c r="C2107" s="28" t="s">
        <v>178</v>
      </c>
      <c r="D2107" s="29">
        <v>136.0</v>
      </c>
      <c r="E2107" s="28" t="s">
        <v>5682</v>
      </c>
      <c r="F2107" s="7" t="str">
        <f>IFERROR(__xludf.DUMMYFUNCTION("GOOGLETRANSLATE(B2107:B5064,""en"",""fr"")"),"statue")</f>
        <v>statue</v>
      </c>
    </row>
    <row r="2108" ht="19.5" customHeight="1">
      <c r="A2108" s="26" t="s">
        <v>5683</v>
      </c>
      <c r="B2108" s="27" t="s">
        <v>5684</v>
      </c>
      <c r="C2108" s="28" t="s">
        <v>178</v>
      </c>
      <c r="D2108" s="29">
        <v>136.0</v>
      </c>
      <c r="E2108" s="28" t="s">
        <v>5685</v>
      </c>
      <c r="F2108" s="7" t="str">
        <f>IFERROR(__xludf.DUMMYFUNCTION("GOOGLETRANSLATE(B2108:B5064,""en"",""fr"")"),"fournir")</f>
        <v>fournir</v>
      </c>
    </row>
    <row r="2109" ht="19.5" customHeight="1">
      <c r="A2109" s="26" t="s">
        <v>5686</v>
      </c>
      <c r="B2109" s="27" t="s">
        <v>5687</v>
      </c>
      <c r="C2109" s="28" t="s">
        <v>36</v>
      </c>
      <c r="D2109" s="29">
        <v>136.0</v>
      </c>
      <c r="E2109" s="28" t="s">
        <v>5687</v>
      </c>
      <c r="F2109" s="7" t="str">
        <f>IFERROR(__xludf.DUMMYFUNCTION("GOOGLETRANSLATE(B2109:B5064,""en"",""fr"")"),"contre")</f>
        <v>contre</v>
      </c>
    </row>
    <row r="2110" ht="19.5" customHeight="1">
      <c r="A2110" s="26" t="s">
        <v>5688</v>
      </c>
      <c r="B2110" s="27" t="s">
        <v>5689</v>
      </c>
      <c r="C2110" s="28" t="s">
        <v>178</v>
      </c>
      <c r="D2110" s="29">
        <v>136.0</v>
      </c>
      <c r="E2110" s="28" t="s">
        <v>5690</v>
      </c>
      <c r="F2110" s="7" t="str">
        <f>IFERROR(__xludf.DUMMYFUNCTION("GOOGLETRANSLATE(B2110:B5064,""en"",""fr"")"),"hiver")</f>
        <v>hiver</v>
      </c>
    </row>
    <row r="2111" ht="19.5" customHeight="1">
      <c r="A2111" s="26" t="s">
        <v>5691</v>
      </c>
      <c r="B2111" s="27" t="s">
        <v>5692</v>
      </c>
      <c r="C2111" s="28" t="s">
        <v>178</v>
      </c>
      <c r="D2111" s="29">
        <v>136.0</v>
      </c>
      <c r="E2111" s="28" t="s">
        <v>5693</v>
      </c>
      <c r="F2111" s="7" t="str">
        <f>IFERROR(__xludf.DUMMYFUNCTION("GOOGLETRANSLATE(B2111:B5064,""en"",""fr"")"),"outil")</f>
        <v>outil</v>
      </c>
    </row>
    <row r="2112" ht="19.5" customHeight="1">
      <c r="A2112" s="26" t="s">
        <v>5694</v>
      </c>
      <c r="B2112" s="27" t="s">
        <v>4958</v>
      </c>
      <c r="C2112" s="28" t="s">
        <v>134</v>
      </c>
      <c r="D2112" s="29">
        <v>135.0</v>
      </c>
      <c r="E2112" s="28" t="s">
        <v>4958</v>
      </c>
      <c r="F2112" s="7" t="str">
        <f>IFERROR(__xludf.DUMMYFUNCTION("GOOGLETRANSLATE(B2112:B5064,""en"",""fr"")"),"endormi")</f>
        <v>endormi</v>
      </c>
    </row>
    <row r="2113" ht="19.5" customHeight="1">
      <c r="A2113" s="26" t="s">
        <v>5695</v>
      </c>
      <c r="B2113" s="27" t="s">
        <v>5696</v>
      </c>
      <c r="C2113" s="28" t="s">
        <v>32</v>
      </c>
      <c r="D2113" s="29">
        <v>135.0</v>
      </c>
      <c r="E2113" s="28" t="s">
        <v>5697</v>
      </c>
      <c r="F2113" s="7" t="str">
        <f>IFERROR(__xludf.DUMMYFUNCTION("GOOGLETRANSLATE(B2113:B5064,""en"",""fr"")"),"plier")</f>
        <v>plier</v>
      </c>
    </row>
    <row r="2114" ht="19.5" customHeight="1">
      <c r="A2114" s="26" t="s">
        <v>5698</v>
      </c>
      <c r="B2114" s="27" t="s">
        <v>5699</v>
      </c>
      <c r="C2114" s="28" t="s">
        <v>178</v>
      </c>
      <c r="D2114" s="29">
        <v>135.0</v>
      </c>
      <c r="E2114" s="28" t="s">
        <v>5700</v>
      </c>
      <c r="F2114" s="7" t="str">
        <f>IFERROR(__xludf.DUMMYFUNCTION("GOOGLETRANSLATE(B2114:B5064,""en"",""fr"")"),"engagement")</f>
        <v>engagement</v>
      </c>
    </row>
    <row r="2115" ht="19.5" customHeight="1">
      <c r="A2115" s="26" t="s">
        <v>5701</v>
      </c>
      <c r="B2115" s="27" t="s">
        <v>5702</v>
      </c>
      <c r="C2115" s="28" t="s">
        <v>32</v>
      </c>
      <c r="D2115" s="29">
        <v>135.0</v>
      </c>
      <c r="E2115" s="28" t="s">
        <v>5703</v>
      </c>
      <c r="F2115" s="7" t="str">
        <f>IFERROR(__xludf.DUMMYFUNCTION("GOOGLETRANSLATE(B2115:B5064,""en"",""fr"")"),"déranger")</f>
        <v>déranger</v>
      </c>
    </row>
    <row r="2116" ht="19.5" customHeight="1">
      <c r="A2116" s="26" t="s">
        <v>5704</v>
      </c>
      <c r="B2116" s="27" t="s">
        <v>1945</v>
      </c>
      <c r="C2116" s="28" t="s">
        <v>32</v>
      </c>
      <c r="D2116" s="29">
        <v>135.0</v>
      </c>
      <c r="E2116" s="28" t="s">
        <v>5705</v>
      </c>
      <c r="F2116" s="7" t="str">
        <f>IFERROR(__xludf.DUMMYFUNCTION("GOOGLETRANSLATE(B2116:B5064,""en"",""fr"")"),"poisson")</f>
        <v>poisson</v>
      </c>
    </row>
    <row r="2117" ht="19.5" customHeight="1">
      <c r="A2117" s="26" t="s">
        <v>5706</v>
      </c>
      <c r="B2117" s="27" t="s">
        <v>5707</v>
      </c>
      <c r="C2117" s="28" t="s">
        <v>178</v>
      </c>
      <c r="D2117" s="29">
        <v>135.0</v>
      </c>
      <c r="E2117" s="28" t="s">
        <v>5708</v>
      </c>
      <c r="F2117" s="7" t="str">
        <f>IFERROR(__xludf.DUMMYFUNCTION("GOOGLETRANSLATE(B2117:B5064,""en"",""fr"")"),"joie")</f>
        <v>joie</v>
      </c>
    </row>
    <row r="2118" ht="19.5" customHeight="1">
      <c r="A2118" s="26" t="s">
        <v>5709</v>
      </c>
      <c r="B2118" s="27" t="s">
        <v>5710</v>
      </c>
      <c r="C2118" s="28" t="s">
        <v>178</v>
      </c>
      <c r="D2118" s="29">
        <v>135.0</v>
      </c>
      <c r="E2118" s="28" t="s">
        <v>5711</v>
      </c>
      <c r="F2118" s="7" t="str">
        <f>IFERROR(__xludf.DUMMYFUNCTION("GOOGLETRANSLATE(B2118:B5064,""en"",""fr"")"),"présentation")</f>
        <v>présentation</v>
      </c>
    </row>
    <row r="2119" ht="19.5" customHeight="1">
      <c r="A2119" s="26" t="s">
        <v>5712</v>
      </c>
      <c r="B2119" s="27" t="s">
        <v>5713</v>
      </c>
      <c r="C2119" s="28" t="s">
        <v>32</v>
      </c>
      <c r="D2119" s="29">
        <v>135.0</v>
      </c>
      <c r="E2119" s="28" t="s">
        <v>5714</v>
      </c>
      <c r="F2119" s="7" t="str">
        <f>IFERROR(__xludf.DUMMYFUNCTION("GOOGLETRANSLATE(B2119:B5064,""en"",""fr"")"),"pousser")</f>
        <v>pousser</v>
      </c>
    </row>
    <row r="2120" ht="19.5" customHeight="1">
      <c r="A2120" s="26" t="s">
        <v>5715</v>
      </c>
      <c r="B2120" s="27" t="s">
        <v>5716</v>
      </c>
      <c r="C2120" s="28" t="s">
        <v>178</v>
      </c>
      <c r="D2120" s="29">
        <v>135.0</v>
      </c>
      <c r="E2120" s="28" t="s">
        <v>5717</v>
      </c>
      <c r="F2120" s="7" t="str">
        <f>IFERROR(__xludf.DUMMYFUNCTION("GOOGLETRANSLATE(B2120:B5064,""en"",""fr"")"),"tube")</f>
        <v>tube</v>
      </c>
    </row>
    <row r="2121" ht="19.5" customHeight="1">
      <c r="A2121" s="26" t="s">
        <v>5718</v>
      </c>
      <c r="B2121" s="27" t="s">
        <v>5719</v>
      </c>
      <c r="C2121" s="28" t="s">
        <v>178</v>
      </c>
      <c r="D2121" s="29">
        <v>134.0</v>
      </c>
      <c r="E2121" s="28" t="s">
        <v>5720</v>
      </c>
      <c r="F2121" s="7" t="str">
        <f>IFERROR(__xludf.DUMMYFUNCTION("GOOGLETRANSLATE(B2121:B5064,""en"",""fr"")"),"être")</f>
        <v>être</v>
      </c>
    </row>
    <row r="2122" ht="19.5" customHeight="1">
      <c r="A2122" s="26" t="s">
        <v>5721</v>
      </c>
      <c r="B2122" s="27" t="s">
        <v>1366</v>
      </c>
      <c r="C2122" s="28" t="s">
        <v>178</v>
      </c>
      <c r="D2122" s="29">
        <v>134.0</v>
      </c>
      <c r="E2122" s="28" t="s">
        <v>5722</v>
      </c>
      <c r="F2122" s="7" t="str">
        <f>IFERROR(__xludf.DUMMYFUNCTION("GOOGLETRANSLATE(B2122:B5064,""en"",""fr"")"),"condamner")</f>
        <v>condamner</v>
      </c>
    </row>
    <row r="2123" ht="19.5" customHeight="1">
      <c r="A2123" s="26" t="s">
        <v>5723</v>
      </c>
      <c r="B2123" s="27" t="s">
        <v>5724</v>
      </c>
      <c r="C2123" s="28" t="s">
        <v>178</v>
      </c>
      <c r="D2123" s="29">
        <v>134.0</v>
      </c>
      <c r="E2123" s="28" t="s">
        <v>5725</v>
      </c>
      <c r="F2123" s="7" t="str">
        <f>IFERROR(__xludf.DUMMYFUNCTION("GOOGLETRANSLATE(B2123:B5064,""en"",""fr"")"),"expérience")</f>
        <v>expérience</v>
      </c>
    </row>
    <row r="2124" ht="19.5" customHeight="1">
      <c r="A2124" s="26" t="s">
        <v>5726</v>
      </c>
      <c r="B2124" s="27" t="s">
        <v>5727</v>
      </c>
      <c r="C2124" s="28" t="s">
        <v>134</v>
      </c>
      <c r="D2124" s="29">
        <v>134.0</v>
      </c>
      <c r="E2124" s="28" t="s">
        <v>5727</v>
      </c>
      <c r="F2124" s="7" t="str">
        <f>IFERROR(__xludf.DUMMYFUNCTION("GOOGLETRANSLATE(B2124:B5064,""en"",""fr"")"),"compagnon")</f>
        <v>compagnon</v>
      </c>
    </row>
    <row r="2125" ht="19.5" customHeight="1">
      <c r="A2125" s="26" t="s">
        <v>5728</v>
      </c>
      <c r="B2125" s="27" t="s">
        <v>5729</v>
      </c>
      <c r="C2125" s="28" t="s">
        <v>728</v>
      </c>
      <c r="D2125" s="29">
        <v>134.0</v>
      </c>
      <c r="E2125" s="28" t="s">
        <v>5730</v>
      </c>
      <c r="F2125" s="7" t="str">
        <f>IFERROR(__xludf.DUMMYFUNCTION("GOOGLETRANSLATE(B2125:B5064,""en"",""fr"")"),"Allemand")</f>
        <v>Allemand</v>
      </c>
    </row>
    <row r="2126" ht="19.5" customHeight="1">
      <c r="A2126" s="26" t="s">
        <v>5731</v>
      </c>
      <c r="B2126" s="27" t="s">
        <v>5732</v>
      </c>
      <c r="C2126" s="28" t="s">
        <v>178</v>
      </c>
      <c r="D2126" s="29">
        <v>134.0</v>
      </c>
      <c r="E2126" s="28" t="s">
        <v>5733</v>
      </c>
      <c r="F2126" s="7" t="str">
        <f>IFERROR(__xludf.DUMMYFUNCTION("GOOGLETRANSLATE(B2126:B5064,""en"",""fr"")"),"pot")</f>
        <v>pot</v>
      </c>
    </row>
    <row r="2127" ht="19.5" customHeight="1">
      <c r="A2127" s="26" t="s">
        <v>5734</v>
      </c>
      <c r="B2127" s="27" t="s">
        <v>5735</v>
      </c>
      <c r="C2127" s="28" t="s">
        <v>178</v>
      </c>
      <c r="D2127" s="29">
        <v>134.0</v>
      </c>
      <c r="E2127" s="28" t="s">
        <v>5736</v>
      </c>
      <c r="F2127" s="7" t="str">
        <f>IFERROR(__xludf.DUMMYFUNCTION("GOOGLETRANSLATE(B2127:B5064,""en"",""fr"")"),"menthe")</f>
        <v>menthe</v>
      </c>
    </row>
    <row r="2128" ht="19.5" customHeight="1">
      <c r="A2128" s="26" t="s">
        <v>5737</v>
      </c>
      <c r="B2128" s="27" t="s">
        <v>5738</v>
      </c>
      <c r="C2128" s="28" t="s">
        <v>134</v>
      </c>
      <c r="D2128" s="29">
        <v>134.0</v>
      </c>
      <c r="E2128" s="28" t="s">
        <v>5738</v>
      </c>
      <c r="F2128" s="7" t="str">
        <f>IFERROR(__xludf.DUMMYFUNCTION("GOOGLETRANSLATE(B2128:B5064,""en"",""fr"")"),"physique")</f>
        <v>physique</v>
      </c>
    </row>
    <row r="2129" ht="19.5" customHeight="1">
      <c r="A2129" s="26" t="s">
        <v>5739</v>
      </c>
      <c r="B2129" s="27" t="s">
        <v>5740</v>
      </c>
      <c r="C2129" s="28" t="s">
        <v>32</v>
      </c>
      <c r="D2129" s="29">
        <v>134.0</v>
      </c>
      <c r="E2129" s="28" t="s">
        <v>5741</v>
      </c>
      <c r="F2129" s="7" t="str">
        <f>IFERROR(__xludf.DUMMYFUNCTION("GOOGLETRANSLATE(B2129:B5064,""en"",""fr"")"),"punir")</f>
        <v>punir</v>
      </c>
    </row>
    <row r="2130" ht="19.5" customHeight="1">
      <c r="A2130" s="26" t="s">
        <v>5742</v>
      </c>
      <c r="B2130" s="27" t="s">
        <v>5743</v>
      </c>
      <c r="C2130" s="28" t="s">
        <v>178</v>
      </c>
      <c r="D2130" s="29">
        <v>134.0</v>
      </c>
      <c r="E2130" s="28" t="s">
        <v>5744</v>
      </c>
      <c r="F2130" s="7" t="str">
        <f>IFERROR(__xludf.DUMMYFUNCTION("GOOGLETRANSLATE(B2130:B5064,""en"",""fr"")"),"télécommande")</f>
        <v>télécommande</v>
      </c>
    </row>
    <row r="2131" ht="19.5" customHeight="1">
      <c r="A2131" s="26" t="s">
        <v>5745</v>
      </c>
      <c r="B2131" s="27" t="s">
        <v>5746</v>
      </c>
      <c r="C2131" s="28" t="s">
        <v>178</v>
      </c>
      <c r="D2131" s="29">
        <v>134.0</v>
      </c>
      <c r="E2131" s="28" t="s">
        <v>5747</v>
      </c>
      <c r="F2131" s="7" t="str">
        <f>IFERROR(__xludf.DUMMYFUNCTION("GOOGLETRANSLATE(B2131:B5064,""en"",""fr"")"),"salope")</f>
        <v>salope</v>
      </c>
    </row>
    <row r="2132" ht="19.5" customHeight="1">
      <c r="A2132" s="26" t="s">
        <v>5748</v>
      </c>
      <c r="B2132" s="27" t="s">
        <v>5749</v>
      </c>
      <c r="C2132" s="28" t="s">
        <v>32</v>
      </c>
      <c r="D2132" s="29">
        <v>134.0</v>
      </c>
      <c r="E2132" s="28" t="s">
        <v>5750</v>
      </c>
      <c r="F2132" s="7" t="str">
        <f>IFERROR(__xludf.DUMMYFUNCTION("GOOGLETRANSLATE(B2132:B5064,""en"",""fr"")"),"torsion")</f>
        <v>torsion</v>
      </c>
    </row>
    <row r="2133" ht="19.5" customHeight="1">
      <c r="A2133" s="26" t="s">
        <v>5751</v>
      </c>
      <c r="B2133" s="27" t="s">
        <v>5752</v>
      </c>
      <c r="C2133" s="28" t="s">
        <v>178</v>
      </c>
      <c r="D2133" s="29">
        <v>133.0</v>
      </c>
      <c r="E2133" s="28" t="s">
        <v>5753</v>
      </c>
      <c r="F2133" s="7" t="str">
        <f>IFERROR(__xludf.DUMMYFUNCTION("GOOGLETRANSLATE(B2133:B5064,""en"",""fr"")"),"casquette")</f>
        <v>casquette</v>
      </c>
    </row>
    <row r="2134" ht="19.5" customHeight="1">
      <c r="A2134" s="26" t="s">
        <v>5754</v>
      </c>
      <c r="B2134" s="27" t="s">
        <v>5755</v>
      </c>
      <c r="C2134" s="28" t="s">
        <v>178</v>
      </c>
      <c r="D2134" s="29">
        <v>133.0</v>
      </c>
      <c r="E2134" s="28" t="s">
        <v>5756</v>
      </c>
      <c r="F2134" s="7" t="str">
        <f>IFERROR(__xludf.DUMMYFUNCTION("GOOGLETRANSLATE(B2134:B5064,""en"",""fr"")"),"criminel")</f>
        <v>criminel</v>
      </c>
    </row>
    <row r="2135" ht="19.5" customHeight="1">
      <c r="A2135" s="26" t="s">
        <v>5757</v>
      </c>
      <c r="B2135" s="27" t="s">
        <v>5758</v>
      </c>
      <c r="C2135" s="28" t="s">
        <v>150</v>
      </c>
      <c r="D2135" s="29">
        <v>133.0</v>
      </c>
      <c r="E2135" s="28" t="s">
        <v>5758</v>
      </c>
      <c r="F2135" s="7" t="str">
        <f>IFERROR(__xludf.DUMMYFUNCTION("GOOGLETRANSLATE(B2135:B5064,""en"",""fr"")"),"huit cent")</f>
        <v>huit cent</v>
      </c>
    </row>
    <row r="2136" ht="19.5" customHeight="1">
      <c r="A2136" s="26" t="s">
        <v>5759</v>
      </c>
      <c r="B2136" s="27" t="s">
        <v>5760</v>
      </c>
      <c r="C2136" s="28" t="s">
        <v>32</v>
      </c>
      <c r="D2136" s="29">
        <v>133.0</v>
      </c>
      <c r="E2136" s="28" t="s">
        <v>5761</v>
      </c>
      <c r="F2136" s="7" t="str">
        <f>IFERROR(__xludf.DUMMYFUNCTION("GOOGLETRANSLATE(B2136:B5064,""en"",""fr"")"),"inspirer")</f>
        <v>inspirer</v>
      </c>
    </row>
    <row r="2137" ht="19.5" customHeight="1">
      <c r="A2137" s="26" t="s">
        <v>5762</v>
      </c>
      <c r="B2137" s="27" t="s">
        <v>5763</v>
      </c>
      <c r="C2137" s="28" t="s">
        <v>134</v>
      </c>
      <c r="D2137" s="29">
        <v>133.0</v>
      </c>
      <c r="E2137" s="28" t="s">
        <v>5763</v>
      </c>
      <c r="F2137" s="7" t="str">
        <f>IFERROR(__xludf.DUMMYFUNCTION("GOOGLETRANSLATE(B2137:B5064,""en"",""fr"")"),"principal")</f>
        <v>principal</v>
      </c>
    </row>
    <row r="2138" ht="19.5" customHeight="1">
      <c r="A2138" s="26" t="s">
        <v>5764</v>
      </c>
      <c r="B2138" s="27" t="s">
        <v>5765</v>
      </c>
      <c r="C2138" s="28" t="s">
        <v>178</v>
      </c>
      <c r="D2138" s="29">
        <v>133.0</v>
      </c>
      <c r="E2138" s="28" t="s">
        <v>5766</v>
      </c>
      <c r="F2138" s="7" t="str">
        <f>IFERROR(__xludf.DUMMYFUNCTION("GOOGLETRANSLATE(B2138:B5064,""en"",""fr"")"),"Panda")</f>
        <v>Panda</v>
      </c>
    </row>
    <row r="2139" ht="19.5" customHeight="1">
      <c r="A2139" s="26" t="s">
        <v>5767</v>
      </c>
      <c r="B2139" s="27" t="s">
        <v>5768</v>
      </c>
      <c r="C2139" s="28" t="s">
        <v>32</v>
      </c>
      <c r="D2139" s="29">
        <v>133.0</v>
      </c>
      <c r="E2139" s="28" t="s">
        <v>5769</v>
      </c>
      <c r="F2139" s="7" t="str">
        <f>IFERROR(__xludf.DUMMYFUNCTION("GOOGLETRANSLATE(B2139:B5064,""en"",""fr"")"),"couler")</f>
        <v>couler</v>
      </c>
    </row>
    <row r="2140" ht="19.5" customHeight="1">
      <c r="A2140" s="26" t="s">
        <v>5770</v>
      </c>
      <c r="B2140" s="27" t="s">
        <v>5771</v>
      </c>
      <c r="C2140" s="28" t="s">
        <v>134</v>
      </c>
      <c r="D2140" s="29">
        <v>133.0</v>
      </c>
      <c r="E2140" s="28" t="s">
        <v>5772</v>
      </c>
      <c r="F2140" s="7" t="str">
        <f>IFERROR(__xludf.DUMMYFUNCTION("GOOGLETRANSLATE(B2140:B5064,""en"",""fr"")"),"lisse")</f>
        <v>lisse</v>
      </c>
    </row>
    <row r="2141" ht="19.5" customHeight="1">
      <c r="A2141" s="26" t="s">
        <v>5773</v>
      </c>
      <c r="B2141" s="27" t="s">
        <v>5774</v>
      </c>
      <c r="C2141" s="28" t="s">
        <v>32</v>
      </c>
      <c r="D2141" s="29">
        <v>133.0</v>
      </c>
      <c r="E2141" s="28" t="s">
        <v>5775</v>
      </c>
      <c r="F2141" s="7" t="str">
        <f>IFERROR(__xludf.DUMMYFUNCTION("GOOGLETRANSLATE(B2141:B5064,""en"",""fr"")"),"instantané")</f>
        <v>instantané</v>
      </c>
    </row>
    <row r="2142" ht="19.5" customHeight="1">
      <c r="A2142" s="26" t="s">
        <v>5776</v>
      </c>
      <c r="B2142" s="27" t="s">
        <v>5777</v>
      </c>
      <c r="C2142" s="28" t="s">
        <v>178</v>
      </c>
      <c r="D2142" s="29">
        <v>133.0</v>
      </c>
      <c r="E2142" s="28" t="s">
        <v>5778</v>
      </c>
      <c r="F2142" s="7" t="str">
        <f>IFERROR(__xludf.DUMMYFUNCTION("GOOGLETRANSLATE(B2142:B5064,""en"",""fr"")"),"pouce")</f>
        <v>pouce</v>
      </c>
    </row>
    <row r="2143" ht="19.5" customHeight="1">
      <c r="A2143" s="26" t="s">
        <v>5779</v>
      </c>
      <c r="B2143" s="27" t="s">
        <v>5780</v>
      </c>
      <c r="C2143" s="28" t="s">
        <v>178</v>
      </c>
      <c r="D2143" s="29">
        <v>133.0</v>
      </c>
      <c r="E2143" s="28" t="s">
        <v>5781</v>
      </c>
      <c r="F2143" s="7" t="str">
        <f>IFERROR(__xludf.DUMMYFUNCTION("GOOGLETRANSLATE(B2143:B5064,""en"",""fr"")"),"témoin")</f>
        <v>témoin</v>
      </c>
    </row>
    <row r="2144" ht="19.5" customHeight="1">
      <c r="A2144" s="26" t="s">
        <v>5782</v>
      </c>
      <c r="B2144" s="27" t="s">
        <v>5783</v>
      </c>
      <c r="C2144" s="28" t="s">
        <v>32</v>
      </c>
      <c r="D2144" s="29">
        <v>132.0</v>
      </c>
      <c r="E2144" s="28" t="s">
        <v>5784</v>
      </c>
      <c r="F2144" s="7" t="str">
        <f>IFERROR(__xludf.DUMMYFUNCTION("GOOGLETRANSLATE(B2144:B5064,""en"",""fr"")"),"abandonner")</f>
        <v>abandonner</v>
      </c>
    </row>
    <row r="2145" ht="19.5" customHeight="1">
      <c r="A2145" s="26" t="s">
        <v>5785</v>
      </c>
      <c r="B2145" s="27" t="s">
        <v>5786</v>
      </c>
      <c r="C2145" s="28" t="s">
        <v>32</v>
      </c>
      <c r="D2145" s="29">
        <v>132.0</v>
      </c>
      <c r="E2145" s="28" t="s">
        <v>5787</v>
      </c>
      <c r="F2145" s="7" t="str">
        <f>IFERROR(__xludf.DUMMYFUNCTION("GOOGLETRANSLATE(B2145:B5064,""en"",""fr"")"),"affecter")</f>
        <v>affecter</v>
      </c>
    </row>
    <row r="2146" ht="19.5" customHeight="1">
      <c r="A2146" s="26" t="s">
        <v>5788</v>
      </c>
      <c r="B2146" s="27" t="s">
        <v>5789</v>
      </c>
      <c r="C2146" s="28" t="s">
        <v>178</v>
      </c>
      <c r="D2146" s="29">
        <v>132.0</v>
      </c>
      <c r="E2146" s="28" t="s">
        <v>5790</v>
      </c>
      <c r="F2146" s="7" t="str">
        <f>IFERROR(__xludf.DUMMYFUNCTION("GOOGLETRANSLATE(B2146:B5064,""en"",""fr"")"),"barbe")</f>
        <v>barbe</v>
      </c>
    </row>
    <row r="2147" ht="19.5" customHeight="1">
      <c r="A2147" s="26" t="s">
        <v>5791</v>
      </c>
      <c r="B2147" s="27" t="s">
        <v>5792</v>
      </c>
      <c r="C2147" s="28" t="s">
        <v>178</v>
      </c>
      <c r="D2147" s="29">
        <v>132.0</v>
      </c>
      <c r="E2147" s="28" t="s">
        <v>5793</v>
      </c>
      <c r="F2147" s="7" t="str">
        <f>IFERROR(__xludf.DUMMYFUNCTION("GOOGLETRANSLATE(B2147:B5064,""en"",""fr"")"),"seau")</f>
        <v>seau</v>
      </c>
    </row>
    <row r="2148" ht="19.5" customHeight="1">
      <c r="A2148" s="26" t="s">
        <v>5794</v>
      </c>
      <c r="B2148" s="27" t="s">
        <v>5795</v>
      </c>
      <c r="C2148" s="28" t="s">
        <v>178</v>
      </c>
      <c r="D2148" s="29">
        <v>132.0</v>
      </c>
      <c r="E2148" s="28" t="s">
        <v>5796</v>
      </c>
      <c r="F2148" s="7" t="str">
        <f>IFERROR(__xludf.DUMMYFUNCTION("GOOGLETRANSLATE(B2148:B5064,""en"",""fr"")"),"comté")</f>
        <v>comté</v>
      </c>
    </row>
    <row r="2149" ht="19.5" customHeight="1">
      <c r="A2149" s="26" t="s">
        <v>5797</v>
      </c>
      <c r="B2149" s="27" t="s">
        <v>5798</v>
      </c>
      <c r="C2149" s="28" t="s">
        <v>32</v>
      </c>
      <c r="D2149" s="29">
        <v>132.0</v>
      </c>
      <c r="E2149" s="28" t="s">
        <v>5799</v>
      </c>
      <c r="F2149" s="7" t="str">
        <f>IFERROR(__xludf.DUMMYFUNCTION("GOOGLETRANSLATE(B2149:B5064,""en"",""fr"")"),"gagner")</f>
        <v>gagner</v>
      </c>
    </row>
    <row r="2150" ht="19.5" customHeight="1">
      <c r="A2150" s="26" t="s">
        <v>5800</v>
      </c>
      <c r="B2150" s="27" t="s">
        <v>5801</v>
      </c>
      <c r="C2150" s="28" t="s">
        <v>178</v>
      </c>
      <c r="D2150" s="29">
        <v>132.0</v>
      </c>
      <c r="E2150" s="28" t="s">
        <v>5802</v>
      </c>
      <c r="F2150" s="7" t="str">
        <f>IFERROR(__xludf.DUMMYFUNCTION("GOOGLETRANSLATE(B2150:B5064,""en"",""fr"")"),"poème")</f>
        <v>poème</v>
      </c>
    </row>
    <row r="2151" ht="19.5" customHeight="1">
      <c r="A2151" s="26" t="s">
        <v>5803</v>
      </c>
      <c r="B2151" s="27" t="s">
        <v>5804</v>
      </c>
      <c r="C2151" s="28" t="s">
        <v>178</v>
      </c>
      <c r="D2151" s="29">
        <v>132.0</v>
      </c>
      <c r="E2151" s="28" t="s">
        <v>5805</v>
      </c>
      <c r="F2151" s="7" t="str">
        <f>IFERROR(__xludf.DUMMYFUNCTION("GOOGLETRANSLATE(B2151:B5064,""en"",""fr"")"),"journaliste")</f>
        <v>journaliste</v>
      </c>
    </row>
    <row r="2152" ht="19.5" customHeight="1">
      <c r="A2152" s="26" t="s">
        <v>5806</v>
      </c>
      <c r="B2152" s="27" t="s">
        <v>5807</v>
      </c>
      <c r="C2152" s="28" t="s">
        <v>178</v>
      </c>
      <c r="D2152" s="29">
        <v>132.0</v>
      </c>
      <c r="E2152" s="28" t="s">
        <v>5808</v>
      </c>
      <c r="F2152" s="7" t="str">
        <f>IFERROR(__xludf.DUMMYFUNCTION("GOOGLETRANSLATE(B2152:B5064,""en"",""fr"")"),"revoir")</f>
        <v>revoir</v>
      </c>
    </row>
    <row r="2153" ht="19.5" customHeight="1">
      <c r="A2153" s="26" t="s">
        <v>5809</v>
      </c>
      <c r="B2153" s="27" t="s">
        <v>5810</v>
      </c>
      <c r="C2153" s="28" t="s">
        <v>178</v>
      </c>
      <c r="D2153" s="29">
        <v>132.0</v>
      </c>
      <c r="E2153" s="28" t="s">
        <v>5811</v>
      </c>
      <c r="F2153" s="7" t="str">
        <f>IFERROR(__xludf.DUMMYFUNCTION("GOOGLETRANSLATE(B2153:B5064,""en"",""fr"")"),"entraînement")</f>
        <v>entraînement</v>
      </c>
    </row>
    <row r="2154" ht="19.5" customHeight="1">
      <c r="A2154" s="26" t="s">
        <v>5812</v>
      </c>
      <c r="B2154" s="27" t="s">
        <v>5813</v>
      </c>
      <c r="C2154" s="28" t="s">
        <v>36</v>
      </c>
      <c r="D2154" s="29">
        <v>131.0</v>
      </c>
      <c r="E2154" s="28" t="s">
        <v>5814</v>
      </c>
      <c r="F2154" s="7" t="str">
        <f>IFERROR(__xludf.DUMMYFUNCTION("GOOGLETRANSLATE(B2154:B5064,""en"",""fr"")"),"parmi")</f>
        <v>parmi</v>
      </c>
    </row>
    <row r="2155" ht="19.5" customHeight="1">
      <c r="A2155" s="26" t="s">
        <v>5815</v>
      </c>
      <c r="B2155" s="27" t="s">
        <v>5816</v>
      </c>
      <c r="C2155" s="28" t="s">
        <v>178</v>
      </c>
      <c r="D2155" s="29">
        <v>131.0</v>
      </c>
      <c r="E2155" s="28" t="s">
        <v>5817</v>
      </c>
      <c r="F2155" s="7" t="str">
        <f>IFERROR(__xludf.DUMMYFUNCTION("GOOGLETRANSLATE(B2155:B5064,""en"",""fr"")"),"batterie")</f>
        <v>batterie</v>
      </c>
    </row>
    <row r="2156" ht="19.5" customHeight="1">
      <c r="A2156" s="26" t="s">
        <v>5818</v>
      </c>
      <c r="B2156" s="27" t="s">
        <v>5819</v>
      </c>
      <c r="C2156" s="28" t="s">
        <v>32</v>
      </c>
      <c r="D2156" s="29">
        <v>131.0</v>
      </c>
      <c r="E2156" s="28" t="s">
        <v>5820</v>
      </c>
      <c r="F2156" s="7" t="str">
        <f>IFERROR(__xludf.DUMMYFUNCTION("GOOGLETRANSLATE(B2156:B5064,""en"",""fr"")"),"refuser")</f>
        <v>refuser</v>
      </c>
    </row>
    <row r="2157" ht="19.5" customHeight="1">
      <c r="A2157" s="26" t="s">
        <v>5821</v>
      </c>
      <c r="B2157" s="27" t="s">
        <v>5822</v>
      </c>
      <c r="C2157" s="28" t="s">
        <v>134</v>
      </c>
      <c r="D2157" s="29">
        <v>131.0</v>
      </c>
      <c r="E2157" s="28" t="s">
        <v>5822</v>
      </c>
      <c r="F2157" s="7" t="str">
        <f>IFERROR(__xludf.DUMMYFUNCTION("GOOGLETRANSLATE(B2157:B5064,""en"",""fr"")"),"électrique")</f>
        <v>électrique</v>
      </c>
    </row>
    <row r="2158" ht="19.5" customHeight="1">
      <c r="A2158" s="26" t="s">
        <v>5823</v>
      </c>
      <c r="B2158" s="27" t="s">
        <v>5824</v>
      </c>
      <c r="C2158" s="28" t="s">
        <v>178</v>
      </c>
      <c r="D2158" s="29">
        <v>131.0</v>
      </c>
      <c r="E2158" s="28" t="s">
        <v>5825</v>
      </c>
      <c r="F2158" s="7" t="str">
        <f>IFERROR(__xludf.DUMMYFUNCTION("GOOGLETRANSLATE(B2158:B5064,""en"",""fr"")"),"saveur")</f>
        <v>saveur</v>
      </c>
    </row>
    <row r="2159" ht="19.5" customHeight="1">
      <c r="A2159" s="26" t="s">
        <v>5826</v>
      </c>
      <c r="B2159" s="27" t="s">
        <v>5827</v>
      </c>
      <c r="C2159" s="28" t="s">
        <v>32</v>
      </c>
      <c r="D2159" s="29">
        <v>131.0</v>
      </c>
      <c r="E2159" s="28" t="s">
        <v>5828</v>
      </c>
      <c r="F2159" s="7" t="str">
        <f>IFERROR(__xludf.DUMMYFUNCTION("GOOGLETRANSLATE(B2159:B5064,""en"",""fr"")"),"interdire")</f>
        <v>interdire</v>
      </c>
    </row>
    <row r="2160" ht="19.5" customHeight="1">
      <c r="A2160" s="26" t="s">
        <v>5829</v>
      </c>
      <c r="B2160" s="27" t="s">
        <v>5830</v>
      </c>
      <c r="C2160" s="28" t="s">
        <v>178</v>
      </c>
      <c r="D2160" s="29">
        <v>131.0</v>
      </c>
      <c r="E2160" s="28" t="s">
        <v>5831</v>
      </c>
      <c r="F2160" s="7" t="str">
        <f>IFERROR(__xludf.DUMMYFUNCTION("GOOGLETRANSLATE(B2160:B5064,""en"",""fr"")"),"truquer")</f>
        <v>truquer</v>
      </c>
    </row>
    <row r="2161" ht="19.5" customHeight="1">
      <c r="A2161" s="26" t="s">
        <v>5832</v>
      </c>
      <c r="B2161" s="27" t="s">
        <v>5833</v>
      </c>
      <c r="C2161" s="28" t="s">
        <v>85</v>
      </c>
      <c r="D2161" s="29">
        <v>131.0</v>
      </c>
      <c r="E2161" s="28" t="s">
        <v>5833</v>
      </c>
      <c r="F2161" s="7" t="str">
        <f>IFERROR(__xludf.DUMMYFUNCTION("GOOGLETRANSLATE(B2161:B5064,""en"",""fr"")"),"Hourra")</f>
        <v>Hourra</v>
      </c>
    </row>
    <row r="2162" ht="19.5" customHeight="1">
      <c r="A2162" s="26" t="s">
        <v>5834</v>
      </c>
      <c r="B2162" s="27" t="s">
        <v>5835</v>
      </c>
      <c r="C2162" s="28" t="s">
        <v>32</v>
      </c>
      <c r="D2162" s="29">
        <v>131.0</v>
      </c>
      <c r="E2162" s="28" t="s">
        <v>5836</v>
      </c>
      <c r="F2162" s="7" t="str">
        <f>IFERROR(__xludf.DUMMYFUNCTION("GOOGLETRANSLATE(B2162:B5064,""en"",""fr"")"),"obséder")</f>
        <v>obséder</v>
      </c>
    </row>
    <row r="2163" ht="19.5" customHeight="1">
      <c r="A2163" s="26" t="s">
        <v>5837</v>
      </c>
      <c r="B2163" s="27" t="s">
        <v>5838</v>
      </c>
      <c r="C2163" s="28" t="s">
        <v>134</v>
      </c>
      <c r="D2163" s="29">
        <v>131.0</v>
      </c>
      <c r="E2163" s="28" t="s">
        <v>5838</v>
      </c>
      <c r="F2163" s="7" t="str">
        <f>IFERROR(__xludf.DUMMYFUNCTION("GOOGLETRANSLATE(B2163:B5064,""en"",""fr"")"),"positif")</f>
        <v>positif</v>
      </c>
    </row>
    <row r="2164" ht="19.5" customHeight="1">
      <c r="A2164" s="26" t="s">
        <v>5839</v>
      </c>
      <c r="B2164" s="27" t="s">
        <v>5840</v>
      </c>
      <c r="C2164" s="28" t="s">
        <v>32</v>
      </c>
      <c r="D2164" s="29">
        <v>131.0</v>
      </c>
      <c r="E2164" s="28" t="s">
        <v>5841</v>
      </c>
      <c r="F2164" s="7" t="str">
        <f>IFERROR(__xludf.DUMMYFUNCTION("GOOGLETRANSLATE(B2164:B5064,""en"",""fr"")"),"Rob")</f>
        <v>Rob</v>
      </c>
    </row>
    <row r="2165" ht="19.5" customHeight="1">
      <c r="A2165" s="26" t="s">
        <v>5842</v>
      </c>
      <c r="B2165" s="27" t="s">
        <v>5843</v>
      </c>
      <c r="C2165" s="28" t="s">
        <v>178</v>
      </c>
      <c r="D2165" s="29">
        <v>131.0</v>
      </c>
      <c r="E2165" s="28" t="s">
        <v>5844</v>
      </c>
      <c r="F2165" s="7" t="str">
        <f>IFERROR(__xludf.DUMMYFUNCTION("GOOGLETRANSLATE(B2165:B5064,""en"",""fr"")"),"signal")</f>
        <v>signal</v>
      </c>
    </row>
    <row r="2166" ht="19.5" customHeight="1">
      <c r="A2166" s="26" t="s">
        <v>5845</v>
      </c>
      <c r="B2166" s="27" t="s">
        <v>5846</v>
      </c>
      <c r="C2166" s="28" t="s">
        <v>134</v>
      </c>
      <c r="D2166" s="29">
        <v>131.0</v>
      </c>
      <c r="E2166" s="28" t="s">
        <v>5846</v>
      </c>
      <c r="F2166" s="7" t="str">
        <f>IFERROR(__xludf.DUMMYFUNCTION("GOOGLETRANSLATE(B2166:B5064,""en"",""fr"")"),"solide")</f>
        <v>solide</v>
      </c>
    </row>
    <row r="2167" ht="19.5" customHeight="1">
      <c r="A2167" s="26" t="s">
        <v>5847</v>
      </c>
      <c r="B2167" s="27" t="s">
        <v>5848</v>
      </c>
      <c r="C2167" s="28" t="s">
        <v>178</v>
      </c>
      <c r="D2167" s="29">
        <v>131.0</v>
      </c>
      <c r="E2167" s="28" t="s">
        <v>5849</v>
      </c>
      <c r="F2167" s="7" t="str">
        <f>IFERROR(__xludf.DUMMYFUNCTION("GOOGLETRANSLATE(B2167:B5064,""en"",""fr"")"),"site web")</f>
        <v>site web</v>
      </c>
    </row>
    <row r="2168" ht="19.5" customHeight="1">
      <c r="A2168" s="26" t="s">
        <v>5850</v>
      </c>
      <c r="B2168" s="27" t="s">
        <v>5851</v>
      </c>
      <c r="C2168" s="28" t="s">
        <v>100</v>
      </c>
      <c r="D2168" s="29">
        <v>130.0</v>
      </c>
      <c r="E2168" s="28" t="s">
        <v>5852</v>
      </c>
      <c r="F2168" s="7" t="str">
        <f>IFERROR(__xludf.DUMMYFUNCTION("GOOGLETRANSLATE(B2168:B5064,""en"",""fr"")"),"toujours")</f>
        <v>toujours</v>
      </c>
    </row>
    <row r="2169" ht="19.5" customHeight="1">
      <c r="A2169" s="26" t="s">
        <v>5853</v>
      </c>
      <c r="B2169" s="27" t="s">
        <v>5854</v>
      </c>
      <c r="C2169" s="28" t="s">
        <v>178</v>
      </c>
      <c r="D2169" s="29">
        <v>130.0</v>
      </c>
      <c r="E2169" s="28" t="s">
        <v>5855</v>
      </c>
      <c r="F2169" s="7" t="str">
        <f>IFERROR(__xludf.DUMMYFUNCTION("GOOGLETRANSLATE(B2169:B5064,""en"",""fr"")"),"siècle")</f>
        <v>siècle</v>
      </c>
    </row>
    <row r="2170" ht="19.5" customHeight="1">
      <c r="A2170" s="26" t="s">
        <v>5856</v>
      </c>
      <c r="B2170" s="27" t="s">
        <v>5857</v>
      </c>
      <c r="C2170" s="28" t="s">
        <v>32</v>
      </c>
      <c r="D2170" s="29">
        <v>130.0</v>
      </c>
      <c r="E2170" s="28" t="s">
        <v>5858</v>
      </c>
      <c r="F2170" s="7" t="str">
        <f>IFERROR(__xludf.DUMMYFUNCTION("GOOGLETRANSLATE(B2170:B5064,""en"",""fr"")"),"Cliquez sur")</f>
        <v>Cliquez sur</v>
      </c>
    </row>
    <row r="2171" ht="19.5" customHeight="1">
      <c r="A2171" s="26" t="s">
        <v>5859</v>
      </c>
      <c r="B2171" s="27" t="s">
        <v>5860</v>
      </c>
      <c r="C2171" s="28" t="s">
        <v>178</v>
      </c>
      <c r="D2171" s="29">
        <v>130.0</v>
      </c>
      <c r="E2171" s="28" t="s">
        <v>5861</v>
      </c>
      <c r="F2171" s="7" t="str">
        <f>IFERROR(__xludf.DUMMYFUNCTION("GOOGLETRANSLATE(B2171:B5064,""en"",""fr"")"),"biscuit salé")</f>
        <v>biscuit salé</v>
      </c>
    </row>
    <row r="2172" ht="19.5" customHeight="1">
      <c r="A2172" s="26" t="s">
        <v>5862</v>
      </c>
      <c r="B2172" s="27" t="s">
        <v>5863</v>
      </c>
      <c r="C2172" s="28" t="s">
        <v>178</v>
      </c>
      <c r="D2172" s="29">
        <v>130.0</v>
      </c>
      <c r="E2172" s="28" t="s">
        <v>5863</v>
      </c>
      <c r="F2172" s="7" t="str">
        <f>IFERROR(__xludf.DUMMYFUNCTION("GOOGLETRANSLATE(B2172:B5064,""en"",""fr"")"),"Nettoyage à sec")</f>
        <v>Nettoyage à sec</v>
      </c>
    </row>
    <row r="2173" ht="19.5" customHeight="1">
      <c r="A2173" s="26" t="s">
        <v>5864</v>
      </c>
      <c r="B2173" s="27" t="s">
        <v>3051</v>
      </c>
      <c r="C2173" s="28" t="s">
        <v>178</v>
      </c>
      <c r="D2173" s="29">
        <v>130.0</v>
      </c>
      <c r="E2173" s="28" t="s">
        <v>5865</v>
      </c>
      <c r="F2173" s="7" t="str">
        <f>IFERROR(__xludf.DUMMYFUNCTION("GOOGLETRANSLATE(B2173:B5064,""en"",""fr"")"),"décharge")</f>
        <v>décharge</v>
      </c>
    </row>
    <row r="2174" ht="19.5" customHeight="1">
      <c r="A2174" s="26" t="s">
        <v>5866</v>
      </c>
      <c r="B2174" s="27" t="s">
        <v>5867</v>
      </c>
      <c r="C2174" s="28" t="s">
        <v>178</v>
      </c>
      <c r="D2174" s="29">
        <v>130.0</v>
      </c>
      <c r="E2174" s="28" t="s">
        <v>5868</v>
      </c>
      <c r="F2174" s="7" t="str">
        <f>IFERROR(__xludf.DUMMYFUNCTION("GOOGLETRANSLATE(B2174:B5064,""en"",""fr"")"),"effort")</f>
        <v>effort</v>
      </c>
    </row>
    <row r="2175" ht="19.5" customHeight="1">
      <c r="A2175" s="26" t="s">
        <v>5869</v>
      </c>
      <c r="B2175" s="27" t="s">
        <v>5870</v>
      </c>
      <c r="C2175" s="28" t="s">
        <v>178</v>
      </c>
      <c r="D2175" s="29">
        <v>130.0</v>
      </c>
      <c r="E2175" s="28" t="s">
        <v>5871</v>
      </c>
      <c r="F2175" s="7" t="str">
        <f>IFERROR(__xludf.DUMMYFUNCTION("GOOGLETRANSLATE(B2175:B5064,""en"",""fr"")"),"grille")</f>
        <v>grille</v>
      </c>
    </row>
    <row r="2176" ht="19.5" customHeight="1">
      <c r="A2176" s="26" t="s">
        <v>5872</v>
      </c>
      <c r="B2176" s="27" t="s">
        <v>5873</v>
      </c>
      <c r="C2176" s="28" t="s">
        <v>178</v>
      </c>
      <c r="D2176" s="29">
        <v>130.0</v>
      </c>
      <c r="E2176" s="28" t="s">
        <v>5874</v>
      </c>
      <c r="F2176" s="7" t="str">
        <f>IFERROR(__xludf.DUMMYFUNCTION("GOOGLETRANSLATE(B2176:B5064,""en"",""fr"")"),"talonneur")</f>
        <v>talonneur</v>
      </c>
    </row>
    <row r="2177" ht="19.5" customHeight="1">
      <c r="A2177" s="26" t="s">
        <v>5875</v>
      </c>
      <c r="B2177" s="27" t="s">
        <v>5876</v>
      </c>
      <c r="C2177" s="28" t="s">
        <v>178</v>
      </c>
      <c r="D2177" s="29">
        <v>130.0</v>
      </c>
      <c r="E2177" s="28" t="s">
        <v>5877</v>
      </c>
      <c r="F2177" s="7" t="str">
        <f>IFERROR(__xludf.DUMMYFUNCTION("GOOGLETRANSLATE(B2177:B5064,""en"",""fr"")"),"impression")</f>
        <v>impression</v>
      </c>
    </row>
    <row r="2178" ht="19.5" customHeight="1">
      <c r="A2178" s="26" t="s">
        <v>5878</v>
      </c>
      <c r="B2178" s="27" t="s">
        <v>5879</v>
      </c>
      <c r="C2178" s="28" t="s">
        <v>134</v>
      </c>
      <c r="D2178" s="29">
        <v>130.0</v>
      </c>
      <c r="E2178" s="28" t="s">
        <v>5879</v>
      </c>
      <c r="F2178" s="7" t="str">
        <f>IFERROR(__xludf.DUMMYFUNCTION("GOOGLETRANSLATE(B2178:B5064,""en"",""fr"")"),"inapproprié")</f>
        <v>inapproprié</v>
      </c>
    </row>
    <row r="2179" ht="19.5" customHeight="1">
      <c r="A2179" s="26" t="s">
        <v>5880</v>
      </c>
      <c r="B2179" s="27" t="s">
        <v>5881</v>
      </c>
      <c r="C2179" s="28" t="s">
        <v>178</v>
      </c>
      <c r="D2179" s="29">
        <v>130.0</v>
      </c>
      <c r="E2179" s="28" t="s">
        <v>5882</v>
      </c>
      <c r="F2179" s="7" t="str">
        <f>IFERROR(__xludf.DUMMYFUNCTION("GOOGLETRANSLATE(B2179:B5064,""en"",""fr"")"),"inspecteur")</f>
        <v>inspecteur</v>
      </c>
    </row>
    <row r="2180" ht="19.5" customHeight="1">
      <c r="A2180" s="26" t="s">
        <v>5883</v>
      </c>
      <c r="B2180" s="27" t="s">
        <v>5884</v>
      </c>
      <c r="C2180" s="28" t="s">
        <v>178</v>
      </c>
      <c r="D2180" s="29">
        <v>130.0</v>
      </c>
      <c r="E2180" s="28" t="s">
        <v>5885</v>
      </c>
      <c r="F2180" s="7" t="str">
        <f>IFERROR(__xludf.DUMMYFUNCTION("GOOGLETRANSLATE(B2180:B5064,""en"",""fr"")"),"déclaration")</f>
        <v>déclaration</v>
      </c>
    </row>
    <row r="2181" ht="19.5" customHeight="1">
      <c r="A2181" s="26" t="s">
        <v>5886</v>
      </c>
      <c r="B2181" s="27" t="s">
        <v>5887</v>
      </c>
      <c r="C2181" s="28" t="s">
        <v>32</v>
      </c>
      <c r="D2181" s="29">
        <v>130.0</v>
      </c>
      <c r="E2181" s="28" t="s">
        <v>5888</v>
      </c>
      <c r="F2181" s="7" t="str">
        <f>IFERROR(__xludf.DUMMYFUNCTION("GOOGLETRANSLATE(B2181:B5064,""en"",""fr"")"),"ravir")</f>
        <v>ravir</v>
      </c>
    </row>
    <row r="2182" ht="19.5" customHeight="1">
      <c r="A2182" s="26" t="s">
        <v>5889</v>
      </c>
      <c r="B2182" s="27" t="s">
        <v>5890</v>
      </c>
      <c r="C2182" s="28" t="s">
        <v>178</v>
      </c>
      <c r="D2182" s="29">
        <v>130.0</v>
      </c>
      <c r="E2182" s="28" t="s">
        <v>5891</v>
      </c>
      <c r="F2182" s="7" t="str">
        <f>IFERROR(__xludf.DUMMYFUNCTION("GOOGLETRANSLATE(B2182:B5064,""en"",""fr"")"),"sautiller")</f>
        <v>sautiller</v>
      </c>
    </row>
    <row r="2183" ht="19.5" customHeight="1">
      <c r="A2183" s="26" t="s">
        <v>5892</v>
      </c>
      <c r="B2183" s="27" t="s">
        <v>5893</v>
      </c>
      <c r="C2183" s="28" t="s">
        <v>32</v>
      </c>
      <c r="D2183" s="29">
        <v>129.0</v>
      </c>
      <c r="E2183" s="28" t="s">
        <v>5894</v>
      </c>
      <c r="F2183" s="7" t="str">
        <f>IFERROR(__xludf.DUMMYFUNCTION("GOOGLETRANSLATE(B2183:B5064,""en"",""fr"")"),"lier")</f>
        <v>lier</v>
      </c>
    </row>
    <row r="2184" ht="19.5" customHeight="1">
      <c r="A2184" s="26" t="s">
        <v>5895</v>
      </c>
      <c r="B2184" s="27" t="s">
        <v>5335</v>
      </c>
      <c r="C2184" s="28" t="s">
        <v>178</v>
      </c>
      <c r="D2184" s="29">
        <v>129.0</v>
      </c>
      <c r="E2184" s="28" t="s">
        <v>5896</v>
      </c>
      <c r="F2184" s="7" t="str">
        <f>IFERROR(__xludf.DUMMYFUNCTION("GOOGLETRANSLATE(B2184:B5064,""en"",""fr"")"),"défi")</f>
        <v>défi</v>
      </c>
    </row>
    <row r="2185" ht="19.5" customHeight="1">
      <c r="A2185" s="26" t="s">
        <v>5897</v>
      </c>
      <c r="B2185" s="27" t="s">
        <v>5898</v>
      </c>
      <c r="C2185" s="28" t="s">
        <v>134</v>
      </c>
      <c r="D2185" s="29">
        <v>129.0</v>
      </c>
      <c r="E2185" s="28" t="s">
        <v>5899</v>
      </c>
      <c r="F2185" s="7" t="str">
        <f>IFERROR(__xludf.DUMMYFUNCTION("GOOGLETRANSLATE(B2185:B5064,""en"",""fr"")"),"sale")</f>
        <v>sale</v>
      </c>
    </row>
    <row r="2186" ht="19.5" customHeight="1">
      <c r="A2186" s="26" t="s">
        <v>5900</v>
      </c>
      <c r="B2186" s="27" t="s">
        <v>5901</v>
      </c>
      <c r="C2186" s="28" t="s">
        <v>178</v>
      </c>
      <c r="D2186" s="29">
        <v>129.0</v>
      </c>
      <c r="E2186" s="28" t="s">
        <v>5902</v>
      </c>
      <c r="F2186" s="7" t="str">
        <f>IFERROR(__xludf.DUMMYFUNCTION("GOOGLETRANSLATE(B2186:B5064,""en"",""fr"")"),"grand-père")</f>
        <v>grand-père</v>
      </c>
    </row>
    <row r="2187" ht="19.5" customHeight="1">
      <c r="A2187" s="26" t="s">
        <v>5903</v>
      </c>
      <c r="B2187" s="27" t="s">
        <v>5904</v>
      </c>
      <c r="C2187" s="28" t="s">
        <v>178</v>
      </c>
      <c r="D2187" s="29">
        <v>129.0</v>
      </c>
      <c r="E2187" s="28" t="s">
        <v>5905</v>
      </c>
      <c r="F2187" s="7" t="str">
        <f>IFERROR(__xludf.DUMMYFUNCTION("GOOGLETRANSLATE(B2187:B5064,""en"",""fr"")"),"hôte")</f>
        <v>hôte</v>
      </c>
    </row>
    <row r="2188" ht="19.5" customHeight="1">
      <c r="A2188" s="26" t="s">
        <v>5906</v>
      </c>
      <c r="B2188" s="27" t="s">
        <v>5907</v>
      </c>
      <c r="C2188" s="28" t="s">
        <v>178</v>
      </c>
      <c r="D2188" s="29">
        <v>129.0</v>
      </c>
      <c r="E2188" s="28" t="s">
        <v>5908</v>
      </c>
      <c r="F2188" s="7" t="str">
        <f>IFERROR(__xludf.DUMMYFUNCTION("GOOGLETRANSLATE(B2188:B5064,""en"",""fr"")"),"producteur")</f>
        <v>producteur</v>
      </c>
    </row>
    <row r="2189" ht="19.5" customHeight="1">
      <c r="A2189" s="26" t="s">
        <v>5909</v>
      </c>
      <c r="B2189" s="27" t="s">
        <v>5910</v>
      </c>
      <c r="C2189" s="28" t="s">
        <v>178</v>
      </c>
      <c r="D2189" s="29">
        <v>129.0</v>
      </c>
      <c r="E2189" s="28" t="s">
        <v>5911</v>
      </c>
      <c r="F2189" s="7" t="str">
        <f>IFERROR(__xludf.DUMMYFUNCTION("GOOGLETRANSLATE(B2189:B5064,""en"",""fr"")"),"sorcière")</f>
        <v>sorcière</v>
      </c>
    </row>
    <row r="2190" ht="19.5" customHeight="1">
      <c r="A2190" s="26" t="s">
        <v>5912</v>
      </c>
      <c r="B2190" s="27" t="s">
        <v>5913</v>
      </c>
      <c r="C2190" s="28" t="s">
        <v>134</v>
      </c>
      <c r="D2190" s="29">
        <v>128.0</v>
      </c>
      <c r="E2190" s="28" t="s">
        <v>5913</v>
      </c>
      <c r="F2190" s="7" t="str">
        <f>IFERROR(__xludf.DUMMYFUNCTION("GOOGLETRANSLATE(B2190:B5064,""en"",""fr"")"),"approprié")</f>
        <v>approprié</v>
      </c>
    </row>
    <row r="2191" ht="19.5" customHeight="1">
      <c r="A2191" s="26" t="s">
        <v>5914</v>
      </c>
      <c r="B2191" s="27" t="s">
        <v>5915</v>
      </c>
      <c r="C2191" s="28" t="s">
        <v>178</v>
      </c>
      <c r="D2191" s="29">
        <v>128.0</v>
      </c>
      <c r="E2191" s="28" t="s">
        <v>5916</v>
      </c>
      <c r="F2191" s="7" t="str">
        <f>IFERROR(__xludf.DUMMYFUNCTION("GOOGLETRANSLATE(B2191:B5064,""en"",""fr"")"),"coïncidence")</f>
        <v>coïncidence</v>
      </c>
    </row>
    <row r="2192" ht="19.5" customHeight="1">
      <c r="A2192" s="26" t="s">
        <v>5917</v>
      </c>
      <c r="B2192" s="27" t="s">
        <v>5918</v>
      </c>
      <c r="C2192" s="28" t="s">
        <v>178</v>
      </c>
      <c r="D2192" s="29">
        <v>128.0</v>
      </c>
      <c r="E2192" s="28" t="s">
        <v>5918</v>
      </c>
      <c r="F2192" s="7" t="str">
        <f>IFERROR(__xludf.DUMMYFUNCTION("GOOGLETRANSLATE(B2192:B5064,""en"",""fr"")"),"meubles")</f>
        <v>meubles</v>
      </c>
    </row>
    <row r="2193" ht="19.5" customHeight="1">
      <c r="A2193" s="26" t="s">
        <v>5919</v>
      </c>
      <c r="B2193" s="27" t="s">
        <v>1531</v>
      </c>
      <c r="C2193" s="28" t="s">
        <v>178</v>
      </c>
      <c r="D2193" s="29">
        <v>128.0</v>
      </c>
      <c r="E2193" s="28" t="s">
        <v>5920</v>
      </c>
      <c r="F2193" s="7" t="str">
        <f>IFERROR(__xludf.DUMMYFUNCTION("GOOGLETRANSLATE(B2193:B5064,""en"",""fr"")"),"rire")</f>
        <v>rire</v>
      </c>
    </row>
    <row r="2194" ht="19.5" customHeight="1">
      <c r="A2194" s="26" t="s">
        <v>5921</v>
      </c>
      <c r="B2194" s="27" t="s">
        <v>5922</v>
      </c>
      <c r="C2194" s="28" t="s">
        <v>178</v>
      </c>
      <c r="D2194" s="29">
        <v>128.0</v>
      </c>
      <c r="E2194" s="28" t="s">
        <v>5923</v>
      </c>
      <c r="F2194" s="7" t="str">
        <f>IFERROR(__xludf.DUMMYFUNCTION("GOOGLETRANSLATE(B2194:B5064,""en"",""fr"")"),"citron")</f>
        <v>citron</v>
      </c>
    </row>
    <row r="2195" ht="19.5" customHeight="1">
      <c r="A2195" s="26" t="s">
        <v>5924</v>
      </c>
      <c r="B2195" s="27" t="s">
        <v>5925</v>
      </c>
      <c r="C2195" s="28" t="s">
        <v>32</v>
      </c>
      <c r="D2195" s="29">
        <v>128.0</v>
      </c>
      <c r="E2195" s="28" t="s">
        <v>5926</v>
      </c>
      <c r="F2195" s="7" t="str">
        <f>IFERROR(__xludf.DUMMYFUNCTION("GOOGLETRANSLATE(B2195:B5064,""en"",""fr"")"),"charger")</f>
        <v>charger</v>
      </c>
    </row>
    <row r="2196" ht="19.5" customHeight="1">
      <c r="A2196" s="26" t="s">
        <v>5927</v>
      </c>
      <c r="B2196" s="27" t="s">
        <v>5928</v>
      </c>
      <c r="C2196" s="28" t="s">
        <v>32</v>
      </c>
      <c r="D2196" s="29">
        <v>128.0</v>
      </c>
      <c r="E2196" s="28" t="s">
        <v>5929</v>
      </c>
      <c r="F2196" s="7" t="str">
        <f>IFERROR(__xludf.DUMMYFUNCTION("GOOGLETRANSLATE(B2196:B5064,""en"",""fr"")"),"se moquer")</f>
        <v>se moquer</v>
      </c>
    </row>
    <row r="2197" ht="19.5" customHeight="1">
      <c r="A2197" s="26" t="s">
        <v>5930</v>
      </c>
      <c r="B2197" s="27" t="s">
        <v>5931</v>
      </c>
      <c r="C2197" s="28" t="s">
        <v>100</v>
      </c>
      <c r="D2197" s="29">
        <v>128.0</v>
      </c>
      <c r="E2197" s="28" t="s">
        <v>5931</v>
      </c>
      <c r="F2197" s="7" t="str">
        <f>IFERROR(__xludf.DUMMYFUNCTION("GOOGLETRANSLATE(B2197:B5064,""en"",""fr"")"),"normalement")</f>
        <v>normalement</v>
      </c>
    </row>
    <row r="2198" ht="19.5" customHeight="1">
      <c r="A2198" s="26" t="s">
        <v>5932</v>
      </c>
      <c r="B2198" s="27" t="s">
        <v>5933</v>
      </c>
      <c r="C2198" s="28" t="s">
        <v>178</v>
      </c>
      <c r="D2198" s="29">
        <v>128.0</v>
      </c>
      <c r="E2198" s="28" t="s">
        <v>5933</v>
      </c>
      <c r="F2198" s="7" t="str">
        <f>IFERROR(__xludf.DUMMYFUNCTION("GOOGLETRANSLATE(B2198:B5064,""en"",""fr"")"),"la physique")</f>
        <v>la physique</v>
      </c>
    </row>
    <row r="2199" ht="19.5" customHeight="1">
      <c r="A2199" s="26" t="s">
        <v>5934</v>
      </c>
      <c r="B2199" s="27" t="s">
        <v>5935</v>
      </c>
      <c r="C2199" s="28" t="s">
        <v>178</v>
      </c>
      <c r="D2199" s="29">
        <v>128.0</v>
      </c>
      <c r="E2199" s="28" t="s">
        <v>5936</v>
      </c>
      <c r="F2199" s="7" t="str">
        <f>IFERROR(__xludf.DUMMYFUNCTION("GOOGLETRANSLATE(B2199:B5064,""en"",""fr"")"),"sac")</f>
        <v>sac</v>
      </c>
    </row>
    <row r="2200" ht="19.5" customHeight="1">
      <c r="A2200" s="26" t="s">
        <v>5937</v>
      </c>
      <c r="B2200" s="27" t="s">
        <v>5938</v>
      </c>
      <c r="C2200" s="28" t="s">
        <v>178</v>
      </c>
      <c r="D2200" s="29">
        <v>128.0</v>
      </c>
      <c r="E2200" s="28" t="s">
        <v>5939</v>
      </c>
      <c r="F2200" s="7" t="str">
        <f>IFERROR(__xludf.DUMMYFUNCTION("GOOGLETRANSLATE(B2200:B5064,""en"",""fr"")"),"action")</f>
        <v>action</v>
      </c>
    </row>
    <row r="2201" ht="19.5" customHeight="1">
      <c r="A2201" s="26" t="s">
        <v>5940</v>
      </c>
      <c r="B2201" s="27" t="s">
        <v>5941</v>
      </c>
      <c r="C2201" s="28" t="s">
        <v>178</v>
      </c>
      <c r="D2201" s="29">
        <v>128.0</v>
      </c>
      <c r="E2201" s="28" t="s">
        <v>5942</v>
      </c>
      <c r="F2201" s="7" t="str">
        <f>IFERROR(__xludf.DUMMYFUNCTION("GOOGLETRANSLATE(B2201:B5064,""en"",""fr"")"),"tempête")</f>
        <v>tempête</v>
      </c>
    </row>
    <row r="2202" ht="19.5" customHeight="1">
      <c r="A2202" s="26" t="s">
        <v>5943</v>
      </c>
      <c r="B2202" s="27" t="s">
        <v>5944</v>
      </c>
      <c r="C2202" s="28" t="s">
        <v>178</v>
      </c>
      <c r="D2202" s="29">
        <v>128.0</v>
      </c>
      <c r="E2202" s="28" t="s">
        <v>5945</v>
      </c>
      <c r="F2202" s="7" t="str">
        <f>IFERROR(__xludf.DUMMYFUNCTION("GOOGLETRANSLATE(B2202:B5064,""en"",""fr"")"),"fauteuil roulant")</f>
        <v>fauteuil roulant</v>
      </c>
    </row>
    <row r="2203" ht="19.5" customHeight="1">
      <c r="A2203" s="26" t="s">
        <v>5946</v>
      </c>
      <c r="B2203" s="27" t="s">
        <v>5947</v>
      </c>
      <c r="C2203" s="28" t="s">
        <v>32</v>
      </c>
      <c r="D2203" s="29">
        <v>127.0</v>
      </c>
      <c r="E2203" s="28" t="s">
        <v>5948</v>
      </c>
      <c r="F2203" s="7" t="str">
        <f>IFERROR(__xludf.DUMMYFUNCTION("GOOGLETRANSLATE(B2203:B5064,""en"",""fr"")"),"annoncer")</f>
        <v>annoncer</v>
      </c>
    </row>
    <row r="2204" ht="19.5" customHeight="1">
      <c r="A2204" s="26" t="s">
        <v>5949</v>
      </c>
      <c r="B2204" s="27" t="s">
        <v>5950</v>
      </c>
      <c r="C2204" s="28" t="s">
        <v>178</v>
      </c>
      <c r="D2204" s="29">
        <v>127.0</v>
      </c>
      <c r="E2204" s="28" t="s">
        <v>5951</v>
      </c>
      <c r="F2204" s="7" t="str">
        <f>IFERROR(__xludf.DUMMYFUNCTION("GOOGLETRANSLATE(B2204:B5064,""en"",""fr"")"),"beignet")</f>
        <v>beignet</v>
      </c>
    </row>
    <row r="2205" ht="19.5" customHeight="1">
      <c r="A2205" s="26" t="s">
        <v>5952</v>
      </c>
      <c r="B2205" s="27" t="s">
        <v>5953</v>
      </c>
      <c r="C2205" s="28" t="s">
        <v>178</v>
      </c>
      <c r="D2205" s="29">
        <v>127.0</v>
      </c>
      <c r="E2205" s="28" t="s">
        <v>5954</v>
      </c>
      <c r="F2205" s="7" t="str">
        <f>IFERROR(__xludf.DUMMYFUNCTION("GOOGLETRANSLATE(B2205:B5064,""en"",""fr"")"),"cocktail")</f>
        <v>cocktail</v>
      </c>
    </row>
    <row r="2206" ht="19.5" customHeight="1">
      <c r="A2206" s="26" t="s">
        <v>5955</v>
      </c>
      <c r="B2206" s="27" t="s">
        <v>5956</v>
      </c>
      <c r="C2206" s="28" t="s">
        <v>178</v>
      </c>
      <c r="D2206" s="29">
        <v>127.0</v>
      </c>
      <c r="E2206" s="28" t="s">
        <v>5957</v>
      </c>
      <c r="F2206" s="7" t="str">
        <f>IFERROR(__xludf.DUMMYFUNCTION("GOOGLETRANSLATE(B2206:B5064,""en"",""fr"")"),"Comité")</f>
        <v>Comité</v>
      </c>
    </row>
    <row r="2207" ht="19.5" customHeight="1">
      <c r="A2207" s="26" t="s">
        <v>5958</v>
      </c>
      <c r="B2207" s="27" t="s">
        <v>5959</v>
      </c>
      <c r="C2207" s="28" t="s">
        <v>178</v>
      </c>
      <c r="D2207" s="29">
        <v>127.0</v>
      </c>
      <c r="E2207" s="28" t="s">
        <v>5960</v>
      </c>
      <c r="F2207" s="7" t="str">
        <f>IFERROR(__xludf.DUMMYFUNCTION("GOOGLETRANSLATE(B2207:B5064,""en"",""fr"")"),"équipage")</f>
        <v>équipage</v>
      </c>
    </row>
    <row r="2208" ht="19.5" customHeight="1">
      <c r="A2208" s="26" t="s">
        <v>5961</v>
      </c>
      <c r="B2208" s="27" t="s">
        <v>5962</v>
      </c>
      <c r="C2208" s="28" t="s">
        <v>178</v>
      </c>
      <c r="D2208" s="29">
        <v>127.0</v>
      </c>
      <c r="E2208" s="28" t="s">
        <v>5963</v>
      </c>
      <c r="F2208" s="7" t="str">
        <f>IFERROR(__xludf.DUMMYFUNCTION("GOOGLETRANSLATE(B2208:B5064,""en"",""fr"")"),"la défense")</f>
        <v>la défense</v>
      </c>
    </row>
    <row r="2209" ht="19.5" customHeight="1">
      <c r="A2209" s="26" t="s">
        <v>5964</v>
      </c>
      <c r="B2209" s="27" t="s">
        <v>5965</v>
      </c>
      <c r="C2209" s="28" t="s">
        <v>100</v>
      </c>
      <c r="D2209" s="29">
        <v>127.0</v>
      </c>
      <c r="E2209" s="28" t="s">
        <v>5965</v>
      </c>
      <c r="F2209" s="7" t="str">
        <f>IFERROR(__xludf.DUMMYFUNCTION("GOOGLETRANSLATE(B2209:B5064,""en"",""fr"")"),"extrêmement")</f>
        <v>extrêmement</v>
      </c>
    </row>
    <row r="2210" ht="19.5" customHeight="1">
      <c r="A2210" s="26" t="s">
        <v>5966</v>
      </c>
      <c r="B2210" s="27" t="s">
        <v>5967</v>
      </c>
      <c r="C2210" s="28" t="s">
        <v>178</v>
      </c>
      <c r="D2210" s="29">
        <v>127.0</v>
      </c>
      <c r="E2210" s="28" t="s">
        <v>5968</v>
      </c>
      <c r="F2210" s="7" t="str">
        <f>IFERROR(__xludf.DUMMYFUNCTION("GOOGLETRANSLATE(B2210:B5064,""en"",""fr"")"),"déposer")</f>
        <v>déposer</v>
      </c>
    </row>
    <row r="2211" ht="19.5" customHeight="1">
      <c r="A2211" s="26" t="s">
        <v>5969</v>
      </c>
      <c r="B2211" s="27" t="s">
        <v>5970</v>
      </c>
      <c r="C2211" s="28" t="s">
        <v>178</v>
      </c>
      <c r="D2211" s="29">
        <v>127.0</v>
      </c>
      <c r="E2211" s="28" t="s">
        <v>5971</v>
      </c>
      <c r="F2211" s="7" t="str">
        <f>IFERROR(__xludf.DUMMYFUNCTION("GOOGLETRANSLATE(B2211:B5064,""en"",""fr"")"),"la Coupe de cheveux")</f>
        <v>la Coupe de cheveux</v>
      </c>
    </row>
    <row r="2212" ht="19.5" customHeight="1">
      <c r="A2212" s="26" t="s">
        <v>5972</v>
      </c>
      <c r="B2212" s="27" t="s">
        <v>5973</v>
      </c>
      <c r="C2212" s="28" t="s">
        <v>178</v>
      </c>
      <c r="D2212" s="29">
        <v>127.0</v>
      </c>
      <c r="E2212" s="28" t="s">
        <v>5974</v>
      </c>
      <c r="F2212" s="7" t="str">
        <f>IFERROR(__xludf.DUMMYFUNCTION("GOOGLETRANSLATE(B2212:B5064,""en"",""fr"")"),"perte")</f>
        <v>perte</v>
      </c>
    </row>
    <row r="2213" ht="19.5" customHeight="1">
      <c r="A2213" s="26" t="s">
        <v>5975</v>
      </c>
      <c r="B2213" s="27" t="s">
        <v>5632</v>
      </c>
      <c r="C2213" s="28" t="s">
        <v>178</v>
      </c>
      <c r="D2213" s="29">
        <v>127.0</v>
      </c>
      <c r="E2213" s="28" t="s">
        <v>5976</v>
      </c>
      <c r="F2213" s="7" t="str">
        <f>IFERROR(__xludf.DUMMYFUNCTION("GOOGLETRANSLATE(B2213:B5064,""en"",""fr"")"),"marque")</f>
        <v>marque</v>
      </c>
    </row>
    <row r="2214" ht="19.5" customHeight="1">
      <c r="A2214" s="26" t="s">
        <v>5977</v>
      </c>
      <c r="B2214" s="27" t="s">
        <v>5978</v>
      </c>
      <c r="C2214" s="28" t="s">
        <v>178</v>
      </c>
      <c r="D2214" s="29">
        <v>127.0</v>
      </c>
      <c r="E2214" s="28" t="s">
        <v>5979</v>
      </c>
      <c r="F2214" s="7" t="str">
        <f>IFERROR(__xludf.DUMMYFUNCTION("GOOGLETRANSLATE(B2214:B5064,""en"",""fr"")"),"preuve")</f>
        <v>preuve</v>
      </c>
    </row>
    <row r="2215" ht="19.5" customHeight="1">
      <c r="A2215" s="26" t="s">
        <v>5980</v>
      </c>
      <c r="B2215" s="27" t="s">
        <v>5981</v>
      </c>
      <c r="C2215" s="28" t="s">
        <v>178</v>
      </c>
      <c r="D2215" s="29">
        <v>127.0</v>
      </c>
      <c r="E2215" s="28" t="s">
        <v>5982</v>
      </c>
      <c r="F2215" s="7" t="str">
        <f>IFERROR(__xludf.DUMMYFUNCTION("GOOGLETRANSLATE(B2215:B5064,""en"",""fr"")"),"sel")</f>
        <v>sel</v>
      </c>
    </row>
    <row r="2216" ht="19.5" customHeight="1">
      <c r="A2216" s="26" t="s">
        <v>5983</v>
      </c>
      <c r="B2216" s="27" t="s">
        <v>3983</v>
      </c>
      <c r="C2216" s="28" t="s">
        <v>32</v>
      </c>
      <c r="D2216" s="29">
        <v>127.0</v>
      </c>
      <c r="E2216" s="28" t="s">
        <v>5984</v>
      </c>
      <c r="F2216" s="7" t="str">
        <f>IFERROR(__xludf.DUMMYFUNCTION("GOOGLETRANSLATE(B2216:B5064,""en"",""fr"")"),"score")</f>
        <v>score</v>
      </c>
    </row>
    <row r="2217" ht="19.5" customHeight="1">
      <c r="A2217" s="26" t="s">
        <v>5985</v>
      </c>
      <c r="B2217" s="27" t="s">
        <v>5986</v>
      </c>
      <c r="C2217" s="28" t="s">
        <v>32</v>
      </c>
      <c r="D2217" s="29">
        <v>127.0</v>
      </c>
      <c r="E2217" s="28" t="s">
        <v>5987</v>
      </c>
      <c r="F2217" s="7" t="str">
        <f>IFERROR(__xludf.DUMMYFUNCTION("GOOGLETRANSLATE(B2217:B5064,""en"",""fr"")"),"de rechange")</f>
        <v>de rechange</v>
      </c>
    </row>
    <row r="2218" ht="19.5" customHeight="1">
      <c r="A2218" s="26" t="s">
        <v>5988</v>
      </c>
      <c r="B2218" s="27" t="s">
        <v>2448</v>
      </c>
      <c r="C2218" s="28" t="s">
        <v>32</v>
      </c>
      <c r="D2218" s="29">
        <v>127.0</v>
      </c>
      <c r="E2218" s="28" t="s">
        <v>5989</v>
      </c>
      <c r="F2218" s="7" t="str">
        <f>IFERROR(__xludf.DUMMYFUNCTION("GOOGLETRANSLATE(B2218:B5064,""en"",""fr"")"),"ruban adhésif")</f>
        <v>ruban adhésif</v>
      </c>
    </row>
    <row r="2219" ht="19.5" customHeight="1">
      <c r="A2219" s="26" t="s">
        <v>5990</v>
      </c>
      <c r="B2219" s="27" t="s">
        <v>5991</v>
      </c>
      <c r="C2219" s="28" t="s">
        <v>178</v>
      </c>
      <c r="D2219" s="29">
        <v>127.0</v>
      </c>
      <c r="E2219" s="28" t="s">
        <v>5992</v>
      </c>
      <c r="F2219" s="7" t="str">
        <f>IFERROR(__xludf.DUMMYFUNCTION("GOOGLETRANSLATE(B2219:B5064,""en"",""fr"")"),"ex")</f>
        <v>ex</v>
      </c>
    </row>
    <row r="2220" ht="19.5" customHeight="1">
      <c r="A2220" s="26" t="s">
        <v>5993</v>
      </c>
      <c r="B2220" s="27" t="s">
        <v>5994</v>
      </c>
      <c r="C2220" s="28" t="s">
        <v>178</v>
      </c>
      <c r="D2220" s="29">
        <v>126.0</v>
      </c>
      <c r="E2220" s="28" t="s">
        <v>5995</v>
      </c>
      <c r="F2220" s="7" t="str">
        <f>IFERROR(__xludf.DUMMYFUNCTION("GOOGLETRANSLATE(B2220:B5064,""en"",""fr"")"),"fée")</f>
        <v>fée</v>
      </c>
    </row>
    <row r="2221" ht="19.5" customHeight="1">
      <c r="A2221" s="26" t="s">
        <v>5996</v>
      </c>
      <c r="B2221" s="27" t="s">
        <v>5997</v>
      </c>
      <c r="C2221" s="28" t="s">
        <v>178</v>
      </c>
      <c r="D2221" s="29">
        <v>126.0</v>
      </c>
      <c r="E2221" s="28" t="s">
        <v>5998</v>
      </c>
      <c r="F2221" s="7" t="str">
        <f>IFERROR(__xludf.DUMMYFUNCTION("GOOGLETRANSLATE(B2221:B5064,""en"",""fr"")"),"fort")</f>
        <v>fort</v>
      </c>
    </row>
    <row r="2222" ht="19.5" customHeight="1">
      <c r="A2222" s="26" t="s">
        <v>5999</v>
      </c>
      <c r="B2222" s="27" t="s">
        <v>6000</v>
      </c>
      <c r="C2222" s="28" t="s">
        <v>178</v>
      </c>
      <c r="D2222" s="29">
        <v>126.0</v>
      </c>
      <c r="E2222" s="28" t="s">
        <v>6001</v>
      </c>
      <c r="F2222" s="7" t="str">
        <f>IFERROR(__xludf.DUMMYFUNCTION("GOOGLETRANSLATE(B2222:B5064,""en"",""fr"")"),"raisin")</f>
        <v>raisin</v>
      </c>
    </row>
    <row r="2223" ht="19.5" customHeight="1">
      <c r="A2223" s="26" t="s">
        <v>6002</v>
      </c>
      <c r="B2223" s="27" t="s">
        <v>6003</v>
      </c>
      <c r="C2223" s="28" t="s">
        <v>36</v>
      </c>
      <c r="D2223" s="29">
        <v>126.0</v>
      </c>
      <c r="E2223" s="28" t="s">
        <v>6003</v>
      </c>
      <c r="F2223" s="7" t="str">
        <f>IFERROR(__xludf.DUMMYFUNCTION("GOOGLETRANSLATE(B2223:B5064,""en"",""fr"")"),"y compris")</f>
        <v>y compris</v>
      </c>
    </row>
    <row r="2224" ht="19.5" customHeight="1">
      <c r="A2224" s="26" t="s">
        <v>6004</v>
      </c>
      <c r="B2224" s="27" t="s">
        <v>6005</v>
      </c>
      <c r="C2224" s="28" t="s">
        <v>178</v>
      </c>
      <c r="D2224" s="29">
        <v>126.0</v>
      </c>
      <c r="E2224" s="28" t="s">
        <v>6006</v>
      </c>
      <c r="F2224" s="7" t="str">
        <f>IFERROR(__xludf.DUMMYFUNCTION("GOOGLETRANSLATE(B2224:B5064,""en"",""fr"")"),"se maquiller")</f>
        <v>se maquiller</v>
      </c>
    </row>
    <row r="2225" ht="19.5" customHeight="1">
      <c r="A2225" s="26" t="s">
        <v>6007</v>
      </c>
      <c r="B2225" s="27" t="s">
        <v>6008</v>
      </c>
      <c r="C2225" s="28" t="s">
        <v>178</v>
      </c>
      <c r="D2225" s="29">
        <v>126.0</v>
      </c>
      <c r="E2225" s="28" t="s">
        <v>6009</v>
      </c>
      <c r="F2225" s="7" t="str">
        <f>IFERROR(__xludf.DUMMYFUNCTION("GOOGLETRANSLATE(B2225:B5064,""en"",""fr"")"),"nation")</f>
        <v>nation</v>
      </c>
    </row>
    <row r="2226" ht="19.5" customHeight="1">
      <c r="A2226" s="26" t="s">
        <v>6010</v>
      </c>
      <c r="B2226" s="27" t="s">
        <v>6011</v>
      </c>
      <c r="C2226" s="28" t="s">
        <v>150</v>
      </c>
      <c r="D2226" s="29">
        <v>126.0</v>
      </c>
      <c r="E2226" s="28" t="s">
        <v>6011</v>
      </c>
      <c r="F2226" s="7" t="str">
        <f>IFERROR(__xludf.DUMMYFUNCTION("GOOGLETRANSLATE(B2226:B5064,""en"",""fr"")"),"six cent")</f>
        <v>six cent</v>
      </c>
    </row>
    <row r="2227" ht="19.5" customHeight="1">
      <c r="A2227" s="26" t="s">
        <v>6012</v>
      </c>
      <c r="B2227" s="27" t="s">
        <v>3606</v>
      </c>
      <c r="C2227" s="28" t="s">
        <v>32</v>
      </c>
      <c r="D2227" s="29">
        <v>125.0</v>
      </c>
      <c r="E2227" s="28" t="s">
        <v>6013</v>
      </c>
      <c r="F2227" s="7" t="str">
        <f>IFERROR(__xludf.DUMMYFUNCTION("GOOGLETRANSLATE(B2227:B5064,""en"",""fr"")"),"bloc")</f>
        <v>bloc</v>
      </c>
    </row>
    <row r="2228" ht="19.5" customHeight="1">
      <c r="A2228" s="26" t="s">
        <v>6014</v>
      </c>
      <c r="B2228" s="27" t="s">
        <v>6015</v>
      </c>
      <c r="C2228" s="28" t="s">
        <v>178</v>
      </c>
      <c r="D2228" s="29">
        <v>125.0</v>
      </c>
      <c r="E2228" s="28" t="s">
        <v>6016</v>
      </c>
      <c r="F2228" s="7" t="str">
        <f>IFERROR(__xludf.DUMMYFUNCTION("GOOGLETRANSLATE(B2228:B5064,""en"",""fr"")"),"enfance")</f>
        <v>enfance</v>
      </c>
    </row>
    <row r="2229" ht="19.5" customHeight="1">
      <c r="A2229" s="26" t="s">
        <v>6017</v>
      </c>
      <c r="B2229" s="27" t="s">
        <v>1096</v>
      </c>
      <c r="C2229" s="28" t="s">
        <v>178</v>
      </c>
      <c r="D2229" s="29">
        <v>125.0</v>
      </c>
      <c r="E2229" s="28" t="s">
        <v>6018</v>
      </c>
      <c r="F2229" s="7" t="str">
        <f>IFERROR(__xludf.DUMMYFUNCTION("GOOGLETRANSLATE(B2229:B5064,""en"",""fr"")"),"couper")</f>
        <v>couper</v>
      </c>
    </row>
    <row r="2230" ht="19.5" customHeight="1">
      <c r="A2230" s="26" t="s">
        <v>6019</v>
      </c>
      <c r="B2230" s="27" t="s">
        <v>6020</v>
      </c>
      <c r="C2230" s="28" t="s">
        <v>32</v>
      </c>
      <c r="D2230" s="29">
        <v>125.0</v>
      </c>
      <c r="E2230" s="28" t="s">
        <v>6021</v>
      </c>
      <c r="F2230" s="7" t="str">
        <f>IFERROR(__xludf.DUMMYFUNCTION("GOOGLETRANSLATE(B2230:B5064,""en"",""fr"")"),"développer")</f>
        <v>développer</v>
      </c>
    </row>
    <row r="2231" ht="19.5" customHeight="1">
      <c r="A2231" s="26" t="s">
        <v>6022</v>
      </c>
      <c r="B2231" s="27" t="s">
        <v>3017</v>
      </c>
      <c r="C2231" s="28" t="s">
        <v>32</v>
      </c>
      <c r="D2231" s="29">
        <v>125.0</v>
      </c>
      <c r="E2231" s="28" t="s">
        <v>6023</v>
      </c>
      <c r="F2231" s="7" t="str">
        <f>IFERROR(__xludf.DUMMYFUNCTION("GOOGLETRANSLATE(B2231:B5064,""en"",""fr"")"),"course")</f>
        <v>course</v>
      </c>
    </row>
    <row r="2232" ht="19.5" customHeight="1">
      <c r="A2232" s="26" t="s">
        <v>6024</v>
      </c>
      <c r="B2232" s="27" t="s">
        <v>6025</v>
      </c>
      <c r="C2232" s="28" t="s">
        <v>178</v>
      </c>
      <c r="D2232" s="29">
        <v>125.0</v>
      </c>
      <c r="E2232" s="28" t="s">
        <v>6026</v>
      </c>
      <c r="F2232" s="7" t="str">
        <f>IFERROR(__xludf.DUMMYFUNCTION("GOOGLETRANSLATE(B2232:B5064,""en"",""fr"")"),"référence")</f>
        <v>référence</v>
      </c>
    </row>
    <row r="2233" ht="19.5" customHeight="1">
      <c r="A2233" s="26" t="s">
        <v>6027</v>
      </c>
      <c r="B2233" s="27" t="s">
        <v>6028</v>
      </c>
      <c r="C2233" s="28" t="s">
        <v>178</v>
      </c>
      <c r="D2233" s="29">
        <v>125.0</v>
      </c>
      <c r="E2233" s="28" t="s">
        <v>6028</v>
      </c>
      <c r="F2233" s="7" t="str">
        <f>IFERROR(__xludf.DUMMYFUNCTION("GOOGLETRANSLATE(B2233:B5064,""en"",""fr"")"),"shorts")</f>
        <v>shorts</v>
      </c>
    </row>
    <row r="2234" ht="19.5" customHeight="1">
      <c r="A2234" s="26" t="s">
        <v>6029</v>
      </c>
      <c r="B2234" s="27" t="s">
        <v>261</v>
      </c>
      <c r="C2234" s="28" t="s">
        <v>178</v>
      </c>
      <c r="D2234" s="29">
        <v>125.0</v>
      </c>
      <c r="E2234" s="28" t="s">
        <v>6030</v>
      </c>
      <c r="F2234" s="7" t="str">
        <f>IFERROR(__xludf.DUMMYFUNCTION("GOOGLETRANSLATE(B2234:B5064,""en"",""fr"")"),"parler")</f>
        <v>parler</v>
      </c>
    </row>
    <row r="2235" ht="19.5" customHeight="1">
      <c r="A2235" s="26" t="s">
        <v>6031</v>
      </c>
      <c r="B2235" s="27" t="s">
        <v>6032</v>
      </c>
      <c r="C2235" s="28" t="s">
        <v>178</v>
      </c>
      <c r="D2235" s="29">
        <v>125.0</v>
      </c>
      <c r="E2235" s="28" t="s">
        <v>6033</v>
      </c>
      <c r="F2235" s="7" t="str">
        <f>IFERROR(__xludf.DUMMYFUNCTION("GOOGLETRANSLATE(B2235:B5064,""en"",""fr"")"),"thérapeute")</f>
        <v>thérapeute</v>
      </c>
    </row>
    <row r="2236" ht="19.5" customHeight="1">
      <c r="A2236" s="26" t="s">
        <v>6034</v>
      </c>
      <c r="B2236" s="27" t="s">
        <v>3392</v>
      </c>
      <c r="C2236" s="28" t="s">
        <v>32</v>
      </c>
      <c r="D2236" s="29">
        <v>125.0</v>
      </c>
      <c r="E2236" s="28" t="s">
        <v>6035</v>
      </c>
      <c r="F2236" s="7" t="str">
        <f>IFERROR(__xludf.DUMMYFUNCTION("GOOGLETRANSLATE(B2236:B5064,""en"",""fr"")"),"conseil")</f>
        <v>conseil</v>
      </c>
    </row>
    <row r="2237" ht="19.5" customHeight="1">
      <c r="A2237" s="26" t="s">
        <v>6036</v>
      </c>
      <c r="B2237" s="27" t="s">
        <v>6037</v>
      </c>
      <c r="C2237" s="28" t="s">
        <v>178</v>
      </c>
      <c r="D2237" s="29">
        <v>125.0</v>
      </c>
      <c r="E2237" s="28" t="s">
        <v>6038</v>
      </c>
      <c r="F2237" s="7" t="str">
        <f>IFERROR(__xludf.DUMMYFUNCTION("GOOGLETRANSLATE(B2237:B5064,""en"",""fr"")"),"Ton")</f>
        <v>Ton</v>
      </c>
    </row>
    <row r="2238" ht="19.5" customHeight="1">
      <c r="A2238" s="26" t="s">
        <v>6039</v>
      </c>
      <c r="B2238" s="27" t="s">
        <v>2839</v>
      </c>
      <c r="C2238" s="28" t="s">
        <v>32</v>
      </c>
      <c r="D2238" s="29">
        <v>125.0</v>
      </c>
      <c r="E2238" s="28" t="s">
        <v>6040</v>
      </c>
      <c r="F2238" s="7" t="str">
        <f>IFERROR(__xludf.DUMMYFUNCTION("GOOGLETRANSLATE(B2238:B5064,""en"",""fr"")"),"chaud")</f>
        <v>chaud</v>
      </c>
    </row>
    <row r="2239" ht="19.5" customHeight="1">
      <c r="A2239" s="26" t="s">
        <v>6041</v>
      </c>
      <c r="B2239" s="27" t="s">
        <v>6042</v>
      </c>
      <c r="C2239" s="28" t="s">
        <v>178</v>
      </c>
      <c r="D2239" s="29">
        <v>124.0</v>
      </c>
      <c r="E2239" s="28" t="s">
        <v>6043</v>
      </c>
      <c r="F2239" s="7" t="str">
        <f>IFERROR(__xludf.DUMMYFUNCTION("GOOGLETRANSLATE(B2239:B5064,""en"",""fr"")"),"accent")</f>
        <v>accent</v>
      </c>
    </row>
    <row r="2240" ht="19.5" customHeight="1">
      <c r="A2240" s="26" t="s">
        <v>6044</v>
      </c>
      <c r="B2240" s="27" t="s">
        <v>6045</v>
      </c>
      <c r="C2240" s="28" t="s">
        <v>178</v>
      </c>
      <c r="D2240" s="29">
        <v>124.0</v>
      </c>
      <c r="E2240" s="28" t="s">
        <v>6046</v>
      </c>
      <c r="F2240" s="7" t="str">
        <f>IFERROR(__xludf.DUMMYFUNCTION("GOOGLETRANSLATE(B2240:B5064,""en"",""fr"")"),"rue")</f>
        <v>rue</v>
      </c>
    </row>
    <row r="2241" ht="19.5" customHeight="1">
      <c r="A2241" s="26" t="s">
        <v>6047</v>
      </c>
      <c r="B2241" s="27" t="s">
        <v>6048</v>
      </c>
      <c r="C2241" s="28" t="s">
        <v>36</v>
      </c>
      <c r="D2241" s="29">
        <v>124.0</v>
      </c>
      <c r="E2241" s="28" t="s">
        <v>6048</v>
      </c>
      <c r="F2241" s="7" t="str">
        <f>IFERROR(__xludf.DUMMYFUNCTION("GOOGLETRANSLATE(B2241:B5064,""en"",""fr"")"),"ci-dessous")</f>
        <v>ci-dessous</v>
      </c>
    </row>
    <row r="2242" ht="19.5" customHeight="1">
      <c r="A2242" s="26" t="s">
        <v>6049</v>
      </c>
      <c r="B2242" s="27" t="s">
        <v>6050</v>
      </c>
      <c r="C2242" s="28" t="s">
        <v>178</v>
      </c>
      <c r="D2242" s="29">
        <v>124.0</v>
      </c>
      <c r="E2242" s="28" t="s">
        <v>6051</v>
      </c>
      <c r="F2242" s="7" t="str">
        <f>IFERROR(__xludf.DUMMYFUNCTION("GOOGLETRANSLATE(B2242:B5064,""en"",""fr"")"),"nuage")</f>
        <v>nuage</v>
      </c>
    </row>
    <row r="2243" ht="19.5" customHeight="1">
      <c r="A2243" s="26" t="s">
        <v>6052</v>
      </c>
      <c r="B2243" s="27" t="s">
        <v>4141</v>
      </c>
      <c r="C2243" s="28" t="s">
        <v>178</v>
      </c>
      <c r="D2243" s="29">
        <v>124.0</v>
      </c>
      <c r="E2243" s="28" t="s">
        <v>6053</v>
      </c>
      <c r="F2243" s="7" t="str">
        <f>IFERROR(__xludf.DUMMYFUNCTION("GOOGLETRANSLATE(B2243:B5064,""en"",""fr"")"),"préoccupation")</f>
        <v>préoccupation</v>
      </c>
    </row>
    <row r="2244" ht="19.5" customHeight="1">
      <c r="A2244" s="26" t="s">
        <v>6054</v>
      </c>
      <c r="B2244" s="27" t="s">
        <v>6055</v>
      </c>
      <c r="C2244" s="28" t="s">
        <v>178</v>
      </c>
      <c r="D2244" s="29">
        <v>124.0</v>
      </c>
      <c r="E2244" s="28" t="s">
        <v>6056</v>
      </c>
      <c r="F2244" s="7" t="str">
        <f>IFERROR(__xludf.DUMMYFUNCTION("GOOGLETRANSLATE(B2244:B5064,""en"",""fr"")"),"distance")</f>
        <v>distance</v>
      </c>
    </row>
    <row r="2245" ht="19.5" customHeight="1">
      <c r="A2245" s="26" t="s">
        <v>6057</v>
      </c>
      <c r="B2245" s="27" t="s">
        <v>5421</v>
      </c>
      <c r="C2245" s="28" t="s">
        <v>32</v>
      </c>
      <c r="D2245" s="29">
        <v>124.0</v>
      </c>
      <c r="E2245" s="28" t="s">
        <v>6058</v>
      </c>
      <c r="F2245" s="7" t="str">
        <f>IFERROR(__xludf.DUMMYFUNCTION("GOOGLETRANSLATE(B2245:B5064,""en"",""fr"")"),"doute")</f>
        <v>doute</v>
      </c>
    </row>
    <row r="2246" ht="19.5" customHeight="1">
      <c r="A2246" s="26" t="s">
        <v>6059</v>
      </c>
      <c r="B2246" s="27" t="s">
        <v>6060</v>
      </c>
      <c r="C2246" s="28" t="s">
        <v>32</v>
      </c>
      <c r="D2246" s="29">
        <v>124.0</v>
      </c>
      <c r="E2246" s="28" t="s">
        <v>6061</v>
      </c>
      <c r="F2246" s="7" t="str">
        <f>IFERROR(__xludf.DUMMYFUNCTION("GOOGLETRANSLATE(B2246:B5064,""en"",""fr"")"),"échappement")</f>
        <v>échappement</v>
      </c>
    </row>
    <row r="2247" ht="19.5" customHeight="1">
      <c r="A2247" s="26" t="s">
        <v>6062</v>
      </c>
      <c r="B2247" s="27" t="s">
        <v>6063</v>
      </c>
      <c r="C2247" s="28" t="s">
        <v>178</v>
      </c>
      <c r="D2247" s="29">
        <v>124.0</v>
      </c>
      <c r="E2247" s="28" t="s">
        <v>6064</v>
      </c>
      <c r="F2247" s="7" t="str">
        <f>IFERROR(__xludf.DUMMYFUNCTION("GOOGLETRANSLATE(B2247:B5064,""en"",""fr"")"),"but")</f>
        <v>but</v>
      </c>
    </row>
    <row r="2248" ht="19.5" customHeight="1">
      <c r="A2248" s="26" t="s">
        <v>6065</v>
      </c>
      <c r="B2248" s="27" t="s">
        <v>1821</v>
      </c>
      <c r="C2248" s="28" t="s">
        <v>178</v>
      </c>
      <c r="D2248" s="29">
        <v>124.0</v>
      </c>
      <c r="E2248" s="28" t="s">
        <v>6066</v>
      </c>
      <c r="F2248" s="7" t="str">
        <f>IFERROR(__xludf.DUMMYFUNCTION("GOOGLETRANSLATE(B2248:B5064,""en"",""fr"")"),"rouler")</f>
        <v>rouler</v>
      </c>
    </row>
    <row r="2249" ht="19.5" customHeight="1">
      <c r="A2249" s="26" t="s">
        <v>6067</v>
      </c>
      <c r="B2249" s="27" t="s">
        <v>6068</v>
      </c>
      <c r="C2249" s="28" t="s">
        <v>178</v>
      </c>
      <c r="D2249" s="29">
        <v>124.0</v>
      </c>
      <c r="E2249" s="28" t="s">
        <v>6069</v>
      </c>
      <c r="F2249" s="7" t="str">
        <f>IFERROR(__xludf.DUMMYFUNCTION("GOOGLETRANSLATE(B2249:B5064,""en"",""fr"")"),"suggestion")</f>
        <v>suggestion</v>
      </c>
    </row>
    <row r="2250" ht="19.5" customHeight="1">
      <c r="A2250" s="26" t="s">
        <v>6070</v>
      </c>
      <c r="B2250" s="27" t="s">
        <v>6071</v>
      </c>
      <c r="C2250" s="28" t="s">
        <v>178</v>
      </c>
      <c r="D2250" s="29">
        <v>124.0</v>
      </c>
      <c r="E2250" s="28" t="s">
        <v>6072</v>
      </c>
      <c r="F2250" s="7" t="str">
        <f>IFERROR(__xludf.DUMMYFUNCTION("GOOGLETRANSLATE(B2250:B5064,""en"",""fr"")"),"épicerie")</f>
        <v>épicerie</v>
      </c>
    </row>
    <row r="2251" ht="19.5" customHeight="1">
      <c r="A2251" s="26" t="s">
        <v>6073</v>
      </c>
      <c r="B2251" s="27" t="s">
        <v>6074</v>
      </c>
      <c r="C2251" s="28" t="s">
        <v>178</v>
      </c>
      <c r="D2251" s="29">
        <v>123.0</v>
      </c>
      <c r="E2251" s="28" t="s">
        <v>6075</v>
      </c>
      <c r="F2251" s="7" t="str">
        <f>IFERROR(__xludf.DUMMYFUNCTION("GOOGLETRANSLATE(B2251:B5064,""en"",""fr"")"),"croyance")</f>
        <v>croyance</v>
      </c>
    </row>
    <row r="2252" ht="19.5" customHeight="1">
      <c r="A2252" s="26" t="s">
        <v>6076</v>
      </c>
      <c r="B2252" s="27" t="s">
        <v>6077</v>
      </c>
      <c r="C2252" s="28" t="s">
        <v>32</v>
      </c>
      <c r="D2252" s="29">
        <v>123.0</v>
      </c>
      <c r="E2252" s="28" t="s">
        <v>6078</v>
      </c>
      <c r="F2252" s="7" t="str">
        <f>IFERROR(__xludf.DUMMYFUNCTION("GOOGLETRANSLATE(B2252:B5064,""en"",""fr"")"),"bosse")</f>
        <v>bosse</v>
      </c>
    </row>
    <row r="2253" ht="19.5" customHeight="1">
      <c r="A2253" s="26" t="s">
        <v>6079</v>
      </c>
      <c r="B2253" s="27" t="s">
        <v>6080</v>
      </c>
      <c r="C2253" s="28" t="s">
        <v>178</v>
      </c>
      <c r="D2253" s="29">
        <v>123.0</v>
      </c>
      <c r="E2253" s="28" t="s">
        <v>6081</v>
      </c>
      <c r="F2253" s="7" t="str">
        <f>IFERROR(__xludf.DUMMYFUNCTION("GOOGLETRANSLATE(B2253:B5064,""en"",""fr"")"),"pouce")</f>
        <v>pouce</v>
      </c>
    </row>
    <row r="2254" ht="19.5" customHeight="1">
      <c r="A2254" s="26" t="s">
        <v>6082</v>
      </c>
      <c r="B2254" s="27" t="s">
        <v>6083</v>
      </c>
      <c r="C2254" s="28" t="s">
        <v>178</v>
      </c>
      <c r="D2254" s="29">
        <v>123.0</v>
      </c>
      <c r="E2254" s="28" t="s">
        <v>6084</v>
      </c>
      <c r="F2254" s="7" t="str">
        <f>IFERROR(__xludf.DUMMYFUNCTION("GOOGLETRANSLATE(B2254:B5064,""en"",""fr"")"),"jury")</f>
        <v>jury</v>
      </c>
    </row>
    <row r="2255" ht="19.5" customHeight="1">
      <c r="A2255" s="26" t="s">
        <v>6085</v>
      </c>
      <c r="B2255" s="27" t="s">
        <v>6086</v>
      </c>
      <c r="C2255" s="28" t="s">
        <v>134</v>
      </c>
      <c r="D2255" s="29">
        <v>123.0</v>
      </c>
      <c r="E2255" s="28" t="s">
        <v>6087</v>
      </c>
      <c r="F2255" s="7" t="str">
        <f>IFERROR(__xludf.DUMMYFUNCTION("GOOGLETRANSLATE(B2255:B5064,""en"",""fr"")"),"soigné")</f>
        <v>soigné</v>
      </c>
    </row>
    <row r="2256" ht="19.5" customHeight="1">
      <c r="A2256" s="26" t="s">
        <v>6088</v>
      </c>
      <c r="B2256" s="27" t="s">
        <v>6089</v>
      </c>
      <c r="C2256" s="28" t="s">
        <v>178</v>
      </c>
      <c r="D2256" s="29">
        <v>123.0</v>
      </c>
      <c r="E2256" s="28" t="s">
        <v>6089</v>
      </c>
      <c r="F2256" s="7" t="str">
        <f>IFERROR(__xludf.DUMMYFUNCTION("GOOGLETRANSLATE(B2256:B5064,""en"",""fr"")"),"chances")</f>
        <v>chances</v>
      </c>
    </row>
    <row r="2257" ht="19.5" customHeight="1">
      <c r="A2257" s="26" t="s">
        <v>6090</v>
      </c>
      <c r="B2257" s="27" t="s">
        <v>6091</v>
      </c>
      <c r="C2257" s="28" t="s">
        <v>178</v>
      </c>
      <c r="D2257" s="29">
        <v>123.0</v>
      </c>
      <c r="E2257" s="28" t="s">
        <v>6092</v>
      </c>
      <c r="F2257" s="7" t="str">
        <f>IFERROR(__xludf.DUMMYFUNCTION("GOOGLETRANSLATE(B2257:B5064,""en"",""fr"")"),"réservation")</f>
        <v>réservation</v>
      </c>
    </row>
    <row r="2258" ht="19.5" customHeight="1">
      <c r="A2258" s="26" t="s">
        <v>6093</v>
      </c>
      <c r="B2258" s="27" t="s">
        <v>6094</v>
      </c>
      <c r="C2258" s="28" t="s">
        <v>32</v>
      </c>
      <c r="D2258" s="29">
        <v>123.0</v>
      </c>
      <c r="E2258" s="28" t="s">
        <v>6095</v>
      </c>
      <c r="F2258" s="7" t="str">
        <f>IFERROR(__xludf.DUMMYFUNCTION("GOOGLETRANSLATE(B2258:B5064,""en"",""fr"")"),"se précipiter")</f>
        <v>se précipiter</v>
      </c>
    </row>
    <row r="2259" ht="19.5" customHeight="1">
      <c r="A2259" s="26" t="s">
        <v>6096</v>
      </c>
      <c r="B2259" s="27" t="s">
        <v>6097</v>
      </c>
      <c r="C2259" s="28" t="s">
        <v>178</v>
      </c>
      <c r="D2259" s="29">
        <v>123.0</v>
      </c>
      <c r="E2259" s="28" t="s">
        <v>6098</v>
      </c>
      <c r="F2259" s="7" t="str">
        <f>IFERROR(__xludf.DUMMYFUNCTION("GOOGLETRANSLATE(B2259:B5064,""en"",""fr"")"),"araignée")</f>
        <v>araignée</v>
      </c>
    </row>
    <row r="2260" ht="19.5" customHeight="1">
      <c r="A2260" s="26" t="s">
        <v>6099</v>
      </c>
      <c r="B2260" s="27" t="s">
        <v>6100</v>
      </c>
      <c r="C2260" s="28" t="s">
        <v>178</v>
      </c>
      <c r="D2260" s="29">
        <v>123.0</v>
      </c>
      <c r="E2260" s="28" t="s">
        <v>6101</v>
      </c>
      <c r="F2260" s="7" t="str">
        <f>IFERROR(__xludf.DUMMYFUNCTION("GOOGLETRANSLATE(B2260:B5064,""en"",""fr"")"),"écureuil")</f>
        <v>écureuil</v>
      </c>
    </row>
    <row r="2261" ht="19.5" customHeight="1">
      <c r="A2261" s="26" t="s">
        <v>6102</v>
      </c>
      <c r="B2261" s="27" t="s">
        <v>6103</v>
      </c>
      <c r="C2261" s="28" t="s">
        <v>178</v>
      </c>
      <c r="D2261" s="29">
        <v>123.0</v>
      </c>
      <c r="E2261" s="28" t="s">
        <v>6104</v>
      </c>
      <c r="F2261" s="7" t="str">
        <f>IFERROR(__xludf.DUMMYFUNCTION("GOOGLETRANSLATE(B2261:B5064,""en"",""fr"")"),"sujet")</f>
        <v>sujet</v>
      </c>
    </row>
    <row r="2262" ht="19.5" customHeight="1">
      <c r="A2262" s="26" t="s">
        <v>6105</v>
      </c>
      <c r="B2262" s="27" t="s">
        <v>6106</v>
      </c>
      <c r="C2262" s="28" t="s">
        <v>32</v>
      </c>
      <c r="D2262" s="29">
        <v>123.0</v>
      </c>
      <c r="E2262" s="28" t="s">
        <v>6107</v>
      </c>
      <c r="F2262" s="7" t="str">
        <f>IFERROR(__xludf.DUMMYFUNCTION("GOOGLETRANSLATE(B2262:B5064,""en"",""fr"")"),"lancer")</f>
        <v>lancer</v>
      </c>
    </row>
    <row r="2263" ht="19.5" customHeight="1">
      <c r="A2263" s="26" t="s">
        <v>6108</v>
      </c>
      <c r="B2263" s="27" t="s">
        <v>6109</v>
      </c>
      <c r="C2263" s="28" t="s">
        <v>178</v>
      </c>
      <c r="D2263" s="29">
        <v>123.0</v>
      </c>
      <c r="E2263" s="28" t="s">
        <v>6110</v>
      </c>
      <c r="F2263" s="7" t="str">
        <f>IFERROR(__xludf.DUMMYFUNCTION("GOOGLETRANSLATE(B2263:B5064,""en"",""fr"")"),"uniforme")</f>
        <v>uniforme</v>
      </c>
    </row>
    <row r="2264" ht="19.5" customHeight="1">
      <c r="A2264" s="26" t="s">
        <v>6111</v>
      </c>
      <c r="B2264" s="27" t="s">
        <v>6112</v>
      </c>
      <c r="C2264" s="28" t="s">
        <v>178</v>
      </c>
      <c r="D2264" s="29">
        <v>123.0</v>
      </c>
      <c r="E2264" s="28" t="s">
        <v>6113</v>
      </c>
      <c r="F2264" s="7" t="str">
        <f>IFERROR(__xludf.DUMMYFUNCTION("GOOGLETRANSLATE(B2264:B5064,""en"",""fr"")"),"violence")</f>
        <v>violence</v>
      </c>
    </row>
    <row r="2265" ht="19.5" customHeight="1">
      <c r="A2265" s="26" t="s">
        <v>6114</v>
      </c>
      <c r="B2265" s="27" t="s">
        <v>6115</v>
      </c>
      <c r="C2265" s="28" t="s">
        <v>134</v>
      </c>
      <c r="D2265" s="29">
        <v>123.0</v>
      </c>
      <c r="E2265" s="28" t="s">
        <v>6116</v>
      </c>
      <c r="F2265" s="7" t="str">
        <f>IFERROR(__xludf.DUMMYFUNCTION("GOOGLETRANSLATE(B2265:B5064,""en"",""fr"")"),"large")</f>
        <v>large</v>
      </c>
    </row>
    <row r="2266" ht="19.5" customHeight="1">
      <c r="A2266" s="26" t="s">
        <v>6117</v>
      </c>
      <c r="B2266" s="27" t="s">
        <v>6118</v>
      </c>
      <c r="C2266" s="28" t="s">
        <v>178</v>
      </c>
      <c r="D2266" s="29">
        <v>123.0</v>
      </c>
      <c r="E2266" s="28" t="s">
        <v>6119</v>
      </c>
      <c r="F2266" s="7" t="str">
        <f>IFERROR(__xludf.DUMMYFUNCTION("GOOGLETRANSLATE(B2266:B5064,""en"",""fr"")"),"zoo")</f>
        <v>zoo</v>
      </c>
    </row>
    <row r="2267" ht="19.5" customHeight="1">
      <c r="A2267" s="26" t="s">
        <v>6120</v>
      </c>
      <c r="B2267" s="27" t="s">
        <v>6121</v>
      </c>
      <c r="C2267" s="28" t="s">
        <v>85</v>
      </c>
      <c r="D2267" s="29">
        <v>122.0</v>
      </c>
      <c r="E2267" s="28" t="s">
        <v>6121</v>
      </c>
      <c r="F2267" s="7" t="str">
        <f>IFERROR(__xludf.DUMMYFUNCTION("GOOGLETRANSLATE(B2267:B5064,""en"",""fr"")"),"huer")</f>
        <v>huer</v>
      </c>
    </row>
    <row r="2268" ht="19.5" customHeight="1">
      <c r="A2268" s="26" t="s">
        <v>6122</v>
      </c>
      <c r="B2268" s="27" t="s">
        <v>6123</v>
      </c>
      <c r="C2268" s="28" t="s">
        <v>178</v>
      </c>
      <c r="D2268" s="29">
        <v>122.0</v>
      </c>
      <c r="E2268" s="28" t="s">
        <v>6124</v>
      </c>
      <c r="F2268" s="7" t="str">
        <f>IFERROR(__xludf.DUMMYFUNCTION("GOOGLETRANSLATE(B2268:B5064,""en"",""fr"")"),"connerie")</f>
        <v>connerie</v>
      </c>
    </row>
    <row r="2269" ht="19.5" customHeight="1">
      <c r="A2269" s="26" t="s">
        <v>6125</v>
      </c>
      <c r="B2269" s="27" t="s">
        <v>6126</v>
      </c>
      <c r="C2269" s="28" t="s">
        <v>134</v>
      </c>
      <c r="D2269" s="29">
        <v>122.0</v>
      </c>
      <c r="E2269" s="28" t="s">
        <v>6127</v>
      </c>
      <c r="F2269" s="7" t="str">
        <f>IFERROR(__xludf.DUMMYFUNCTION("GOOGLETRANSLATE(B2269:B5064,""en"",""fr"")"),"cruel")</f>
        <v>cruel</v>
      </c>
    </row>
    <row r="2270" ht="19.5" customHeight="1">
      <c r="A2270" s="26" t="s">
        <v>6128</v>
      </c>
      <c r="B2270" s="27" t="s">
        <v>6129</v>
      </c>
      <c r="C2270" s="28" t="s">
        <v>32</v>
      </c>
      <c r="D2270" s="29">
        <v>122.0</v>
      </c>
      <c r="E2270" s="28" t="s">
        <v>6130</v>
      </c>
      <c r="F2270" s="7" t="str">
        <f>IFERROR(__xludf.DUMMYFUNCTION("GOOGLETRANSLATE(B2270:B5064,""en"",""fr"")"),"cadran")</f>
        <v>cadran</v>
      </c>
    </row>
    <row r="2271" ht="19.5" customHeight="1">
      <c r="A2271" s="26" t="s">
        <v>6131</v>
      </c>
      <c r="B2271" s="27" t="s">
        <v>6132</v>
      </c>
      <c r="C2271" s="28" t="s">
        <v>178</v>
      </c>
      <c r="D2271" s="29">
        <v>122.0</v>
      </c>
      <c r="E2271" s="28" t="s">
        <v>6132</v>
      </c>
      <c r="F2271" s="7" t="str">
        <f>IFERROR(__xludf.DUMMYFUNCTION("GOOGLETRANSLATE(B2271:B5064,""en"",""fr"")"),"jeans")</f>
        <v>jeans</v>
      </c>
    </row>
    <row r="2272" ht="19.5" customHeight="1">
      <c r="A2272" s="26" t="s">
        <v>6133</v>
      </c>
      <c r="B2272" s="27" t="s">
        <v>6134</v>
      </c>
      <c r="C2272" s="28" t="s">
        <v>178</v>
      </c>
      <c r="D2272" s="29">
        <v>122.0</v>
      </c>
      <c r="E2272" s="28" t="s">
        <v>6135</v>
      </c>
      <c r="F2272" s="7" t="str">
        <f>IFERROR(__xludf.DUMMYFUNCTION("GOOGLETRANSLATE(B2272:B5064,""en"",""fr"")"),"pile")</f>
        <v>pile</v>
      </c>
    </row>
    <row r="2273" ht="19.5" customHeight="1">
      <c r="A2273" s="26" t="s">
        <v>6136</v>
      </c>
      <c r="B2273" s="27" t="s">
        <v>6137</v>
      </c>
      <c r="C2273" s="28" t="s">
        <v>178</v>
      </c>
      <c r="D2273" s="29">
        <v>122.0</v>
      </c>
      <c r="E2273" s="28" t="s">
        <v>6138</v>
      </c>
      <c r="F2273" s="7" t="str">
        <f>IFERROR(__xludf.DUMMYFUNCTION("GOOGLETRANSLATE(B2273:B5064,""en"",""fr"")"),"poison")</f>
        <v>poison</v>
      </c>
    </row>
    <row r="2274" ht="19.5" customHeight="1">
      <c r="A2274" s="26" t="s">
        <v>6139</v>
      </c>
      <c r="B2274" s="27" t="s">
        <v>6140</v>
      </c>
      <c r="C2274" s="28" t="s">
        <v>134</v>
      </c>
      <c r="D2274" s="29">
        <v>122.0</v>
      </c>
      <c r="E2274" s="28" t="s">
        <v>6141</v>
      </c>
      <c r="F2274" s="7" t="str">
        <f>IFERROR(__xludf.DUMMYFUNCTION("GOOGLETRANSLATE(B2274:B5064,""en"",""fr"")"),"pur")</f>
        <v>pur</v>
      </c>
    </row>
    <row r="2275" ht="19.5" customHeight="1">
      <c r="A2275" s="26" t="s">
        <v>6142</v>
      </c>
      <c r="B2275" s="27" t="s">
        <v>6143</v>
      </c>
      <c r="C2275" s="28" t="s">
        <v>178</v>
      </c>
      <c r="D2275" s="29">
        <v>122.0</v>
      </c>
      <c r="E2275" s="28" t="s">
        <v>6144</v>
      </c>
      <c r="F2275" s="7" t="str">
        <f>IFERROR(__xludf.DUMMYFUNCTION("GOOGLETRANSLATE(B2275:B5064,""en"",""fr"")"),"romance")</f>
        <v>romance</v>
      </c>
    </row>
    <row r="2276" ht="19.5" customHeight="1">
      <c r="A2276" s="26" t="s">
        <v>6145</v>
      </c>
      <c r="B2276" s="27" t="s">
        <v>6146</v>
      </c>
      <c r="C2276" s="28" t="s">
        <v>178</v>
      </c>
      <c r="D2276" s="29">
        <v>122.0</v>
      </c>
      <c r="E2276" s="28" t="s">
        <v>6147</v>
      </c>
      <c r="F2276" s="7" t="str">
        <f>IFERROR(__xludf.DUMMYFUNCTION("GOOGLETRANSLATE(B2276:B5064,""en"",""fr"")"),"esclave")</f>
        <v>esclave</v>
      </c>
    </row>
    <row r="2277" ht="19.5" customHeight="1">
      <c r="A2277" s="26" t="s">
        <v>6148</v>
      </c>
      <c r="B2277" s="27" t="s">
        <v>6149</v>
      </c>
      <c r="C2277" s="28" t="s">
        <v>100</v>
      </c>
      <c r="D2277" s="29">
        <v>122.0</v>
      </c>
      <c r="E2277" s="28" t="s">
        <v>6150</v>
      </c>
      <c r="F2277" s="7" t="str">
        <f>IFERROR(__xludf.DUMMYFUNCTION("GOOGLETRANSLATE(B2277:B5064,""en"",""fr"")"),"lentement")</f>
        <v>lentement</v>
      </c>
    </row>
    <row r="2278" ht="19.5" customHeight="1">
      <c r="A2278" s="26" t="s">
        <v>6151</v>
      </c>
      <c r="B2278" s="27" t="s">
        <v>6152</v>
      </c>
      <c r="C2278" s="28" t="s">
        <v>134</v>
      </c>
      <c r="D2278" s="29">
        <v>121.0</v>
      </c>
      <c r="E2278" s="28" t="s">
        <v>6152</v>
      </c>
      <c r="F2278" s="7" t="str">
        <f>IFERROR(__xludf.DUMMYFUNCTION("GOOGLETRANSLATE(B2278:B5064,""en"",""fr"")"),"éveillé")</f>
        <v>éveillé</v>
      </c>
    </row>
    <row r="2279" ht="19.5" customHeight="1">
      <c r="A2279" s="26" t="s">
        <v>6153</v>
      </c>
      <c r="B2279" s="27" t="s">
        <v>6154</v>
      </c>
      <c r="C2279" s="28" t="s">
        <v>178</v>
      </c>
      <c r="D2279" s="29">
        <v>121.0</v>
      </c>
      <c r="E2279" s="28" t="s">
        <v>6155</v>
      </c>
      <c r="F2279" s="7" t="str">
        <f>IFERROR(__xludf.DUMMYFUNCTION("GOOGLETRANSLATE(B2279:B5064,""en"",""fr"")"),"ventre")</f>
        <v>ventre</v>
      </c>
    </row>
    <row r="2280" ht="19.5" customHeight="1">
      <c r="A2280" s="26" t="s">
        <v>6156</v>
      </c>
      <c r="B2280" s="27" t="s">
        <v>6157</v>
      </c>
      <c r="C2280" s="28" t="s">
        <v>178</v>
      </c>
      <c r="D2280" s="29">
        <v>121.0</v>
      </c>
      <c r="E2280" s="28" t="s">
        <v>6158</v>
      </c>
      <c r="F2280" s="7" t="str">
        <f>IFERROR(__xludf.DUMMYFUNCTION("GOOGLETRANSLATE(B2280:B5064,""en"",""fr"")"),"stand")</f>
        <v>stand</v>
      </c>
    </row>
    <row r="2281" ht="19.5" customHeight="1">
      <c r="A2281" s="26" t="s">
        <v>6159</v>
      </c>
      <c r="B2281" s="27" t="s">
        <v>6160</v>
      </c>
      <c r="C2281" s="28" t="s">
        <v>134</v>
      </c>
      <c r="D2281" s="29">
        <v>121.0</v>
      </c>
      <c r="E2281" s="28" t="s">
        <v>6161</v>
      </c>
      <c r="F2281" s="7" t="str">
        <f>IFERROR(__xludf.DUMMYFUNCTION("GOOGLETRANSLATE(B2281:B5064,""en"",""fr"")"),"doux")</f>
        <v>doux</v>
      </c>
    </row>
    <row r="2282" ht="19.5" customHeight="1">
      <c r="A2282" s="26" t="s">
        <v>6162</v>
      </c>
      <c r="B2282" s="27" t="s">
        <v>6163</v>
      </c>
      <c r="C2282" s="28" t="s">
        <v>178</v>
      </c>
      <c r="D2282" s="29">
        <v>121.0</v>
      </c>
      <c r="E2282" s="28" t="s">
        <v>6164</v>
      </c>
      <c r="F2282" s="7" t="str">
        <f>IFERROR(__xludf.DUMMYFUNCTION("GOOGLETRANSLATE(B2282:B5064,""en"",""fr"")"),"opéra")</f>
        <v>opéra</v>
      </c>
    </row>
    <row r="2283" ht="19.5" customHeight="1">
      <c r="A2283" s="26" t="s">
        <v>6165</v>
      </c>
      <c r="B2283" s="27" t="s">
        <v>6166</v>
      </c>
      <c r="C2283" s="28" t="s">
        <v>178</v>
      </c>
      <c r="D2283" s="29">
        <v>121.0</v>
      </c>
      <c r="E2283" s="28" t="s">
        <v>6167</v>
      </c>
      <c r="F2283" s="7" t="str">
        <f>IFERROR(__xludf.DUMMYFUNCTION("GOOGLETRANSLATE(B2283:B5064,""en"",""fr"")"),"tuyau")</f>
        <v>tuyau</v>
      </c>
    </row>
    <row r="2284" ht="19.5" customHeight="1">
      <c r="A2284" s="26" t="s">
        <v>6168</v>
      </c>
      <c r="B2284" s="27" t="s">
        <v>6169</v>
      </c>
      <c r="C2284" s="28" t="s">
        <v>178</v>
      </c>
      <c r="D2284" s="29">
        <v>121.0</v>
      </c>
      <c r="E2284" s="28" t="s">
        <v>6170</v>
      </c>
      <c r="F2284" s="7" t="str">
        <f>IFERROR(__xludf.DUMMYFUNCTION("GOOGLETRANSLATE(B2284:B5064,""en"",""fr"")"),"affiche")</f>
        <v>affiche</v>
      </c>
    </row>
    <row r="2285" ht="19.5" customHeight="1">
      <c r="A2285" s="26" t="s">
        <v>6171</v>
      </c>
      <c r="B2285" s="27" t="s">
        <v>6172</v>
      </c>
      <c r="C2285" s="28" t="s">
        <v>728</v>
      </c>
      <c r="D2285" s="29">
        <v>121.0</v>
      </c>
      <c r="E2285" s="28" t="s">
        <v>6173</v>
      </c>
      <c r="F2285" s="7" t="str">
        <f>IFERROR(__xludf.DUMMYFUNCTION("GOOGLETRANSLATE(B2285:B5064,""en"",""fr"")"),"russe")</f>
        <v>russe</v>
      </c>
    </row>
    <row r="2286" ht="19.5" customHeight="1">
      <c r="A2286" s="26" t="s">
        <v>6174</v>
      </c>
      <c r="B2286" s="27" t="s">
        <v>6175</v>
      </c>
      <c r="C2286" s="28" t="s">
        <v>32</v>
      </c>
      <c r="D2286" s="29">
        <v>121.0</v>
      </c>
      <c r="E2286" s="28" t="s">
        <v>6176</v>
      </c>
      <c r="F2286" s="7" t="str">
        <f>IFERROR(__xludf.DUMMYFUNCTION("GOOGLETRANSLATE(B2286:B5064,""en"",""fr"")"),"balayer")</f>
        <v>balayer</v>
      </c>
    </row>
    <row r="2287" ht="19.5" customHeight="1">
      <c r="A2287" s="26" t="s">
        <v>6177</v>
      </c>
      <c r="B2287" s="27" t="s">
        <v>6178</v>
      </c>
      <c r="C2287" s="28" t="s">
        <v>178</v>
      </c>
      <c r="D2287" s="29">
        <v>121.0</v>
      </c>
      <c r="E2287" s="28" t="s">
        <v>6179</v>
      </c>
      <c r="F2287" s="7" t="str">
        <f>IFERROR(__xludf.DUMMYFUNCTION("GOOGLETRANSLATE(B2287:B5064,""en"",""fr"")"),"épée")</f>
        <v>épée</v>
      </c>
    </row>
    <row r="2288" ht="19.5" customHeight="1">
      <c r="A2288" s="26" t="s">
        <v>6180</v>
      </c>
      <c r="B2288" s="27" t="s">
        <v>6181</v>
      </c>
      <c r="C2288" s="28" t="s">
        <v>134</v>
      </c>
      <c r="D2288" s="29">
        <v>121.0</v>
      </c>
      <c r="E2288" s="28" t="s">
        <v>6181</v>
      </c>
      <c r="F2288" s="7" t="str">
        <f>IFERROR(__xludf.DUMMYFUNCTION("GOOGLETRANSLATE(B2288:B5064,""en"",""fr"")"),"ultime")</f>
        <v>ultime</v>
      </c>
    </row>
    <row r="2289" ht="19.5" customHeight="1">
      <c r="A2289" s="26" t="s">
        <v>6182</v>
      </c>
      <c r="B2289" s="27" t="s">
        <v>6183</v>
      </c>
      <c r="C2289" s="28" t="s">
        <v>178</v>
      </c>
      <c r="D2289" s="29">
        <v>120.0</v>
      </c>
      <c r="E2289" s="28" t="s">
        <v>6184</v>
      </c>
      <c r="F2289" s="7" t="str">
        <f>IFERROR(__xludf.DUMMYFUNCTION("GOOGLETRANSLATE(B2289:B5064,""en"",""fr"")"),"débat")</f>
        <v>débat</v>
      </c>
    </row>
    <row r="2290" ht="19.5" customHeight="1">
      <c r="A2290" s="26" t="s">
        <v>6185</v>
      </c>
      <c r="B2290" s="27" t="s">
        <v>6186</v>
      </c>
      <c r="C2290" s="28" t="s">
        <v>32</v>
      </c>
      <c r="D2290" s="29">
        <v>120.0</v>
      </c>
      <c r="E2290" s="28" t="s">
        <v>6187</v>
      </c>
      <c r="F2290" s="7" t="str">
        <f>IFERROR(__xludf.DUMMYFUNCTION("GOOGLETRANSLATE(B2290:B5064,""en"",""fr"")"),"exploser")</f>
        <v>exploser</v>
      </c>
    </row>
    <row r="2291" ht="19.5" customHeight="1">
      <c r="A2291" s="26" t="s">
        <v>6188</v>
      </c>
      <c r="B2291" s="27" t="s">
        <v>6189</v>
      </c>
      <c r="C2291" s="28" t="s">
        <v>32</v>
      </c>
      <c r="D2291" s="29">
        <v>120.0</v>
      </c>
      <c r="E2291" s="28" t="s">
        <v>6190</v>
      </c>
      <c r="F2291" s="7" t="str">
        <f>IFERROR(__xludf.DUMMYFUNCTION("GOOGLETRANSLATE(B2291:B5064,""en"",""fr"")"),"flotter")</f>
        <v>flotter</v>
      </c>
    </row>
    <row r="2292" ht="19.5" customHeight="1">
      <c r="A2292" s="26" t="s">
        <v>6191</v>
      </c>
      <c r="B2292" s="27" t="s">
        <v>6192</v>
      </c>
      <c r="C2292" s="28" t="s">
        <v>178</v>
      </c>
      <c r="D2292" s="29">
        <v>120.0</v>
      </c>
      <c r="E2292" s="28" t="s">
        <v>6192</v>
      </c>
      <c r="F2292" s="7" t="str">
        <f>IFERROR(__xludf.DUMMYFUNCTION("GOOGLETRANSLATE(B2292:B5064,""en"",""fr"")"),"justice")</f>
        <v>justice</v>
      </c>
    </row>
    <row r="2293" ht="19.5" customHeight="1">
      <c r="A2293" s="26" t="s">
        <v>6193</v>
      </c>
      <c r="B2293" s="27" t="s">
        <v>1470</v>
      </c>
      <c r="C2293" s="28" t="s">
        <v>178</v>
      </c>
      <c r="D2293" s="29">
        <v>120.0</v>
      </c>
      <c r="E2293" s="28" t="s">
        <v>6194</v>
      </c>
      <c r="F2293" s="7" t="str">
        <f>IFERROR(__xludf.DUMMYFUNCTION("GOOGLETRANSLATE(B2293:B5064,""en"",""fr"")"),"coup")</f>
        <v>coup</v>
      </c>
    </row>
    <row r="2294" ht="19.5" customHeight="1">
      <c r="A2294" s="26" t="s">
        <v>6195</v>
      </c>
      <c r="B2294" s="27" t="s">
        <v>6196</v>
      </c>
      <c r="C2294" s="28" t="s">
        <v>178</v>
      </c>
      <c r="D2294" s="29">
        <v>120.0</v>
      </c>
      <c r="E2294" s="28" t="s">
        <v>6197</v>
      </c>
      <c r="F2294" s="7" t="str">
        <f>IFERROR(__xludf.DUMMYFUNCTION("GOOGLETRANSLATE(B2294:B5064,""en"",""fr"")"),"poker")</f>
        <v>poker</v>
      </c>
    </row>
    <row r="2295" ht="19.5" customHeight="1">
      <c r="A2295" s="26" t="s">
        <v>6198</v>
      </c>
      <c r="B2295" s="27" t="s">
        <v>6199</v>
      </c>
      <c r="C2295" s="28" t="s">
        <v>178</v>
      </c>
      <c r="D2295" s="29">
        <v>120.0</v>
      </c>
      <c r="E2295" s="28" t="s">
        <v>6200</v>
      </c>
      <c r="F2295" s="7" t="str">
        <f>IFERROR(__xludf.DUMMYFUNCTION("GOOGLETRANSLATE(B2295:B5064,""en"",""fr"")"),"fierté")</f>
        <v>fierté</v>
      </c>
    </row>
    <row r="2296" ht="19.5" customHeight="1">
      <c r="A2296" s="26" t="s">
        <v>6201</v>
      </c>
      <c r="B2296" s="27" t="s">
        <v>6202</v>
      </c>
      <c r="C2296" s="28" t="s">
        <v>32</v>
      </c>
      <c r="D2296" s="29">
        <v>120.0</v>
      </c>
      <c r="E2296" s="28" t="s">
        <v>6203</v>
      </c>
      <c r="F2296" s="7" t="str">
        <f>IFERROR(__xludf.DUMMYFUNCTION("GOOGLETRANSLATE(B2296:B5064,""en"",""fr"")"),"psychisme")</f>
        <v>psychisme</v>
      </c>
    </row>
    <row r="2297" ht="19.5" customHeight="1">
      <c r="A2297" s="26" t="s">
        <v>6204</v>
      </c>
      <c r="B2297" s="27" t="s">
        <v>4858</v>
      </c>
      <c r="C2297" s="28" t="s">
        <v>32</v>
      </c>
      <c r="D2297" s="29">
        <v>120.0</v>
      </c>
      <c r="E2297" s="28" t="s">
        <v>6205</v>
      </c>
      <c r="F2297" s="7" t="str">
        <f>IFERROR(__xludf.DUMMYFUNCTION("GOOGLETRANSLATE(B2297:B5064,""en"",""fr"")"),"pluie")</f>
        <v>pluie</v>
      </c>
    </row>
    <row r="2298" ht="19.5" customHeight="1">
      <c r="A2298" s="26" t="s">
        <v>6206</v>
      </c>
      <c r="B2298" s="27" t="s">
        <v>6207</v>
      </c>
      <c r="C2298" s="28" t="s">
        <v>134</v>
      </c>
      <c r="D2298" s="29">
        <v>120.0</v>
      </c>
      <c r="E2298" s="28" t="s">
        <v>6208</v>
      </c>
      <c r="F2298" s="7" t="str">
        <f>IFERROR(__xludf.DUMMYFUNCTION("GOOGLETRANSLATE(B2298:B5064,""en"",""fr"")"),"rare")</f>
        <v>rare</v>
      </c>
    </row>
    <row r="2299" ht="19.5" customHeight="1">
      <c r="A2299" s="26" t="s">
        <v>6209</v>
      </c>
      <c r="B2299" s="27" t="s">
        <v>6210</v>
      </c>
      <c r="C2299" s="28" t="s">
        <v>178</v>
      </c>
      <c r="D2299" s="29">
        <v>120.0</v>
      </c>
      <c r="E2299" s="28" t="s">
        <v>6211</v>
      </c>
      <c r="F2299" s="7" t="str">
        <f>IFERROR(__xludf.DUMMYFUNCTION("GOOGLETRANSLATE(B2299:B5064,""en"",""fr"")"),"rumeur")</f>
        <v>rumeur</v>
      </c>
    </row>
    <row r="2300" ht="19.5" customHeight="1">
      <c r="A2300" s="26" t="s">
        <v>6212</v>
      </c>
      <c r="B2300" s="27" t="s">
        <v>6213</v>
      </c>
      <c r="C2300" s="28" t="s">
        <v>178</v>
      </c>
      <c r="D2300" s="29">
        <v>120.0</v>
      </c>
      <c r="E2300" s="28" t="s">
        <v>6214</v>
      </c>
      <c r="F2300" s="7" t="str">
        <f>IFERROR(__xludf.DUMMYFUNCTION("GOOGLETRANSLATE(B2300:B5064,""en"",""fr"")"),"titre")</f>
        <v>titre</v>
      </c>
    </row>
    <row r="2301" ht="19.5" customHeight="1">
      <c r="A2301" s="26" t="s">
        <v>6215</v>
      </c>
      <c r="B2301" s="27" t="s">
        <v>6216</v>
      </c>
      <c r="C2301" s="28" t="s">
        <v>178</v>
      </c>
      <c r="D2301" s="29">
        <v>120.0</v>
      </c>
      <c r="E2301" s="28" t="s">
        <v>6217</v>
      </c>
      <c r="F2301" s="7" t="str">
        <f>IFERROR(__xludf.DUMMYFUNCTION("GOOGLETRANSLATE(B2301:B5064,""en"",""fr"")"),"vision")</f>
        <v>vision</v>
      </c>
    </row>
    <row r="2302" ht="19.5" customHeight="1">
      <c r="A2302" s="26" t="s">
        <v>6218</v>
      </c>
      <c r="B2302" s="27" t="s">
        <v>6219</v>
      </c>
      <c r="C2302" s="28" t="s">
        <v>32</v>
      </c>
      <c r="D2302" s="29">
        <v>120.0</v>
      </c>
      <c r="E2302" s="28" t="s">
        <v>6220</v>
      </c>
      <c r="F2302" s="7" t="str">
        <f>IFERROR(__xludf.DUMMYFUNCTION("GOOGLETRANSLATE(B2302:B5064,""en"",""fr"")"),"lutter")</f>
        <v>lutter</v>
      </c>
    </row>
    <row r="2303" ht="19.5" customHeight="1">
      <c r="A2303" s="26" t="s">
        <v>6221</v>
      </c>
      <c r="B2303" s="27" t="s">
        <v>6222</v>
      </c>
      <c r="C2303" s="28" t="s">
        <v>178</v>
      </c>
      <c r="D2303" s="29">
        <v>119.0</v>
      </c>
      <c r="E2303" s="28" t="s">
        <v>6223</v>
      </c>
      <c r="F2303" s="7" t="str">
        <f>IFERROR(__xludf.DUMMYFUNCTION("GOOGLETRANSLATE(B2303:B5064,""en"",""fr"")"),"colonne")</f>
        <v>colonne</v>
      </c>
    </row>
    <row r="2304" ht="19.5" customHeight="1">
      <c r="A2304" s="26" t="s">
        <v>6224</v>
      </c>
      <c r="B2304" s="27" t="s">
        <v>6225</v>
      </c>
      <c r="C2304" s="28" t="s">
        <v>32</v>
      </c>
      <c r="D2304" s="29">
        <v>119.0</v>
      </c>
      <c r="E2304" s="28" t="s">
        <v>6226</v>
      </c>
      <c r="F2304" s="7" t="str">
        <f>IFERROR(__xludf.DUMMYFUNCTION("GOOGLETRANSLATE(B2304:B5064,""en"",""fr"")"),"connecter")</f>
        <v>connecter</v>
      </c>
    </row>
    <row r="2305" ht="19.5" customHeight="1">
      <c r="A2305" s="26" t="s">
        <v>6227</v>
      </c>
      <c r="B2305" s="27" t="s">
        <v>6228</v>
      </c>
      <c r="C2305" s="28" t="s">
        <v>178</v>
      </c>
      <c r="D2305" s="29">
        <v>119.0</v>
      </c>
      <c r="E2305" s="28" t="s">
        <v>6228</v>
      </c>
      <c r="F2305" s="7" t="str">
        <f>IFERROR(__xludf.DUMMYFUNCTION("GOOGLETRANSLATE(B2305:B5064,""en"",""fr"")"),"le hockey")</f>
        <v>le hockey</v>
      </c>
    </row>
    <row r="2306" ht="19.5" customHeight="1">
      <c r="A2306" s="26" t="s">
        <v>6229</v>
      </c>
      <c r="B2306" s="27" t="s">
        <v>3345</v>
      </c>
      <c r="C2306" s="28" t="s">
        <v>178</v>
      </c>
      <c r="D2306" s="29">
        <v>119.0</v>
      </c>
      <c r="E2306" s="28" t="s">
        <v>6230</v>
      </c>
      <c r="F2306" s="7" t="str">
        <f>IFERROR(__xludf.DUMMYFUNCTION("GOOGLETRANSLATE(B2306:B5064,""en"",""fr"")"),"crochet")</f>
        <v>crochet</v>
      </c>
    </row>
    <row r="2307" ht="19.5" customHeight="1">
      <c r="A2307" s="26" t="s">
        <v>6231</v>
      </c>
      <c r="B2307" s="27" t="s">
        <v>6232</v>
      </c>
      <c r="C2307" s="28" t="s">
        <v>32</v>
      </c>
      <c r="D2307" s="29">
        <v>119.0</v>
      </c>
      <c r="E2307" s="28" t="s">
        <v>6233</v>
      </c>
      <c r="F2307" s="7" t="str">
        <f>IFERROR(__xludf.DUMMYFUNCTION("GOOGLETRANSLATE(B2307:B5064,""en"",""fr"")"),"kidnapper")</f>
        <v>kidnapper</v>
      </c>
    </row>
    <row r="2308" ht="19.5" customHeight="1">
      <c r="A2308" s="26" t="s">
        <v>6234</v>
      </c>
      <c r="B2308" s="27" t="s">
        <v>6235</v>
      </c>
      <c r="C2308" s="28" t="s">
        <v>178</v>
      </c>
      <c r="D2308" s="29">
        <v>119.0</v>
      </c>
      <c r="E2308" s="28" t="s">
        <v>6236</v>
      </c>
      <c r="F2308" s="7" t="str">
        <f>IFERROR(__xludf.DUMMYFUNCTION("GOOGLETRANSLATE(B2308:B5064,""en"",""fr"")"),"limousine")</f>
        <v>limousine</v>
      </c>
    </row>
    <row r="2309" ht="19.5" customHeight="1">
      <c r="A2309" s="26" t="s">
        <v>6237</v>
      </c>
      <c r="B2309" s="27" t="s">
        <v>6238</v>
      </c>
      <c r="C2309" s="28" t="s">
        <v>134</v>
      </c>
      <c r="D2309" s="29">
        <v>119.0</v>
      </c>
      <c r="E2309" s="28" t="s">
        <v>6239</v>
      </c>
      <c r="F2309" s="7" t="str">
        <f>IFERROR(__xludf.DUMMYFUNCTION("GOOGLETRANSLATE(B2309:B5064,""en"",""fr"")"),"douloureux")</f>
        <v>douloureux</v>
      </c>
    </row>
    <row r="2310" ht="19.5" customHeight="1">
      <c r="A2310" s="26" t="s">
        <v>6240</v>
      </c>
      <c r="B2310" s="27" t="s">
        <v>6241</v>
      </c>
      <c r="C2310" s="28" t="s">
        <v>178</v>
      </c>
      <c r="D2310" s="29">
        <v>119.0</v>
      </c>
      <c r="E2310" s="28" t="s">
        <v>6242</v>
      </c>
      <c r="F2310" s="7" t="str">
        <f>IFERROR(__xludf.DUMMYFUNCTION("GOOGLETRANSLATE(B2310:B5064,""en"",""fr"")"),"chemin")</f>
        <v>chemin</v>
      </c>
    </row>
    <row r="2311" ht="19.5" customHeight="1">
      <c r="A2311" s="26" t="s">
        <v>6243</v>
      </c>
      <c r="B2311" s="27" t="s">
        <v>6244</v>
      </c>
      <c r="C2311" s="28" t="s">
        <v>178</v>
      </c>
      <c r="D2311" s="29">
        <v>119.0</v>
      </c>
      <c r="E2311" s="28" t="s">
        <v>6245</v>
      </c>
      <c r="F2311" s="7" t="str">
        <f>IFERROR(__xludf.DUMMYFUNCTION("GOOGLETRANSLATE(B2311:B5064,""en"",""fr"")"),"autorisation")</f>
        <v>autorisation</v>
      </c>
    </row>
    <row r="2312" ht="19.5" customHeight="1">
      <c r="A2312" s="26" t="s">
        <v>6246</v>
      </c>
      <c r="B2312" s="27" t="s">
        <v>6247</v>
      </c>
      <c r="C2312" s="28" t="s">
        <v>178</v>
      </c>
      <c r="D2312" s="29">
        <v>119.0</v>
      </c>
      <c r="E2312" s="28" t="s">
        <v>6248</v>
      </c>
      <c r="F2312" s="7" t="str">
        <f>IFERROR(__xludf.DUMMYFUNCTION("GOOGLETRANSLATE(B2312:B5064,""en"",""fr"")"),"prince")</f>
        <v>prince</v>
      </c>
    </row>
    <row r="2313" ht="19.5" customHeight="1">
      <c r="A2313" s="26" t="s">
        <v>6249</v>
      </c>
      <c r="B2313" s="27" t="s">
        <v>6250</v>
      </c>
      <c r="C2313" s="28" t="s">
        <v>178</v>
      </c>
      <c r="D2313" s="29">
        <v>119.0</v>
      </c>
      <c r="E2313" s="28" t="s">
        <v>6251</v>
      </c>
      <c r="F2313" s="7" t="str">
        <f>IFERROR(__xludf.DUMMYFUNCTION("GOOGLETRANSLATE(B2313:B5064,""en"",""fr"")"),"processus")</f>
        <v>processus</v>
      </c>
    </row>
    <row r="2314" ht="19.5" customHeight="1">
      <c r="A2314" s="26" t="s">
        <v>6252</v>
      </c>
      <c r="B2314" s="27" t="s">
        <v>6253</v>
      </c>
      <c r="C2314" s="28" t="s">
        <v>178</v>
      </c>
      <c r="D2314" s="29">
        <v>119.0</v>
      </c>
      <c r="E2314" s="28" t="s">
        <v>6254</v>
      </c>
      <c r="F2314" s="7" t="str">
        <f>IFERROR(__xludf.DUMMYFUNCTION("GOOGLETRANSLATE(B2314:B5064,""en"",""fr"")"),"sénateur")</f>
        <v>sénateur</v>
      </c>
    </row>
    <row r="2315" ht="19.5" customHeight="1">
      <c r="A2315" s="26" t="s">
        <v>6255</v>
      </c>
      <c r="B2315" s="27" t="s">
        <v>6256</v>
      </c>
      <c r="C2315" s="28" t="s">
        <v>32</v>
      </c>
      <c r="D2315" s="29">
        <v>119.0</v>
      </c>
      <c r="E2315" s="28" t="s">
        <v>6257</v>
      </c>
      <c r="F2315" s="7" t="str">
        <f>IFERROR(__xludf.DUMMYFUNCTION("GOOGLETRANSLATE(B2315:B5064,""en"",""fr"")"),"fracasser")</f>
        <v>fracasser</v>
      </c>
    </row>
    <row r="2316" ht="19.5" customHeight="1">
      <c r="A2316" s="26" t="s">
        <v>6258</v>
      </c>
      <c r="B2316" s="27" t="s">
        <v>234</v>
      </c>
      <c r="C2316" s="28" t="s">
        <v>134</v>
      </c>
      <c r="D2316" s="29">
        <v>119.0</v>
      </c>
      <c r="E2316" s="28" t="s">
        <v>6259</v>
      </c>
      <c r="F2316" s="7" t="str">
        <f>IFERROR(__xludf.DUMMYFUNCTION("GOOGLETRANSLATE(B2316:B5064,""en"",""fr"")"),"signifier")</f>
        <v>signifier</v>
      </c>
    </row>
    <row r="2317" ht="19.5" customHeight="1">
      <c r="A2317" s="26" t="s">
        <v>6260</v>
      </c>
      <c r="B2317" s="27" t="s">
        <v>6261</v>
      </c>
      <c r="C2317" s="28" t="s">
        <v>100</v>
      </c>
      <c r="D2317" s="29">
        <v>118.0</v>
      </c>
      <c r="E2317" s="28" t="s">
        <v>6261</v>
      </c>
      <c r="F2317" s="7" t="str">
        <f>IFERROR(__xludf.DUMMYFUNCTION("GOOGLETRANSLATE(B2317:B5064,""en"",""fr"")"),"à tout moment")</f>
        <v>à tout moment</v>
      </c>
    </row>
    <row r="2318" ht="19.5" customHeight="1">
      <c r="A2318" s="26" t="s">
        <v>6262</v>
      </c>
      <c r="B2318" s="27" t="s">
        <v>232</v>
      </c>
      <c r="C2318" s="28" t="s">
        <v>134</v>
      </c>
      <c r="D2318" s="29">
        <v>118.0</v>
      </c>
      <c r="E2318" s="28" t="s">
        <v>232</v>
      </c>
      <c r="F2318" s="7" t="str">
        <f>IFERROR(__xludf.DUMMYFUNCTION("GOOGLETRANSLATE(B2318:B5064,""en"",""fr"")"),"dos")</f>
        <v>dos</v>
      </c>
    </row>
    <row r="2319" ht="19.5" customHeight="1">
      <c r="A2319" s="26" t="s">
        <v>6263</v>
      </c>
      <c r="B2319" s="27" t="s">
        <v>6264</v>
      </c>
      <c r="C2319" s="28" t="s">
        <v>178</v>
      </c>
      <c r="D2319" s="29">
        <v>118.0</v>
      </c>
      <c r="E2319" s="28" t="s">
        <v>6265</v>
      </c>
      <c r="F2319" s="7" t="str">
        <f>IFERROR(__xludf.DUMMYFUNCTION("GOOGLETRANSLATE(B2319:B5064,""en"",""fr"")"),"chauve souris")</f>
        <v>chauve souris</v>
      </c>
    </row>
    <row r="2320" ht="19.5" customHeight="1">
      <c r="A2320" s="26" t="s">
        <v>6266</v>
      </c>
      <c r="B2320" s="27" t="s">
        <v>6267</v>
      </c>
      <c r="C2320" s="28" t="s">
        <v>178</v>
      </c>
      <c r="D2320" s="29">
        <v>118.0</v>
      </c>
      <c r="E2320" s="28" t="s">
        <v>6268</v>
      </c>
      <c r="F2320" s="7" t="str">
        <f>IFERROR(__xludf.DUMMYFUNCTION("GOOGLETRANSLATE(B2320:B5064,""en"",""fr"")"),"cérémonie")</f>
        <v>cérémonie</v>
      </c>
    </row>
    <row r="2321" ht="19.5" customHeight="1">
      <c r="A2321" s="26" t="s">
        <v>6269</v>
      </c>
      <c r="B2321" s="27" t="s">
        <v>6270</v>
      </c>
      <c r="C2321" s="28" t="s">
        <v>32</v>
      </c>
      <c r="D2321" s="29">
        <v>118.0</v>
      </c>
      <c r="E2321" s="28" t="s">
        <v>6271</v>
      </c>
      <c r="F2321" s="7" t="str">
        <f>IFERROR(__xludf.DUMMYFUNCTION("GOOGLETRANSLATE(B2321:B5064,""en"",""fr"")"),"déclarer")</f>
        <v>déclarer</v>
      </c>
    </row>
    <row r="2322" ht="19.5" customHeight="1">
      <c r="A2322" s="26" t="s">
        <v>6272</v>
      </c>
      <c r="B2322" s="27" t="s">
        <v>6273</v>
      </c>
      <c r="C2322" s="28" t="s">
        <v>134</v>
      </c>
      <c r="D2322" s="29">
        <v>118.0</v>
      </c>
      <c r="E2322" s="28" t="s">
        <v>6273</v>
      </c>
      <c r="F2322" s="7" t="str">
        <f>IFERROR(__xludf.DUMMYFUNCTION("GOOGLETRANSLATE(B2322:B5064,""en"",""fr"")"),"utile")</f>
        <v>utile</v>
      </c>
    </row>
    <row r="2323" ht="19.5" customHeight="1">
      <c r="A2323" s="26" t="s">
        <v>6274</v>
      </c>
      <c r="B2323" s="27" t="s">
        <v>6275</v>
      </c>
      <c r="C2323" s="28" t="s">
        <v>178</v>
      </c>
      <c r="D2323" s="29">
        <v>118.0</v>
      </c>
      <c r="E2323" s="28" t="s">
        <v>6276</v>
      </c>
      <c r="F2323" s="7" t="str">
        <f>IFERROR(__xludf.DUMMYFUNCTION("GOOGLETRANSLATE(B2323:B5064,""en"",""fr"")"),"fer")</f>
        <v>fer</v>
      </c>
    </row>
    <row r="2324" ht="19.5" customHeight="1">
      <c r="A2324" s="26" t="s">
        <v>6277</v>
      </c>
      <c r="B2324" s="27" t="s">
        <v>1076</v>
      </c>
      <c r="C2324" s="28" t="s">
        <v>32</v>
      </c>
      <c r="D2324" s="29">
        <v>118.0</v>
      </c>
      <c r="E2324" s="28" t="s">
        <v>6278</v>
      </c>
      <c r="F2324" s="7" t="str">
        <f>IFERROR(__xludf.DUMMYFUNCTION("GOOGLETRANSLATE(B2324:B5064,""en"",""fr"")"),"image")</f>
        <v>image</v>
      </c>
    </row>
    <row r="2325" ht="19.5" customHeight="1">
      <c r="A2325" s="26" t="s">
        <v>6279</v>
      </c>
      <c r="B2325" s="27" t="s">
        <v>6280</v>
      </c>
      <c r="C2325" s="28" t="s">
        <v>32</v>
      </c>
      <c r="D2325" s="29">
        <v>118.0</v>
      </c>
      <c r="E2325" s="28" t="s">
        <v>6281</v>
      </c>
      <c r="F2325" s="7" t="str">
        <f>IFERROR(__xludf.DUMMYFUNCTION("GOOGLETRANSLATE(B2325:B5064,""en"",""fr"")"),"imprimer")</f>
        <v>imprimer</v>
      </c>
    </row>
    <row r="2326" ht="19.5" customHeight="1">
      <c r="A2326" s="26" t="s">
        <v>6282</v>
      </c>
      <c r="B2326" s="27" t="s">
        <v>6283</v>
      </c>
      <c r="C2326" s="28" t="s">
        <v>178</v>
      </c>
      <c r="D2326" s="29">
        <v>118.0</v>
      </c>
      <c r="E2326" s="28" t="s">
        <v>6284</v>
      </c>
      <c r="F2326" s="7" t="str">
        <f>IFERROR(__xludf.DUMMYFUNCTION("GOOGLETRANSLATE(B2326:B5064,""en"",""fr"")"),"corde")</f>
        <v>corde</v>
      </c>
    </row>
    <row r="2327" ht="19.5" customHeight="1">
      <c r="A2327" s="26" t="s">
        <v>6285</v>
      </c>
      <c r="B2327" s="27" t="s">
        <v>6286</v>
      </c>
      <c r="C2327" s="28" t="s">
        <v>32</v>
      </c>
      <c r="D2327" s="29">
        <v>118.0</v>
      </c>
      <c r="E2327" s="28" t="s">
        <v>6287</v>
      </c>
      <c r="F2327" s="7" t="str">
        <f>IFERROR(__xludf.DUMMYFUNCTION("GOOGLETRANSLATE(B2327:B5064,""en"",""fr"")"),"naviguer")</f>
        <v>naviguer</v>
      </c>
    </row>
    <row r="2328" ht="19.5" customHeight="1">
      <c r="A2328" s="26" t="s">
        <v>6288</v>
      </c>
      <c r="B2328" s="27" t="s">
        <v>829</v>
      </c>
      <c r="C2328" s="28" t="s">
        <v>178</v>
      </c>
      <c r="D2328" s="29">
        <v>118.0</v>
      </c>
      <c r="E2328" s="28" t="s">
        <v>6289</v>
      </c>
      <c r="F2328" s="7" t="str">
        <f>IFERROR(__xludf.DUMMYFUNCTION("GOOGLETRANSLATE(B2328:B5064,""en"",""fr"")"),"dormir")</f>
        <v>dormir</v>
      </c>
    </row>
    <row r="2329" ht="19.5" customHeight="1">
      <c r="A2329" s="26" t="s">
        <v>6290</v>
      </c>
      <c r="B2329" s="27" t="s">
        <v>6291</v>
      </c>
      <c r="C2329" s="28" t="s">
        <v>32</v>
      </c>
      <c r="D2329" s="29">
        <v>117.0</v>
      </c>
      <c r="E2329" s="28" t="s">
        <v>6292</v>
      </c>
      <c r="F2329" s="7" t="str">
        <f>IFERROR(__xludf.DUMMYFUNCTION("GOOGLETRANSLATE(B2329:B5064,""en"",""fr"")"),"assister à")</f>
        <v>assister à</v>
      </c>
    </row>
    <row r="2330" ht="19.5" customHeight="1">
      <c r="A2330" s="26" t="s">
        <v>6293</v>
      </c>
      <c r="B2330" s="27" t="s">
        <v>6294</v>
      </c>
      <c r="C2330" s="28" t="s">
        <v>32</v>
      </c>
      <c r="D2330" s="29">
        <v>117.0</v>
      </c>
      <c r="E2330" s="28" t="s">
        <v>6295</v>
      </c>
      <c r="F2330" s="7" t="str">
        <f>IFERROR(__xludf.DUMMYFUNCTION("GOOGLETRANSLATE(B2330:B5064,""en"",""fr"")"),"perte")</f>
        <v>perte</v>
      </c>
    </row>
    <row r="2331" ht="19.5" customHeight="1">
      <c r="A2331" s="26" t="s">
        <v>6296</v>
      </c>
      <c r="B2331" s="27" t="s">
        <v>6297</v>
      </c>
      <c r="C2331" s="28" t="s">
        <v>178</v>
      </c>
      <c r="D2331" s="29">
        <v>117.0</v>
      </c>
      <c r="E2331" s="28" t="s">
        <v>6298</v>
      </c>
      <c r="F2331" s="7" t="str">
        <f>IFERROR(__xludf.DUMMYFUNCTION("GOOGLETRANSLATE(B2331:B5064,""en"",""fr"")"),"éducation")</f>
        <v>éducation</v>
      </c>
    </row>
    <row r="2332" ht="19.5" customHeight="1">
      <c r="A2332" s="26" t="s">
        <v>6299</v>
      </c>
      <c r="B2332" s="27" t="s">
        <v>6300</v>
      </c>
      <c r="C2332" s="28" t="s">
        <v>32</v>
      </c>
      <c r="D2332" s="29">
        <v>117.0</v>
      </c>
      <c r="E2332" s="28" t="s">
        <v>6301</v>
      </c>
      <c r="F2332" s="7" t="str">
        <f>IFERROR(__xludf.DUMMYFUNCTION("GOOGLETRANSLATE(B2332:B5064,""en"",""fr"")"),"affleurer")</f>
        <v>affleurer</v>
      </c>
    </row>
    <row r="2333" ht="19.5" customHeight="1">
      <c r="A2333" s="26" t="s">
        <v>6302</v>
      </c>
      <c r="B2333" s="27" t="s">
        <v>6303</v>
      </c>
      <c r="C2333" s="28" t="s">
        <v>178</v>
      </c>
      <c r="D2333" s="29">
        <v>117.0</v>
      </c>
      <c r="E2333" s="28" t="s">
        <v>6304</v>
      </c>
      <c r="F2333" s="7" t="str">
        <f>IFERROR(__xludf.DUMMYFUNCTION("GOOGLETRANSLATE(B2333:B5064,""en"",""fr"")"),"frire")</f>
        <v>frire</v>
      </c>
    </row>
    <row r="2334" ht="19.5" customHeight="1">
      <c r="A2334" s="26" t="s">
        <v>6305</v>
      </c>
      <c r="B2334" s="27" t="s">
        <v>6306</v>
      </c>
      <c r="C2334" s="28" t="s">
        <v>32</v>
      </c>
      <c r="D2334" s="29">
        <v>117.0</v>
      </c>
      <c r="E2334" s="28" t="s">
        <v>6307</v>
      </c>
      <c r="F2334" s="7" t="str">
        <f>IFERROR(__xludf.DUMMYFUNCTION("GOOGLETRANSLATE(B2334:B5064,""en"",""fr"")"),"fondre")</f>
        <v>fondre</v>
      </c>
    </row>
    <row r="2335" ht="19.5" customHeight="1">
      <c r="A2335" s="26" t="s">
        <v>6308</v>
      </c>
      <c r="B2335" s="27" t="s">
        <v>6309</v>
      </c>
      <c r="C2335" s="28" t="s">
        <v>32</v>
      </c>
      <c r="D2335" s="29">
        <v>117.0</v>
      </c>
      <c r="E2335" s="28" t="s">
        <v>6310</v>
      </c>
      <c r="F2335" s="7" t="str">
        <f>IFERROR(__xludf.DUMMYFUNCTION("GOOGLETRANSLATE(B2335:B5064,""en"",""fr"")"),"pardon")</f>
        <v>pardon</v>
      </c>
    </row>
    <row r="2336" ht="19.5" customHeight="1">
      <c r="A2336" s="26" t="s">
        <v>6311</v>
      </c>
      <c r="B2336" s="27" t="s">
        <v>6312</v>
      </c>
      <c r="C2336" s="28" t="s">
        <v>178</v>
      </c>
      <c r="D2336" s="29">
        <v>117.0</v>
      </c>
      <c r="E2336" s="28" t="s">
        <v>6313</v>
      </c>
      <c r="F2336" s="7" t="str">
        <f>IFERROR(__xludf.DUMMYFUNCTION("GOOGLETRANSLATE(B2336:B5064,""en"",""fr"")"),"passion")</f>
        <v>passion</v>
      </c>
    </row>
    <row r="2337" ht="19.5" customHeight="1">
      <c r="A2337" s="26" t="s">
        <v>6314</v>
      </c>
      <c r="B2337" s="27" t="s">
        <v>6315</v>
      </c>
      <c r="C2337" s="28" t="s">
        <v>100</v>
      </c>
      <c r="D2337" s="29">
        <v>117.0</v>
      </c>
      <c r="E2337" s="28" t="s">
        <v>6315</v>
      </c>
      <c r="F2337" s="7" t="str">
        <f>IFERROR(__xludf.DUMMYFUNCTION("GOOGLETRANSLATE(B2337:B5064,""en"",""fr"")"),"personnellement")</f>
        <v>personnellement</v>
      </c>
    </row>
    <row r="2338" ht="19.5" customHeight="1">
      <c r="A2338" s="26" t="s">
        <v>6316</v>
      </c>
      <c r="B2338" s="27" t="s">
        <v>5171</v>
      </c>
      <c r="C2338" s="28" t="s">
        <v>32</v>
      </c>
      <c r="D2338" s="29">
        <v>117.0</v>
      </c>
      <c r="E2338" s="28" t="s">
        <v>6317</v>
      </c>
      <c r="F2338" s="7" t="str">
        <f>IFERROR(__xludf.DUMMYFUNCTION("GOOGLETRANSLATE(B2338:B5064,""en"",""fr"")"),"caca")</f>
        <v>caca</v>
      </c>
    </row>
    <row r="2339" ht="19.5" customHeight="1">
      <c r="A2339" s="26" t="s">
        <v>6318</v>
      </c>
      <c r="B2339" s="27" t="s">
        <v>6319</v>
      </c>
      <c r="C2339" s="28" t="s">
        <v>178</v>
      </c>
      <c r="D2339" s="29">
        <v>117.0</v>
      </c>
      <c r="E2339" s="28" t="s">
        <v>6319</v>
      </c>
      <c r="F2339" s="7" t="str">
        <f>IFERROR(__xludf.DUMMYFUNCTION("GOOGLETRANSLATE(B2339:B5064,""en"",""fr"")"),"Popcorn")</f>
        <v>Popcorn</v>
      </c>
    </row>
    <row r="2340" ht="19.5" customHeight="1">
      <c r="A2340" s="26" t="s">
        <v>6320</v>
      </c>
      <c r="B2340" s="27" t="s">
        <v>6321</v>
      </c>
      <c r="C2340" s="28" t="s">
        <v>178</v>
      </c>
      <c r="D2340" s="29">
        <v>117.0</v>
      </c>
      <c r="E2340" s="28" t="s">
        <v>6322</v>
      </c>
      <c r="F2340" s="7" t="str">
        <f>IFERROR(__xludf.DUMMYFUNCTION("GOOGLETRANSLATE(B2340:B5064,""en"",""fr"")"),"chatte")</f>
        <v>chatte</v>
      </c>
    </row>
    <row r="2341" ht="19.5" customHeight="1">
      <c r="A2341" s="26" t="s">
        <v>6323</v>
      </c>
      <c r="B2341" s="27" t="s">
        <v>2482</v>
      </c>
      <c r="C2341" s="28" t="s">
        <v>32</v>
      </c>
      <c r="D2341" s="29">
        <v>117.0</v>
      </c>
      <c r="E2341" s="28" t="s">
        <v>6324</v>
      </c>
      <c r="F2341" s="7" t="str">
        <f>IFERROR(__xludf.DUMMYFUNCTION("GOOGLETRANSLATE(B2341:B5064,""en"",""fr"")"),"astuce")</f>
        <v>astuce</v>
      </c>
    </row>
    <row r="2342" ht="19.5" customHeight="1">
      <c r="A2342" s="26" t="s">
        <v>6325</v>
      </c>
      <c r="B2342" s="27" t="s">
        <v>6326</v>
      </c>
      <c r="C2342" s="28" t="s">
        <v>178</v>
      </c>
      <c r="D2342" s="29">
        <v>117.0</v>
      </c>
      <c r="E2342" s="28" t="s">
        <v>6327</v>
      </c>
      <c r="F2342" s="7" t="str">
        <f>IFERROR(__xludf.DUMMYFUNCTION("GOOGLETRANSLATE(B2342:B5064,""en"",""fr"")"),"zombi")</f>
        <v>zombi</v>
      </c>
    </row>
    <row r="2343" ht="19.5" customHeight="1">
      <c r="A2343" s="26" t="s">
        <v>6328</v>
      </c>
      <c r="B2343" s="27" t="s">
        <v>6329</v>
      </c>
      <c r="C2343" s="28" t="s">
        <v>178</v>
      </c>
      <c r="D2343" s="29">
        <v>116.0</v>
      </c>
      <c r="E2343" s="28" t="s">
        <v>6330</v>
      </c>
      <c r="F2343" s="7" t="str">
        <f>IFERROR(__xludf.DUMMYFUNCTION("GOOGLETRANSLATE(B2343:B5064,""en"",""fr"")"),"cheville")</f>
        <v>cheville</v>
      </c>
    </row>
    <row r="2344" ht="19.5" customHeight="1">
      <c r="A2344" s="26" t="s">
        <v>6331</v>
      </c>
      <c r="B2344" s="27" t="s">
        <v>6332</v>
      </c>
      <c r="C2344" s="28" t="s">
        <v>32</v>
      </c>
      <c r="D2344" s="29">
        <v>116.0</v>
      </c>
      <c r="E2344" s="28" t="s">
        <v>6333</v>
      </c>
      <c r="F2344" s="7" t="str">
        <f>IFERROR(__xludf.DUMMYFUNCTION("GOOGLETRANSLATE(B2344:B5064,""en"",""fr"")"),"caution")</f>
        <v>caution</v>
      </c>
    </row>
    <row r="2345" ht="19.5" customHeight="1">
      <c r="A2345" s="26" t="s">
        <v>6334</v>
      </c>
      <c r="B2345" s="27" t="s">
        <v>6335</v>
      </c>
      <c r="C2345" s="28" t="s">
        <v>178</v>
      </c>
      <c r="D2345" s="29">
        <v>116.0</v>
      </c>
      <c r="E2345" s="28" t="s">
        <v>6335</v>
      </c>
      <c r="F2345" s="7" t="str">
        <f>IFERROR(__xludf.DUMMYFUNCTION("GOOGLETRANSLATE(B2345:B5064,""en"",""fr"")"),"bowling")</f>
        <v>bowling</v>
      </c>
    </row>
    <row r="2346" ht="19.5" customHeight="1">
      <c r="A2346" s="26" t="s">
        <v>6336</v>
      </c>
      <c r="B2346" s="27" t="s">
        <v>6337</v>
      </c>
      <c r="C2346" s="28" t="s">
        <v>178</v>
      </c>
      <c r="D2346" s="29">
        <v>116.0</v>
      </c>
      <c r="E2346" s="28" t="s">
        <v>6338</v>
      </c>
      <c r="F2346" s="7" t="str">
        <f>IFERROR(__xludf.DUMMYFUNCTION("GOOGLETRANSLATE(B2346:B5064,""en"",""fr"")"),"rabais")</f>
        <v>rabais</v>
      </c>
    </row>
    <row r="2347" ht="19.5" customHeight="1">
      <c r="A2347" s="26" t="s">
        <v>6339</v>
      </c>
      <c r="B2347" s="27" t="s">
        <v>6340</v>
      </c>
      <c r="C2347" s="28" t="s">
        <v>178</v>
      </c>
      <c r="D2347" s="29">
        <v>116.0</v>
      </c>
      <c r="E2347" s="28" t="s">
        <v>6341</v>
      </c>
      <c r="F2347" s="7" t="str">
        <f>IFERROR(__xludf.DUMMYFUNCTION("GOOGLETRANSLATE(B2347:B5064,""en"",""fr"")"),"divertissement")</f>
        <v>divertissement</v>
      </c>
    </row>
    <row r="2348" ht="19.5" customHeight="1">
      <c r="A2348" s="26" t="s">
        <v>6342</v>
      </c>
      <c r="B2348" s="27" t="s">
        <v>770</v>
      </c>
      <c r="C2348" s="28" t="s">
        <v>178</v>
      </c>
      <c r="D2348" s="29">
        <v>116.0</v>
      </c>
      <c r="E2348" s="28" t="s">
        <v>6343</v>
      </c>
      <c r="F2348" s="7" t="str">
        <f>IFERROR(__xludf.DUMMYFUNCTION("GOOGLETRANSLATE(B2348:B5064,""en"",""fr"")"),"excuse")</f>
        <v>excuse</v>
      </c>
    </row>
    <row r="2349" ht="19.5" customHeight="1">
      <c r="A2349" s="26" t="s">
        <v>6344</v>
      </c>
      <c r="B2349" s="27" t="s">
        <v>6345</v>
      </c>
      <c r="C2349" s="28" t="s">
        <v>178</v>
      </c>
      <c r="D2349" s="29">
        <v>116.0</v>
      </c>
      <c r="E2349" s="28" t="s">
        <v>6345</v>
      </c>
      <c r="F2349" s="7" t="str">
        <f>IFERROR(__xludf.DUMMYFUNCTION("GOOGLETRANSLATE(B2349:B5064,""en"",""fr"")"),"le jazz")</f>
        <v>le jazz</v>
      </c>
    </row>
    <row r="2350" ht="19.5" customHeight="1">
      <c r="A2350" s="26" t="s">
        <v>6346</v>
      </c>
      <c r="B2350" s="27" t="s">
        <v>419</v>
      </c>
      <c r="C2350" s="28" t="s">
        <v>134</v>
      </c>
      <c r="D2350" s="29">
        <v>116.0</v>
      </c>
      <c r="E2350" s="28" t="s">
        <v>6347</v>
      </c>
      <c r="F2350" s="7" t="str">
        <f>IFERROR(__xludf.DUMMYFUNCTION("GOOGLETRANSLATE(B2350:B5064,""en"",""fr"")"),"gentil")</f>
        <v>gentil</v>
      </c>
    </row>
    <row r="2351" ht="19.5" customHeight="1">
      <c r="A2351" s="26" t="s">
        <v>6348</v>
      </c>
      <c r="B2351" s="27" t="s">
        <v>6349</v>
      </c>
      <c r="C2351" s="28" t="s">
        <v>178</v>
      </c>
      <c r="D2351" s="29">
        <v>116.0</v>
      </c>
      <c r="E2351" s="28" t="s">
        <v>6350</v>
      </c>
      <c r="F2351" s="7" t="str">
        <f>IFERROR(__xludf.DUMMYFUNCTION("GOOGLETRANSLATE(B2351:B5064,""en"",""fr"")"),"lion")</f>
        <v>lion</v>
      </c>
    </row>
    <row r="2352" ht="19.5" customHeight="1">
      <c r="A2352" s="26" t="s">
        <v>6351</v>
      </c>
      <c r="B2352" s="27" t="s">
        <v>4360</v>
      </c>
      <c r="C2352" s="28" t="s">
        <v>32</v>
      </c>
      <c r="D2352" s="29">
        <v>116.0</v>
      </c>
      <c r="E2352" s="28" t="s">
        <v>6352</v>
      </c>
      <c r="F2352" s="7" t="str">
        <f>IFERROR(__xludf.DUMMYFUNCTION("GOOGLETRANSLATE(B2352:B5064,""en"",""fr"")"),"correspondre")</f>
        <v>correspondre</v>
      </c>
    </row>
    <row r="2353" ht="19.5" customHeight="1">
      <c r="A2353" s="26" t="s">
        <v>6353</v>
      </c>
      <c r="B2353" s="27" t="s">
        <v>6354</v>
      </c>
      <c r="C2353" s="28" t="s">
        <v>178</v>
      </c>
      <c r="D2353" s="29">
        <v>116.0</v>
      </c>
      <c r="E2353" s="28" t="s">
        <v>6355</v>
      </c>
      <c r="F2353" s="7" t="str">
        <f>IFERROR(__xludf.DUMMYFUNCTION("GOOGLETRANSLATE(B2353:B5064,""en"",""fr"")"),"prière")</f>
        <v>prière</v>
      </c>
    </row>
    <row r="2354" ht="19.5" customHeight="1">
      <c r="A2354" s="26" t="s">
        <v>6356</v>
      </c>
      <c r="B2354" s="27" t="s">
        <v>6357</v>
      </c>
      <c r="C2354" s="28" t="s">
        <v>178</v>
      </c>
      <c r="D2354" s="29">
        <v>116.0</v>
      </c>
      <c r="E2354" s="28" t="s">
        <v>6358</v>
      </c>
      <c r="F2354" s="7" t="str">
        <f>IFERROR(__xludf.DUMMYFUNCTION("GOOGLETRANSLATE(B2354:B5064,""en"",""fr"")"),"timbre")</f>
        <v>timbre</v>
      </c>
    </row>
    <row r="2355" ht="19.5" customHeight="1">
      <c r="A2355" s="26" t="s">
        <v>6359</v>
      </c>
      <c r="B2355" s="27" t="s">
        <v>6360</v>
      </c>
      <c r="C2355" s="28" t="s">
        <v>32</v>
      </c>
      <c r="D2355" s="29">
        <v>115.0</v>
      </c>
      <c r="E2355" s="28" t="s">
        <v>6361</v>
      </c>
      <c r="F2355" s="7" t="str">
        <f>IFERROR(__xludf.DUMMYFUNCTION("GOOGLETRANSLATE(B2355:B5064,""en"",""fr"")"),"trahir")</f>
        <v>trahir</v>
      </c>
    </row>
    <row r="2356" ht="19.5" customHeight="1">
      <c r="A2356" s="26" t="s">
        <v>6362</v>
      </c>
      <c r="B2356" s="27" t="s">
        <v>6363</v>
      </c>
      <c r="C2356" s="28" t="s">
        <v>178</v>
      </c>
      <c r="D2356" s="29">
        <v>115.0</v>
      </c>
      <c r="E2356" s="28" t="s">
        <v>6364</v>
      </c>
      <c r="F2356" s="7" t="str">
        <f>IFERROR(__xludf.DUMMYFUNCTION("GOOGLETRANSLATE(B2356:B5064,""en"",""fr"")"),"bracelet")</f>
        <v>bracelet</v>
      </c>
    </row>
    <row r="2357" ht="19.5" customHeight="1">
      <c r="A2357" s="26" t="s">
        <v>6365</v>
      </c>
      <c r="B2357" s="27" t="s">
        <v>6366</v>
      </c>
      <c r="C2357" s="28" t="s">
        <v>178</v>
      </c>
      <c r="D2357" s="29">
        <v>115.0</v>
      </c>
      <c r="E2357" s="28" t="s">
        <v>6367</v>
      </c>
      <c r="F2357" s="7" t="str">
        <f>IFERROR(__xludf.DUMMYFUNCTION("GOOGLETRANSLATE(B2357:B5064,""en"",""fr"")"),"lutin")</f>
        <v>lutin</v>
      </c>
    </row>
    <row r="2358" ht="19.5" customHeight="1">
      <c r="A2358" s="26" t="s">
        <v>6368</v>
      </c>
      <c r="B2358" s="27" t="s">
        <v>6369</v>
      </c>
      <c r="C2358" s="28" t="s">
        <v>134</v>
      </c>
      <c r="D2358" s="29">
        <v>115.0</v>
      </c>
      <c r="E2358" s="28" t="s">
        <v>6369</v>
      </c>
      <c r="F2358" s="7" t="str">
        <f>IFERROR(__xludf.DUMMYFUNCTION("GOOGLETRANSLATE(B2358:B5064,""en"",""fr"")"),"créatif")</f>
        <v>créatif</v>
      </c>
    </row>
    <row r="2359" ht="19.5" customHeight="1">
      <c r="A2359" s="26" t="s">
        <v>6370</v>
      </c>
      <c r="B2359" s="27" t="s">
        <v>6371</v>
      </c>
      <c r="C2359" s="28" t="s">
        <v>178</v>
      </c>
      <c r="D2359" s="29">
        <v>115.0</v>
      </c>
      <c r="E2359" s="28" t="s">
        <v>6372</v>
      </c>
      <c r="F2359" s="7" t="str">
        <f>IFERROR(__xludf.DUMMYFUNCTION("GOOGLETRANSLATE(B2359:B5064,""en"",""fr"")"),"expression")</f>
        <v>expression</v>
      </c>
    </row>
    <row r="2360" ht="19.5" customHeight="1">
      <c r="A2360" s="26" t="s">
        <v>6373</v>
      </c>
      <c r="B2360" s="27" t="s">
        <v>2885</v>
      </c>
      <c r="C2360" s="28" t="s">
        <v>178</v>
      </c>
      <c r="D2360" s="29">
        <v>115.0</v>
      </c>
      <c r="E2360" s="28" t="s">
        <v>6374</v>
      </c>
      <c r="F2360" s="7" t="str">
        <f>IFERROR(__xludf.DUMMYFUNCTION("GOOGLETRANSLATE(B2360:B5064,""en"",""fr"")"),"verrouillage")</f>
        <v>verrouillage</v>
      </c>
    </row>
    <row r="2361" ht="19.5" customHeight="1">
      <c r="A2361" s="26" t="s">
        <v>6375</v>
      </c>
      <c r="B2361" s="27" t="s">
        <v>6376</v>
      </c>
      <c r="C2361" s="28" t="s">
        <v>134</v>
      </c>
      <c r="D2361" s="29">
        <v>115.0</v>
      </c>
      <c r="E2361" s="28" t="s">
        <v>6376</v>
      </c>
      <c r="F2361" s="7" t="str">
        <f>IFERROR(__xludf.DUMMYFUNCTION("GOOGLETRANSLATE(B2361:B5064,""en"",""fr"")"),"négatif")</f>
        <v>négatif</v>
      </c>
    </row>
    <row r="2362" ht="19.5" customHeight="1">
      <c r="A2362" s="26" t="s">
        <v>6377</v>
      </c>
      <c r="B2362" s="27" t="s">
        <v>6378</v>
      </c>
      <c r="C2362" s="28" t="s">
        <v>178</v>
      </c>
      <c r="D2362" s="29">
        <v>115.0</v>
      </c>
      <c r="E2362" s="28" t="s">
        <v>6379</v>
      </c>
      <c r="F2362" s="7" t="str">
        <f>IFERROR(__xludf.DUMMYFUNCTION("GOOGLETRANSLATE(B2362:B5064,""en"",""fr"")"),"cornichon")</f>
        <v>cornichon</v>
      </c>
    </row>
    <row r="2363" ht="19.5" customHeight="1">
      <c r="A2363" s="26" t="s">
        <v>6380</v>
      </c>
      <c r="B2363" s="27" t="s">
        <v>6381</v>
      </c>
      <c r="C2363" s="28" t="s">
        <v>178</v>
      </c>
      <c r="D2363" s="29">
        <v>115.0</v>
      </c>
      <c r="E2363" s="28" t="s">
        <v>6382</v>
      </c>
      <c r="F2363" s="7" t="str">
        <f>IFERROR(__xludf.DUMMYFUNCTION("GOOGLETRANSLATE(B2363:B5064,""en"",""fr"")"),"puzzle")</f>
        <v>puzzle</v>
      </c>
    </row>
    <row r="2364" ht="19.5" customHeight="1">
      <c r="A2364" s="26" t="s">
        <v>6383</v>
      </c>
      <c r="B2364" s="27" t="s">
        <v>6384</v>
      </c>
      <c r="C2364" s="28" t="s">
        <v>178</v>
      </c>
      <c r="D2364" s="29">
        <v>115.0</v>
      </c>
      <c r="E2364" s="28" t="s">
        <v>6385</v>
      </c>
      <c r="F2364" s="7" t="str">
        <f>IFERROR(__xludf.DUMMYFUNCTION("GOOGLETRANSLATE(B2364:B5064,""en"",""fr"")"),"recette")</f>
        <v>recette</v>
      </c>
    </row>
    <row r="2365" ht="19.5" customHeight="1">
      <c r="A2365" s="26" t="s">
        <v>6386</v>
      </c>
      <c r="B2365" s="27" t="s">
        <v>6387</v>
      </c>
      <c r="C2365" s="28" t="s">
        <v>32</v>
      </c>
      <c r="D2365" s="29">
        <v>115.0</v>
      </c>
      <c r="E2365" s="28" t="s">
        <v>6388</v>
      </c>
      <c r="F2365" s="7" t="str">
        <f>IFERROR(__xludf.DUMMYFUNCTION("GOOGLETRANSLATE(B2365:B5064,""en"",""fr"")"),"poignarder")</f>
        <v>poignarder</v>
      </c>
    </row>
    <row r="2366" ht="19.5" customHeight="1">
      <c r="A2366" s="26" t="s">
        <v>6389</v>
      </c>
      <c r="B2366" s="27" t="s">
        <v>6390</v>
      </c>
      <c r="C2366" s="28" t="s">
        <v>36</v>
      </c>
      <c r="D2366" s="29">
        <v>115.0</v>
      </c>
      <c r="E2366" s="28" t="s">
        <v>6391</v>
      </c>
      <c r="F2366" s="7" t="str">
        <f>IFERROR(__xludf.DUMMYFUNCTION("GOOGLETRANSLATE(B2366:B5064,""en"",""fr"")"),"vers")</f>
        <v>vers</v>
      </c>
    </row>
    <row r="2367" ht="19.5" customHeight="1">
      <c r="A2367" s="26" t="s">
        <v>6392</v>
      </c>
      <c r="B2367" s="27" t="s">
        <v>6393</v>
      </c>
      <c r="C2367" s="28" t="s">
        <v>32</v>
      </c>
      <c r="D2367" s="29">
        <v>115.0</v>
      </c>
      <c r="E2367" s="28" t="s">
        <v>6394</v>
      </c>
      <c r="F2367" s="7" t="str">
        <f>IFERROR(__xludf.DUMMYFUNCTION("GOOGLETRANSLATE(B2367:B5064,""en"",""fr"")"),"vague")</f>
        <v>vague</v>
      </c>
    </row>
    <row r="2368" ht="19.5" customHeight="1">
      <c r="A2368" s="26" t="s">
        <v>6395</v>
      </c>
      <c r="B2368" s="27" t="s">
        <v>6396</v>
      </c>
      <c r="C2368" s="28" t="s">
        <v>36</v>
      </c>
      <c r="D2368" s="29">
        <v>115.0</v>
      </c>
      <c r="E2368" s="28" t="s">
        <v>6396</v>
      </c>
      <c r="F2368" s="7" t="str">
        <f>IFERROR(__xludf.DUMMYFUNCTION("GOOGLETRANSLATE(B2368:B5064,""en"",""fr"")"),"partout où")</f>
        <v>partout où</v>
      </c>
    </row>
    <row r="2369" ht="19.5" customHeight="1">
      <c r="A2369" s="26" t="s">
        <v>6397</v>
      </c>
      <c r="B2369" s="27" t="s">
        <v>6398</v>
      </c>
      <c r="C2369" s="28" t="s">
        <v>178</v>
      </c>
      <c r="D2369" s="29">
        <v>114.0</v>
      </c>
      <c r="E2369" s="28" t="s">
        <v>6399</v>
      </c>
      <c r="F2369" s="7" t="str">
        <f>IFERROR(__xludf.DUMMYFUNCTION("GOOGLETRANSLATE(B2369:B5064,""en"",""fr"")"),"article")</f>
        <v>article</v>
      </c>
    </row>
    <row r="2370" ht="19.5" customHeight="1">
      <c r="A2370" s="26" t="s">
        <v>6400</v>
      </c>
      <c r="B2370" s="27" t="s">
        <v>6401</v>
      </c>
      <c r="C2370" s="28" t="s">
        <v>100</v>
      </c>
      <c r="D2370" s="29">
        <v>114.0</v>
      </c>
      <c r="E2370" s="28" t="s">
        <v>6401</v>
      </c>
      <c r="F2370" s="7" t="str">
        <f>IFERROR(__xludf.DUMMYFUNCTION("GOOGLETRANSLATE(B2370:B5064,""en"",""fr"")"),"en arrière")</f>
        <v>en arrière</v>
      </c>
    </row>
    <row r="2371" ht="19.5" customHeight="1">
      <c r="A2371" s="26" t="s">
        <v>6402</v>
      </c>
      <c r="B2371" s="27" t="s">
        <v>6403</v>
      </c>
      <c r="C2371" s="28" t="s">
        <v>134</v>
      </c>
      <c r="D2371" s="29">
        <v>114.0</v>
      </c>
      <c r="E2371" s="28" t="s">
        <v>6403</v>
      </c>
      <c r="F2371" s="7" t="str">
        <f>IFERROR(__xludf.DUMMYFUNCTION("GOOGLETRANSLATE(B2371:B5064,""en"",""fr"")"),"central")</f>
        <v>central</v>
      </c>
    </row>
    <row r="2372" ht="19.5" customHeight="1">
      <c r="A2372" s="26" t="s">
        <v>6404</v>
      </c>
      <c r="B2372" s="27" t="s">
        <v>6405</v>
      </c>
      <c r="C2372" s="28" t="s">
        <v>178</v>
      </c>
      <c r="D2372" s="29">
        <v>114.0</v>
      </c>
      <c r="E2372" s="28" t="s">
        <v>6406</v>
      </c>
      <c r="F2372" s="7" t="str">
        <f>IFERROR(__xludf.DUMMYFUNCTION("GOOGLETRANSLATE(B2372:B5064,""en"",""fr"")"),"Hamburger")</f>
        <v>Hamburger</v>
      </c>
    </row>
    <row r="2373" ht="19.5" customHeight="1">
      <c r="A2373" s="26" t="s">
        <v>6407</v>
      </c>
      <c r="B2373" s="27" t="s">
        <v>6408</v>
      </c>
      <c r="C2373" s="28" t="s">
        <v>178</v>
      </c>
      <c r="D2373" s="29">
        <v>114.0</v>
      </c>
      <c r="E2373" s="28" t="s">
        <v>6409</v>
      </c>
      <c r="F2373" s="7" t="str">
        <f>IFERROR(__xludf.DUMMYFUNCTION("GOOGLETRANSLATE(B2373:B5064,""en"",""fr"")"),"moustache")</f>
        <v>moustache</v>
      </c>
    </row>
    <row r="2374" ht="19.5" customHeight="1">
      <c r="A2374" s="26" t="s">
        <v>6410</v>
      </c>
      <c r="B2374" s="27" t="s">
        <v>6411</v>
      </c>
      <c r="C2374" s="28" t="s">
        <v>178</v>
      </c>
      <c r="D2374" s="29">
        <v>114.0</v>
      </c>
      <c r="E2374" s="28" t="s">
        <v>6412</v>
      </c>
      <c r="F2374" s="7" t="str">
        <f>IFERROR(__xludf.DUMMYFUNCTION("GOOGLETRANSLATE(B2374:B5064,""en"",""fr"")"),"pudding")</f>
        <v>pudding</v>
      </c>
    </row>
    <row r="2375" ht="19.5" customHeight="1">
      <c r="A2375" s="26" t="s">
        <v>6413</v>
      </c>
      <c r="B2375" s="27" t="s">
        <v>6414</v>
      </c>
      <c r="C2375" s="28" t="s">
        <v>32</v>
      </c>
      <c r="D2375" s="29">
        <v>114.0</v>
      </c>
      <c r="E2375" s="28" t="s">
        <v>6415</v>
      </c>
      <c r="F2375" s="7" t="str">
        <f>IFERROR(__xludf.DUMMYFUNCTION("GOOGLETRANSLATE(B2375:B5064,""en"",""fr"")"),"chercher")</f>
        <v>chercher</v>
      </c>
    </row>
    <row r="2376" ht="19.5" customHeight="1">
      <c r="A2376" s="26" t="s">
        <v>6416</v>
      </c>
      <c r="B2376" s="27" t="s">
        <v>6417</v>
      </c>
      <c r="C2376" s="28" t="s">
        <v>32</v>
      </c>
      <c r="D2376" s="29">
        <v>114.0</v>
      </c>
      <c r="E2376" s="28" t="s">
        <v>6418</v>
      </c>
      <c r="F2376" s="7" t="str">
        <f>IFERROR(__xludf.DUMMYFUNCTION("GOOGLETRANSLATE(B2376:B5064,""en"",""fr"")"),"glisser")</f>
        <v>glisser</v>
      </c>
    </row>
    <row r="2377" ht="19.5" customHeight="1">
      <c r="A2377" s="26" t="s">
        <v>6419</v>
      </c>
      <c r="B2377" s="27" t="s">
        <v>6420</v>
      </c>
      <c r="C2377" s="28" t="s">
        <v>178</v>
      </c>
      <c r="D2377" s="29">
        <v>114.0</v>
      </c>
      <c r="E2377" s="28" t="s">
        <v>6421</v>
      </c>
      <c r="F2377" s="7" t="str">
        <f>IFERROR(__xludf.DUMMYFUNCTION("GOOGLETRANSLATE(B2377:B5064,""en"",""fr"")"),"mésange")</f>
        <v>mésange</v>
      </c>
    </row>
    <row r="2378" ht="19.5" customHeight="1">
      <c r="A2378" s="26" t="s">
        <v>6422</v>
      </c>
      <c r="B2378" s="27" t="s">
        <v>6423</v>
      </c>
      <c r="C2378" s="28" t="s">
        <v>178</v>
      </c>
      <c r="D2378" s="29">
        <v>114.0</v>
      </c>
      <c r="E2378" s="28" t="s">
        <v>6424</v>
      </c>
      <c r="F2378" s="7" t="str">
        <f>IFERROR(__xludf.DUMMYFUNCTION("GOOGLETRANSLATE(B2378:B5064,""en"",""fr"")"),"procès")</f>
        <v>procès</v>
      </c>
    </row>
    <row r="2379" ht="19.5" customHeight="1">
      <c r="A2379" s="26" t="s">
        <v>6425</v>
      </c>
      <c r="B2379" s="27" t="s">
        <v>6426</v>
      </c>
      <c r="C2379" s="28" t="s">
        <v>178</v>
      </c>
      <c r="D2379" s="29">
        <v>114.0</v>
      </c>
      <c r="E2379" s="28" t="s">
        <v>6427</v>
      </c>
      <c r="F2379" s="7" t="str">
        <f>IFERROR(__xludf.DUMMYFUNCTION("GOOGLETRANSLATE(B2379:B5064,""en"",""fr"")"),"trophée")</f>
        <v>trophée</v>
      </c>
    </row>
    <row r="2380" ht="19.5" customHeight="1">
      <c r="A2380" s="26" t="s">
        <v>6428</v>
      </c>
      <c r="B2380" s="27" t="s">
        <v>6429</v>
      </c>
      <c r="C2380" s="28" t="s">
        <v>178</v>
      </c>
      <c r="D2380" s="29">
        <v>113.0</v>
      </c>
      <c r="E2380" s="28" t="s">
        <v>6430</v>
      </c>
      <c r="F2380" s="7" t="str">
        <f>IFERROR(__xludf.DUMMYFUNCTION("GOOGLETRANSLATE(B2380:B5064,""en"",""fr"")"),"meilleur")</f>
        <v>meilleur</v>
      </c>
    </row>
    <row r="2381" ht="19.5" customHeight="1">
      <c r="A2381" s="26" t="s">
        <v>6431</v>
      </c>
      <c r="B2381" s="27" t="s">
        <v>6432</v>
      </c>
      <c r="C2381" s="28" t="s">
        <v>178</v>
      </c>
      <c r="D2381" s="29">
        <v>113.0</v>
      </c>
      <c r="E2381" s="28" t="s">
        <v>6433</v>
      </c>
      <c r="F2381" s="7" t="str">
        <f>IFERROR(__xludf.DUMMYFUNCTION("GOOGLETRANSLATE(B2381:B5064,""en"",""fr"")"),"dommage")</f>
        <v>dommage</v>
      </c>
    </row>
    <row r="2382" ht="19.5" customHeight="1">
      <c r="A2382" s="26" t="s">
        <v>6434</v>
      </c>
      <c r="B2382" s="27" t="s">
        <v>6435</v>
      </c>
      <c r="C2382" s="28" t="s">
        <v>134</v>
      </c>
      <c r="D2382" s="29">
        <v>113.0</v>
      </c>
      <c r="E2382" s="28" t="s">
        <v>6435</v>
      </c>
      <c r="F2382" s="7" t="str">
        <f>IFERROR(__xludf.DUMMYFUNCTION("GOOGLETRANSLATE(B2382:B5064,""en"",""fr"")"),"décent")</f>
        <v>décent</v>
      </c>
    </row>
    <row r="2383" ht="19.5" customHeight="1">
      <c r="A2383" s="26" t="s">
        <v>6436</v>
      </c>
      <c r="B2383" s="27" t="s">
        <v>6437</v>
      </c>
      <c r="C2383" s="28" t="s">
        <v>100</v>
      </c>
      <c r="D2383" s="29">
        <v>113.0</v>
      </c>
      <c r="E2383" s="28" t="s">
        <v>6437</v>
      </c>
      <c r="F2383" s="7" t="str">
        <f>IFERROR(__xludf.DUMMYFUNCTION("GOOGLETRANSLATE(B2383:B5064,""en"",""fr"")"),"facilement")</f>
        <v>facilement</v>
      </c>
    </row>
    <row r="2384" ht="19.5" customHeight="1">
      <c r="A2384" s="26" t="s">
        <v>6438</v>
      </c>
      <c r="B2384" s="27" t="s">
        <v>6439</v>
      </c>
      <c r="C2384" s="28" t="s">
        <v>178</v>
      </c>
      <c r="D2384" s="29">
        <v>113.0</v>
      </c>
      <c r="E2384" s="28" t="s">
        <v>6440</v>
      </c>
      <c r="F2384" s="7" t="str">
        <f>IFERROR(__xludf.DUMMYFUNCTION("GOOGLETRANSLATE(B2384:B5064,""en"",""fr"")"),"moteur")</f>
        <v>moteur</v>
      </c>
    </row>
    <row r="2385" ht="19.5" customHeight="1">
      <c r="A2385" s="26" t="s">
        <v>6441</v>
      </c>
      <c r="B2385" s="27" t="s">
        <v>6442</v>
      </c>
      <c r="C2385" s="28" t="s">
        <v>178</v>
      </c>
      <c r="D2385" s="29">
        <v>113.0</v>
      </c>
      <c r="E2385" s="28" t="s">
        <v>6443</v>
      </c>
      <c r="F2385" s="7" t="str">
        <f>IFERROR(__xludf.DUMMYFUNCTION("GOOGLETRANSLATE(B2385:B5064,""en"",""fr"")"),"voyage")</f>
        <v>voyage</v>
      </c>
    </row>
    <row r="2386" ht="19.5" customHeight="1">
      <c r="A2386" s="26" t="s">
        <v>6444</v>
      </c>
      <c r="B2386" s="27" t="s">
        <v>6445</v>
      </c>
      <c r="C2386" s="28" t="s">
        <v>178</v>
      </c>
      <c r="D2386" s="29">
        <v>113.0</v>
      </c>
      <c r="E2386" s="28" t="s">
        <v>6446</v>
      </c>
      <c r="F2386" s="7" t="str">
        <f>IFERROR(__xludf.DUMMYFUNCTION("GOOGLETRANSLATE(B2386:B5064,""en"",""fr"")"),"ketchup")</f>
        <v>ketchup</v>
      </c>
    </row>
    <row r="2387" ht="19.5" customHeight="1">
      <c r="A2387" s="26" t="s">
        <v>6447</v>
      </c>
      <c r="B2387" s="27" t="s">
        <v>6448</v>
      </c>
      <c r="C2387" s="28" t="s">
        <v>178</v>
      </c>
      <c r="D2387" s="29">
        <v>113.0</v>
      </c>
      <c r="E2387" s="28" t="s">
        <v>6449</v>
      </c>
      <c r="F2387" s="7" t="str">
        <f>IFERROR(__xludf.DUMMYFUNCTION("GOOGLETRANSLATE(B2387:B5064,""en"",""fr"")"),"pelouse")</f>
        <v>pelouse</v>
      </c>
    </row>
    <row r="2388" ht="19.5" customHeight="1">
      <c r="A2388" s="26" t="s">
        <v>6450</v>
      </c>
      <c r="B2388" s="27" t="s">
        <v>514</v>
      </c>
      <c r="C2388" s="28" t="s">
        <v>32</v>
      </c>
      <c r="D2388" s="29">
        <v>113.0</v>
      </c>
      <c r="E2388" s="28" t="s">
        <v>6451</v>
      </c>
      <c r="F2388" s="7" t="str">
        <f>IFERROR(__xludf.DUMMYFUNCTION("GOOGLETRANSLATE(B2388:B5064,""en"",""fr"")"),"lieu")</f>
        <v>lieu</v>
      </c>
    </row>
    <row r="2389" ht="19.5" customHeight="1">
      <c r="A2389" s="26" t="s">
        <v>6452</v>
      </c>
      <c r="B2389" s="27" t="s">
        <v>6453</v>
      </c>
      <c r="C2389" s="28" t="s">
        <v>178</v>
      </c>
      <c r="D2389" s="29">
        <v>113.0</v>
      </c>
      <c r="E2389" s="28" t="s">
        <v>6454</v>
      </c>
      <c r="F2389" s="7" t="str">
        <f>IFERROR(__xludf.DUMMYFUNCTION("GOOGLETRANSLATE(B2389:B5064,""en"",""fr"")"),"bretzel")</f>
        <v>bretzel</v>
      </c>
    </row>
    <row r="2390" ht="19.5" customHeight="1">
      <c r="A2390" s="26" t="s">
        <v>6455</v>
      </c>
      <c r="B2390" s="27" t="s">
        <v>6456</v>
      </c>
      <c r="C2390" s="28" t="s">
        <v>178</v>
      </c>
      <c r="D2390" s="29">
        <v>113.0</v>
      </c>
      <c r="E2390" s="28" t="s">
        <v>6457</v>
      </c>
      <c r="F2390" s="7" t="str">
        <f>IFERROR(__xludf.DUMMYFUNCTION("GOOGLETRANSLATE(B2390:B5064,""en"",""fr"")"),"routine")</f>
        <v>routine</v>
      </c>
    </row>
    <row r="2391" ht="19.5" customHeight="1">
      <c r="A2391" s="26" t="s">
        <v>6458</v>
      </c>
      <c r="B2391" s="27" t="s">
        <v>6459</v>
      </c>
      <c r="C2391" s="28" t="s">
        <v>178</v>
      </c>
      <c r="D2391" s="29">
        <v>113.0</v>
      </c>
      <c r="E2391" s="28" t="s">
        <v>6460</v>
      </c>
      <c r="F2391" s="7" t="str">
        <f>IFERROR(__xludf.DUMMYFUNCTION("GOOGLETRANSLATE(B2391:B5064,""en"",""fr"")"),"sable")</f>
        <v>sable</v>
      </c>
    </row>
    <row r="2392" ht="19.5" customHeight="1">
      <c r="A2392" s="26" t="s">
        <v>6461</v>
      </c>
      <c r="B2392" s="27" t="s">
        <v>6462</v>
      </c>
      <c r="C2392" s="28" t="s">
        <v>100</v>
      </c>
      <c r="D2392" s="29">
        <v>113.0</v>
      </c>
      <c r="E2392" s="28" t="s">
        <v>6462</v>
      </c>
      <c r="F2392" s="7" t="str">
        <f>IFERROR(__xludf.DUMMYFUNCTION("GOOGLETRANSLATE(B2392:B5064,""en"",""fr"")"),"quelque part")</f>
        <v>quelque part</v>
      </c>
    </row>
    <row r="2393" ht="19.5" customHeight="1">
      <c r="A2393" s="26" t="s">
        <v>6463</v>
      </c>
      <c r="B2393" s="27" t="s">
        <v>6464</v>
      </c>
      <c r="C2393" s="28" t="s">
        <v>32</v>
      </c>
      <c r="D2393" s="29">
        <v>113.0</v>
      </c>
      <c r="E2393" s="28" t="s">
        <v>6465</v>
      </c>
      <c r="F2393" s="7" t="str">
        <f>IFERROR(__xludf.DUMMYFUNCTION("GOOGLETRANSLATE(B2393:B5064,""en"",""fr"")"),"extensible")</f>
        <v>extensible</v>
      </c>
    </row>
    <row r="2394" ht="19.5" customHeight="1">
      <c r="A2394" s="26" t="s">
        <v>6466</v>
      </c>
      <c r="B2394" s="27" t="s">
        <v>6467</v>
      </c>
      <c r="C2394" s="28" t="s">
        <v>32</v>
      </c>
      <c r="D2394" s="29">
        <v>113.0</v>
      </c>
      <c r="E2394" s="28" t="s">
        <v>6468</v>
      </c>
      <c r="F2394" s="7" t="str">
        <f>IFERROR(__xludf.DUMMYFUNCTION("GOOGLETRANSLATE(B2394:B5064,""en"",""fr"")"),"battre")</f>
        <v>battre</v>
      </c>
    </row>
    <row r="2395" ht="19.5" customHeight="1">
      <c r="A2395" s="26" t="s">
        <v>6469</v>
      </c>
      <c r="B2395" s="27" t="s">
        <v>6470</v>
      </c>
      <c r="C2395" s="28" t="s">
        <v>134</v>
      </c>
      <c r="D2395" s="29">
        <v>112.0</v>
      </c>
      <c r="E2395" s="28" t="s">
        <v>6471</v>
      </c>
      <c r="F2395" s="7" t="str">
        <f>IFERROR(__xludf.DUMMYFUNCTION("GOOGLETRANSLATE(B2395:B5064,""en"",""fr"")"),"sanglant")</f>
        <v>sanglant</v>
      </c>
    </row>
    <row r="2396" ht="19.5" customHeight="1">
      <c r="A2396" s="26" t="s">
        <v>6472</v>
      </c>
      <c r="B2396" s="27" t="s">
        <v>6473</v>
      </c>
      <c r="C2396" s="28" t="s">
        <v>178</v>
      </c>
      <c r="D2396" s="29">
        <v>112.0</v>
      </c>
      <c r="E2396" s="28" t="s">
        <v>6474</v>
      </c>
      <c r="F2396" s="7" t="str">
        <f>IFERROR(__xludf.DUMMYFUNCTION("GOOGLETRANSLATE(B2396:B5064,""en"",""fr"")"),"marque")</f>
        <v>marque</v>
      </c>
    </row>
    <row r="2397" ht="19.5" customHeight="1">
      <c r="A2397" s="26" t="s">
        <v>6475</v>
      </c>
      <c r="B2397" s="27" t="s">
        <v>6476</v>
      </c>
      <c r="C2397" s="28" t="s">
        <v>728</v>
      </c>
      <c r="D2397" s="29">
        <v>112.0</v>
      </c>
      <c r="E2397" s="28" t="s">
        <v>6476</v>
      </c>
      <c r="F2397" s="7" t="str">
        <f>IFERROR(__xludf.DUMMYFUNCTION("GOOGLETRANSLATE(B2397:B5064,""en"",""fr"")"),"Britanique")</f>
        <v>Britanique</v>
      </c>
    </row>
    <row r="2398" ht="19.5" customHeight="1">
      <c r="A2398" s="26" t="s">
        <v>6477</v>
      </c>
      <c r="B2398" s="27" t="s">
        <v>6478</v>
      </c>
      <c r="C2398" s="28" t="s">
        <v>178</v>
      </c>
      <c r="D2398" s="29">
        <v>112.0</v>
      </c>
      <c r="E2398" s="28" t="s">
        <v>6479</v>
      </c>
      <c r="F2398" s="7" t="str">
        <f>IFERROR(__xludf.DUMMYFUNCTION("GOOGLETRANSLATE(B2398:B5064,""en"",""fr"")"),"budget")</f>
        <v>budget</v>
      </c>
    </row>
    <row r="2399" ht="19.5" customHeight="1">
      <c r="A2399" s="26" t="s">
        <v>6480</v>
      </c>
      <c r="B2399" s="27" t="s">
        <v>6481</v>
      </c>
      <c r="C2399" s="28" t="s">
        <v>178</v>
      </c>
      <c r="D2399" s="29">
        <v>112.0</v>
      </c>
      <c r="E2399" s="28" t="s">
        <v>6482</v>
      </c>
      <c r="F2399" s="7" t="str">
        <f>IFERROR(__xludf.DUMMYFUNCTION("GOOGLETRANSLATE(B2399:B5064,""en"",""fr"")"),"cabine")</f>
        <v>cabine</v>
      </c>
    </row>
    <row r="2400" ht="19.5" customHeight="1">
      <c r="A2400" s="26" t="s">
        <v>6483</v>
      </c>
      <c r="B2400" s="27" t="s">
        <v>6484</v>
      </c>
      <c r="C2400" s="28" t="s">
        <v>32</v>
      </c>
      <c r="D2400" s="29">
        <v>112.0</v>
      </c>
      <c r="E2400" s="28" t="s">
        <v>6485</v>
      </c>
      <c r="F2400" s="7" t="str">
        <f>IFERROR(__xludf.DUMMYFUNCTION("GOOGLETRANSLATE(B2400:B5064,""en"",""fr"")"),"déterminer")</f>
        <v>déterminer</v>
      </c>
    </row>
    <row r="2401" ht="19.5" customHeight="1">
      <c r="A2401" s="26" t="s">
        <v>6486</v>
      </c>
      <c r="B2401" s="27" t="s">
        <v>6487</v>
      </c>
      <c r="C2401" s="28" t="s">
        <v>178</v>
      </c>
      <c r="D2401" s="29">
        <v>112.0</v>
      </c>
      <c r="E2401" s="28" t="s">
        <v>6488</v>
      </c>
      <c r="F2401" s="7" t="str">
        <f>IFERROR(__xludf.DUMMYFUNCTION("GOOGLETRANSLATE(B2401:B5064,""en"",""fr"")"),"chienchien")</f>
        <v>chienchien</v>
      </c>
    </row>
    <row r="2402" ht="19.5" customHeight="1">
      <c r="A2402" s="26" t="s">
        <v>6489</v>
      </c>
      <c r="B2402" s="27" t="s">
        <v>6490</v>
      </c>
      <c r="C2402" s="28" t="s">
        <v>32</v>
      </c>
      <c r="D2402" s="29">
        <v>112.0</v>
      </c>
      <c r="E2402" s="28" t="s">
        <v>6491</v>
      </c>
      <c r="F2402" s="7" t="str">
        <f>IFERROR(__xludf.DUMMYFUNCTION("GOOGLETRANSLATE(B2402:B5064,""en"",""fr"")"),"divertir")</f>
        <v>divertir</v>
      </c>
    </row>
    <row r="2403" ht="19.5" customHeight="1">
      <c r="A2403" s="26" t="s">
        <v>6492</v>
      </c>
      <c r="B2403" s="27" t="s">
        <v>6493</v>
      </c>
      <c r="C2403" s="28" t="s">
        <v>178</v>
      </c>
      <c r="D2403" s="29">
        <v>112.0</v>
      </c>
      <c r="E2403" s="28" t="s">
        <v>6494</v>
      </c>
      <c r="F2403" s="7" t="str">
        <f>IFERROR(__xludf.DUMMYFUNCTION("GOOGLETRANSLATE(B2403:B5064,""en"",""fr"")"),"casque")</f>
        <v>casque</v>
      </c>
    </row>
    <row r="2404" ht="19.5" customHeight="1">
      <c r="A2404" s="26" t="s">
        <v>6495</v>
      </c>
      <c r="B2404" s="27" t="s">
        <v>6496</v>
      </c>
      <c r="C2404" s="28" t="s">
        <v>178</v>
      </c>
      <c r="D2404" s="29">
        <v>112.0</v>
      </c>
      <c r="E2404" s="28" t="s">
        <v>6497</v>
      </c>
      <c r="F2404" s="7" t="str">
        <f>IFERROR(__xludf.DUMMYFUNCTION("GOOGLETRANSLATE(B2404:B5064,""en"",""fr"")"),"âne")</f>
        <v>âne</v>
      </c>
    </row>
    <row r="2405" ht="19.5" customHeight="1">
      <c r="A2405" s="26" t="s">
        <v>6498</v>
      </c>
      <c r="B2405" s="27" t="s">
        <v>6499</v>
      </c>
      <c r="C2405" s="28" t="s">
        <v>178</v>
      </c>
      <c r="D2405" s="29">
        <v>112.0</v>
      </c>
      <c r="E2405" s="28" t="s">
        <v>6499</v>
      </c>
      <c r="F2405" s="7" t="str">
        <f>IFERROR(__xludf.DUMMYFUNCTION("GOOGLETRANSLATE(B2405:B5064,""en"",""fr"")"),"médias")</f>
        <v>médias</v>
      </c>
    </row>
    <row r="2406" ht="19.5" customHeight="1">
      <c r="A2406" s="26" t="s">
        <v>6500</v>
      </c>
      <c r="B2406" s="27" t="s">
        <v>6501</v>
      </c>
      <c r="C2406" s="28" t="s">
        <v>178</v>
      </c>
      <c r="D2406" s="29">
        <v>112.0</v>
      </c>
      <c r="E2406" s="28" t="s">
        <v>6502</v>
      </c>
      <c r="F2406" s="7" t="str">
        <f>IFERROR(__xludf.DUMMYFUNCTION("GOOGLETRANSLATE(B2406:B5064,""en"",""fr"")"),"mouvement")</f>
        <v>mouvement</v>
      </c>
    </row>
    <row r="2407" ht="19.5" customHeight="1">
      <c r="A2407" s="26" t="s">
        <v>6503</v>
      </c>
      <c r="B2407" s="27" t="s">
        <v>6504</v>
      </c>
      <c r="C2407" s="28" t="s">
        <v>32</v>
      </c>
      <c r="D2407" s="29">
        <v>112.0</v>
      </c>
      <c r="E2407" s="28" t="s">
        <v>6505</v>
      </c>
      <c r="F2407" s="7" t="str">
        <f>IFERROR(__xludf.DUMMYFUNCTION("GOOGLETRANSLATE(B2407:B5064,""en"",""fr"")"),"poussée")</f>
        <v>poussée</v>
      </c>
    </row>
    <row r="2408" ht="19.5" customHeight="1">
      <c r="A2408" s="26" t="s">
        <v>6506</v>
      </c>
      <c r="B2408" s="27" t="s">
        <v>6507</v>
      </c>
      <c r="C2408" s="28" t="s">
        <v>100</v>
      </c>
      <c r="D2408" s="29">
        <v>112.0</v>
      </c>
      <c r="E2408" s="28" t="s">
        <v>6507</v>
      </c>
      <c r="F2408" s="7" t="str">
        <f>IFERROR(__xludf.DUMMYFUNCTION("GOOGLETRANSLATE(B2408:B5064,""en"",""fr"")"),"pratiquement")</f>
        <v>pratiquement</v>
      </c>
    </row>
    <row r="2409" ht="19.5" customHeight="1">
      <c r="A2409" s="26" t="s">
        <v>6508</v>
      </c>
      <c r="B2409" s="27" t="s">
        <v>1566</v>
      </c>
      <c r="C2409" s="28" t="s">
        <v>32</v>
      </c>
      <c r="D2409" s="29">
        <v>112.0</v>
      </c>
      <c r="E2409" s="28" t="s">
        <v>6509</v>
      </c>
      <c r="F2409" s="7" t="str">
        <f>IFERROR(__xludf.DUMMYFUNCTION("GOOGLETRANSLATE(B2409:B5064,""en"",""fr"")"),"règle")</f>
        <v>règle</v>
      </c>
    </row>
    <row r="2410" ht="19.5" customHeight="1">
      <c r="A2410" s="26" t="s">
        <v>6510</v>
      </c>
      <c r="B2410" s="27" t="s">
        <v>6511</v>
      </c>
      <c r="C2410" s="28" t="s">
        <v>178</v>
      </c>
      <c r="D2410" s="29">
        <v>112.0</v>
      </c>
      <c r="E2410" s="28" t="s">
        <v>6512</v>
      </c>
      <c r="F2410" s="7" t="str">
        <f>IFERROR(__xludf.DUMMYFUNCTION("GOOGLETRANSLATE(B2410:B5064,""en"",""fr"")"),"scotch")</f>
        <v>scotch</v>
      </c>
    </row>
    <row r="2411" ht="19.5" customHeight="1">
      <c r="A2411" s="26" t="s">
        <v>6513</v>
      </c>
      <c r="B2411" s="27" t="s">
        <v>6514</v>
      </c>
      <c r="C2411" s="28" t="s">
        <v>178</v>
      </c>
      <c r="D2411" s="29">
        <v>112.0</v>
      </c>
      <c r="E2411" s="28" t="s">
        <v>6515</v>
      </c>
      <c r="F2411" s="7" t="str">
        <f>IFERROR(__xludf.DUMMYFUNCTION("GOOGLETRANSLATE(B2411:B5064,""en"",""fr"")"),"source")</f>
        <v>source</v>
      </c>
    </row>
    <row r="2412" ht="19.5" customHeight="1">
      <c r="A2412" s="26" t="s">
        <v>6516</v>
      </c>
      <c r="B2412" s="27" t="s">
        <v>6517</v>
      </c>
      <c r="C2412" s="28" t="s">
        <v>32</v>
      </c>
      <c r="D2412" s="29">
        <v>112.0</v>
      </c>
      <c r="E2412" s="28" t="s">
        <v>6518</v>
      </c>
      <c r="F2412" s="7" t="str">
        <f>IFERROR(__xludf.DUMMYFUNCTION("GOOGLETRANSLATE(B2412:B5064,""en"",""fr"")"),"gâcher")</f>
        <v>gâcher</v>
      </c>
    </row>
    <row r="2413" ht="19.5" customHeight="1">
      <c r="A2413" s="26" t="s">
        <v>6519</v>
      </c>
      <c r="B2413" s="27" t="s">
        <v>6520</v>
      </c>
      <c r="C2413" s="28" t="s">
        <v>178</v>
      </c>
      <c r="D2413" s="29">
        <v>112.0</v>
      </c>
      <c r="E2413" s="28" t="s">
        <v>6521</v>
      </c>
      <c r="F2413" s="7" t="str">
        <f>IFERROR(__xludf.DUMMYFUNCTION("GOOGLETRANSLATE(B2413:B5064,""en"",""fr"")"),"adolescent")</f>
        <v>adolescent</v>
      </c>
    </row>
    <row r="2414" ht="19.5" customHeight="1">
      <c r="A2414" s="26" t="s">
        <v>6522</v>
      </c>
      <c r="B2414" s="27" t="s">
        <v>6523</v>
      </c>
      <c r="C2414" s="28" t="s">
        <v>178</v>
      </c>
      <c r="D2414" s="29">
        <v>112.0</v>
      </c>
      <c r="E2414" s="28" t="s">
        <v>6524</v>
      </c>
      <c r="F2414" s="7" t="str">
        <f>IFERROR(__xludf.DUMMYFUNCTION("GOOGLETRANSLATE(B2414:B5064,""en"",""fr"")"),"tortue")</f>
        <v>tortue</v>
      </c>
    </row>
    <row r="2415" ht="19.5" customHeight="1">
      <c r="A2415" s="26" t="s">
        <v>6525</v>
      </c>
      <c r="B2415" s="27" t="s">
        <v>2494</v>
      </c>
      <c r="C2415" s="28" t="s">
        <v>178</v>
      </c>
      <c r="D2415" s="29">
        <v>112.0</v>
      </c>
      <c r="E2415" s="28" t="s">
        <v>6526</v>
      </c>
      <c r="F2415" s="7" t="str">
        <f>IFERROR(__xludf.DUMMYFUNCTION("GOOGLETRANSLATE(B2415:B5064,""en"",""fr"")"),"visite")</f>
        <v>visite</v>
      </c>
    </row>
    <row r="2416" ht="19.5" customHeight="1">
      <c r="A2416" s="26" t="s">
        <v>6527</v>
      </c>
      <c r="B2416" s="27" t="s">
        <v>6528</v>
      </c>
      <c r="C2416" s="28" t="s">
        <v>178</v>
      </c>
      <c r="D2416" s="29">
        <v>111.0</v>
      </c>
      <c r="E2416" s="28" t="s">
        <v>6529</v>
      </c>
      <c r="F2416" s="7" t="str">
        <f>IFERROR(__xludf.DUMMYFUNCTION("GOOGLETRANSLATE(B2416:B5064,""en"",""fr"")"),"autorité")</f>
        <v>autorité</v>
      </c>
    </row>
    <row r="2417" ht="19.5" customHeight="1">
      <c r="A2417" s="26" t="s">
        <v>6530</v>
      </c>
      <c r="B2417" s="27" t="s">
        <v>6531</v>
      </c>
      <c r="C2417" s="28" t="s">
        <v>32</v>
      </c>
      <c r="D2417" s="29">
        <v>111.0</v>
      </c>
      <c r="E2417" s="28" t="s">
        <v>6532</v>
      </c>
      <c r="F2417" s="7" t="str">
        <f>IFERROR(__xludf.DUMMYFUNCTION("GOOGLETRANSLATE(B2417:B5064,""en"",""fr"")"),"saigner")</f>
        <v>saigner</v>
      </c>
    </row>
    <row r="2418" ht="19.5" customHeight="1">
      <c r="A2418" s="26" t="s">
        <v>6533</v>
      </c>
      <c r="B2418" s="27" t="s">
        <v>6534</v>
      </c>
      <c r="C2418" s="28" t="s">
        <v>178</v>
      </c>
      <c r="D2418" s="29">
        <v>111.0</v>
      </c>
      <c r="E2418" s="28" t="s">
        <v>6535</v>
      </c>
      <c r="F2418" s="7" t="str">
        <f>IFERROR(__xludf.DUMMYFUNCTION("GOOGLETRANSLATE(B2418:B5064,""en"",""fr"")"),"commentaire")</f>
        <v>commentaire</v>
      </c>
    </row>
    <row r="2419" ht="19.5" customHeight="1">
      <c r="A2419" s="26" t="s">
        <v>6536</v>
      </c>
      <c r="B2419" s="27" t="s">
        <v>6537</v>
      </c>
      <c r="C2419" s="28" t="s">
        <v>32</v>
      </c>
      <c r="D2419" s="29">
        <v>111.0</v>
      </c>
      <c r="E2419" s="28" t="s">
        <v>6538</v>
      </c>
      <c r="F2419" s="7" t="str">
        <f>IFERROR(__xludf.DUMMYFUNCTION("GOOGLETRANSLATE(B2419:B5064,""en"",""fr"")"),"rivaliser")</f>
        <v>rivaliser</v>
      </c>
    </row>
    <row r="2420" ht="19.5" customHeight="1">
      <c r="A2420" s="26" t="s">
        <v>6539</v>
      </c>
      <c r="B2420" s="27" t="s">
        <v>6540</v>
      </c>
      <c r="C2420" s="28" t="s">
        <v>178</v>
      </c>
      <c r="D2420" s="29">
        <v>111.0</v>
      </c>
      <c r="E2420" s="28" t="s">
        <v>6540</v>
      </c>
      <c r="F2420" s="7" t="str">
        <f>IFERROR(__xludf.DUMMYFUNCTION("GOOGLETRANSLATE(B2420:B5064,""en"",""fr"")"),"confiance")</f>
        <v>confiance</v>
      </c>
    </row>
    <row r="2421" ht="19.5" customHeight="1">
      <c r="A2421" s="26" t="s">
        <v>6541</v>
      </c>
      <c r="B2421" s="27" t="s">
        <v>6542</v>
      </c>
      <c r="C2421" s="28" t="s">
        <v>178</v>
      </c>
      <c r="D2421" s="29">
        <v>111.0</v>
      </c>
      <c r="E2421" s="28" t="s">
        <v>6543</v>
      </c>
      <c r="F2421" s="7" t="str">
        <f>IFERROR(__xludf.DUMMYFUNCTION("GOOGLETRANSLATE(B2421:B5064,""en"",""fr"")"),"convention")</f>
        <v>convention</v>
      </c>
    </row>
    <row r="2422" ht="19.5" customHeight="1">
      <c r="A2422" s="26" t="s">
        <v>6544</v>
      </c>
      <c r="B2422" s="27" t="s">
        <v>6545</v>
      </c>
      <c r="C2422" s="28" t="s">
        <v>32</v>
      </c>
      <c r="D2422" s="29">
        <v>111.0</v>
      </c>
      <c r="E2422" s="28" t="s">
        <v>6546</v>
      </c>
      <c r="F2422" s="7" t="str">
        <f>IFERROR(__xludf.DUMMYFUNCTION("GOOGLETRANSLATE(B2422:B5064,""en"",""fr"")"),"défendre")</f>
        <v>défendre</v>
      </c>
    </row>
    <row r="2423" ht="19.5" customHeight="1">
      <c r="A2423" s="26" t="s">
        <v>6547</v>
      </c>
      <c r="B2423" s="27" t="s">
        <v>6548</v>
      </c>
      <c r="C2423" s="28" t="s">
        <v>178</v>
      </c>
      <c r="D2423" s="29">
        <v>111.0</v>
      </c>
      <c r="E2423" s="28" t="s">
        <v>6549</v>
      </c>
      <c r="F2423" s="7" t="str">
        <f>IFERROR(__xludf.DUMMYFUNCTION("GOOGLETRANSLATE(B2423:B5064,""en"",""fr"")"),"éclair")</f>
        <v>éclair</v>
      </c>
    </row>
    <row r="2424" ht="19.5" customHeight="1">
      <c r="A2424" s="26" t="s">
        <v>6550</v>
      </c>
      <c r="B2424" s="27" t="s">
        <v>6551</v>
      </c>
      <c r="C2424" s="28" t="s">
        <v>32</v>
      </c>
      <c r="D2424" s="29">
        <v>111.0</v>
      </c>
      <c r="E2424" s="28" t="s">
        <v>6552</v>
      </c>
      <c r="F2424" s="7" t="str">
        <f>IFERROR(__xludf.DUMMYFUNCTION("GOOGLETRANSLATE(B2424:B5064,""en"",""fr"")"),"guérir")</f>
        <v>guérir</v>
      </c>
    </row>
    <row r="2425" ht="19.5" customHeight="1">
      <c r="A2425" s="26" t="s">
        <v>6553</v>
      </c>
      <c r="B2425" s="27" t="s">
        <v>6554</v>
      </c>
      <c r="C2425" s="28" t="s">
        <v>178</v>
      </c>
      <c r="D2425" s="29">
        <v>111.0</v>
      </c>
      <c r="E2425" s="28" t="s">
        <v>6555</v>
      </c>
      <c r="F2425" s="7" t="str">
        <f>IFERROR(__xludf.DUMMYFUNCTION("GOOGLETRANSLATE(B2425:B5064,""en"",""fr"")"),"hippie")</f>
        <v>hippie</v>
      </c>
    </row>
    <row r="2426" ht="19.5" customHeight="1">
      <c r="A2426" s="26" t="s">
        <v>6556</v>
      </c>
      <c r="B2426" s="27" t="s">
        <v>2321</v>
      </c>
      <c r="C2426" s="28" t="s">
        <v>178</v>
      </c>
      <c r="D2426" s="29">
        <v>111.0</v>
      </c>
      <c r="E2426" s="28" t="s">
        <v>6557</v>
      </c>
      <c r="F2426" s="7" t="str">
        <f>IFERROR(__xludf.DUMMYFUNCTION("GOOGLETRANSLATE(B2426:B5064,""en"",""fr"")"),"à l'intérieur")</f>
        <v>à l'intérieur</v>
      </c>
    </row>
    <row r="2427" ht="19.5" customHeight="1">
      <c r="A2427" s="26" t="s">
        <v>6558</v>
      </c>
      <c r="B2427" s="27" t="s">
        <v>2981</v>
      </c>
      <c r="C2427" s="28" t="s">
        <v>134</v>
      </c>
      <c r="D2427" s="29">
        <v>111.0</v>
      </c>
      <c r="E2427" s="28" t="s">
        <v>2981</v>
      </c>
      <c r="F2427" s="7" t="str">
        <f>IFERROR(__xludf.DUMMYFUNCTION("GOOGLETRANSLATE(B2427:B5064,""en"",""fr"")"),"passé")</f>
        <v>passé</v>
      </c>
    </row>
    <row r="2428" ht="19.5" customHeight="1">
      <c r="A2428" s="26" t="s">
        <v>6559</v>
      </c>
      <c r="B2428" s="27" t="s">
        <v>6560</v>
      </c>
      <c r="C2428" s="28" t="s">
        <v>178</v>
      </c>
      <c r="D2428" s="29">
        <v>111.0</v>
      </c>
      <c r="E2428" s="28" t="s">
        <v>6561</v>
      </c>
      <c r="F2428" s="7" t="str">
        <f>IFERROR(__xludf.DUMMYFUNCTION("GOOGLETRANSLATE(B2428:B5064,""en"",""fr"")"),"phase")</f>
        <v>phase</v>
      </c>
    </row>
    <row r="2429" ht="19.5" customHeight="1">
      <c r="A2429" s="26" t="s">
        <v>6562</v>
      </c>
      <c r="B2429" s="27" t="s">
        <v>6563</v>
      </c>
      <c r="C2429" s="28" t="s">
        <v>178</v>
      </c>
      <c r="D2429" s="29">
        <v>111.0</v>
      </c>
      <c r="E2429" s="28" t="s">
        <v>6564</v>
      </c>
      <c r="F2429" s="7" t="str">
        <f>IFERROR(__xludf.DUMMYFUNCTION("GOOGLETRANSLATE(B2429:B5064,""en"",""fr"")"),"fantoche")</f>
        <v>fantoche</v>
      </c>
    </row>
    <row r="2430" ht="19.5" customHeight="1">
      <c r="A2430" s="26" t="s">
        <v>6565</v>
      </c>
      <c r="B2430" s="27" t="s">
        <v>6566</v>
      </c>
      <c r="C2430" s="28" t="s">
        <v>32</v>
      </c>
      <c r="D2430" s="29">
        <v>111.0</v>
      </c>
      <c r="E2430" s="28" t="s">
        <v>6567</v>
      </c>
      <c r="F2430" s="7" t="str">
        <f>IFERROR(__xludf.DUMMYFUNCTION("GOOGLETRANSLATE(B2430:B5064,""en"",""fr"")"),"répondre")</f>
        <v>répondre</v>
      </c>
    </row>
    <row r="2431" ht="19.5" customHeight="1">
      <c r="A2431" s="26" t="s">
        <v>6568</v>
      </c>
      <c r="B2431" s="27" t="s">
        <v>6569</v>
      </c>
      <c r="C2431" s="28" t="s">
        <v>32</v>
      </c>
      <c r="D2431" s="29">
        <v>111.0</v>
      </c>
      <c r="E2431" s="28" t="s">
        <v>6570</v>
      </c>
      <c r="F2431" s="7" t="str">
        <f>IFERROR(__xludf.DUMMYFUNCTION("GOOGLETRANSLATE(B2431:B5064,""en"",""fr"")"),"révéler")</f>
        <v>révéler</v>
      </c>
    </row>
    <row r="2432" ht="19.5" customHeight="1">
      <c r="A2432" s="26" t="s">
        <v>6571</v>
      </c>
      <c r="B2432" s="27" t="s">
        <v>6572</v>
      </c>
      <c r="C2432" s="28" t="s">
        <v>134</v>
      </c>
      <c r="D2432" s="29">
        <v>111.0</v>
      </c>
      <c r="E2432" s="28" t="s">
        <v>6573</v>
      </c>
      <c r="F2432" s="7" t="str">
        <f>IFERROR(__xludf.DUMMYFUNCTION("GOOGLETRANSLATE(B2432:B5064,""en"",""fr"")"),"pointu")</f>
        <v>pointu</v>
      </c>
    </row>
    <row r="2433" ht="19.5" customHeight="1">
      <c r="A2433" s="26" t="s">
        <v>6574</v>
      </c>
      <c r="B2433" s="27" t="s">
        <v>6575</v>
      </c>
      <c r="C2433" s="28" t="s">
        <v>32</v>
      </c>
      <c r="D2433" s="29">
        <v>111.0</v>
      </c>
      <c r="E2433" s="28" t="s">
        <v>6576</v>
      </c>
      <c r="F2433" s="7" t="str">
        <f>IFERROR(__xludf.DUMMYFUNCTION("GOOGLETRANSLATE(B2433:B5064,""en"",""fr"")"),"transfert")</f>
        <v>transfert</v>
      </c>
    </row>
    <row r="2434" ht="19.5" customHeight="1">
      <c r="A2434" s="26" t="s">
        <v>6577</v>
      </c>
      <c r="B2434" s="27" t="s">
        <v>6578</v>
      </c>
      <c r="C2434" s="28" t="s">
        <v>178</v>
      </c>
      <c r="D2434" s="29">
        <v>111.0</v>
      </c>
      <c r="E2434" s="28" t="s">
        <v>6579</v>
      </c>
      <c r="F2434" s="7" t="str">
        <f>IFERROR(__xludf.DUMMYFUNCTION("GOOGLETRANSLATE(B2434:B5064,""en"",""fr"")"),"perruque")</f>
        <v>perruque</v>
      </c>
    </row>
    <row r="2435" ht="19.5" customHeight="1">
      <c r="A2435" s="26" t="s">
        <v>6580</v>
      </c>
      <c r="B2435" s="27" t="s">
        <v>6581</v>
      </c>
      <c r="C2435" s="28" t="s">
        <v>178</v>
      </c>
      <c r="D2435" s="29">
        <v>110.0</v>
      </c>
      <c r="E2435" s="28" t="s">
        <v>6582</v>
      </c>
      <c r="F2435" s="7" t="str">
        <f>IFERROR(__xludf.DUMMYFUNCTION("GOOGLETRANSLATE(B2435:B5064,""en"",""fr"")"),"allée")</f>
        <v>allée</v>
      </c>
    </row>
    <row r="2436" ht="19.5" customHeight="1">
      <c r="A2436" s="26" t="s">
        <v>6583</v>
      </c>
      <c r="B2436" s="27" t="s">
        <v>6584</v>
      </c>
      <c r="C2436" s="28" t="s">
        <v>178</v>
      </c>
      <c r="D2436" s="29">
        <v>110.0</v>
      </c>
      <c r="E2436" s="28" t="s">
        <v>6585</v>
      </c>
      <c r="F2436" s="7" t="str">
        <f>IFERROR(__xludf.DUMMYFUNCTION("GOOGLETRANSLATE(B2436:B5064,""en"",""fr"")"),"commande")</f>
        <v>commande</v>
      </c>
    </row>
    <row r="2437" ht="19.5" customHeight="1">
      <c r="A2437" s="26" t="s">
        <v>6586</v>
      </c>
      <c r="B2437" s="27" t="s">
        <v>6587</v>
      </c>
      <c r="C2437" s="28" t="s">
        <v>178</v>
      </c>
      <c r="D2437" s="29">
        <v>110.0</v>
      </c>
      <c r="E2437" s="28" t="s">
        <v>6588</v>
      </c>
      <c r="F2437" s="7" t="str">
        <f>IFERROR(__xludf.DUMMYFUNCTION("GOOGLETRANSLATE(B2437:B5064,""en"",""fr"")"),"détective")</f>
        <v>détective</v>
      </c>
    </row>
    <row r="2438" ht="19.5" customHeight="1">
      <c r="A2438" s="26" t="s">
        <v>6589</v>
      </c>
      <c r="B2438" s="27" t="s">
        <v>6590</v>
      </c>
      <c r="C2438" s="28" t="s">
        <v>178</v>
      </c>
      <c r="D2438" s="29">
        <v>110.0</v>
      </c>
      <c r="E2438" s="28" t="s">
        <v>6591</v>
      </c>
      <c r="F2438" s="7" t="str">
        <f>IFERROR(__xludf.DUMMYFUNCTION("GOOGLETRANSLATE(B2438:B5064,""en"",""fr"")"),"dauphin")</f>
        <v>dauphin</v>
      </c>
    </row>
    <row r="2439" ht="19.5" customHeight="1">
      <c r="A2439" s="26" t="s">
        <v>6592</v>
      </c>
      <c r="B2439" s="27" t="s">
        <v>6593</v>
      </c>
      <c r="C2439" s="28" t="s">
        <v>178</v>
      </c>
      <c r="D2439" s="29">
        <v>110.0</v>
      </c>
      <c r="E2439" s="28" t="s">
        <v>6594</v>
      </c>
      <c r="F2439" s="7" t="str">
        <f>IFERROR(__xludf.DUMMYFUNCTION("GOOGLETRANSLATE(B2439:B5064,""en"",""fr"")"),"sortie")</f>
        <v>sortie</v>
      </c>
    </row>
    <row r="2440" ht="19.5" customHeight="1">
      <c r="A2440" s="26" t="s">
        <v>6595</v>
      </c>
      <c r="B2440" s="27" t="s">
        <v>6596</v>
      </c>
      <c r="C2440" s="28" t="s">
        <v>178</v>
      </c>
      <c r="D2440" s="29">
        <v>110.0</v>
      </c>
      <c r="E2440" s="28" t="s">
        <v>6597</v>
      </c>
      <c r="F2440" s="7" t="str">
        <f>IFERROR(__xludf.DUMMYFUNCTION("GOOGLETRANSLATE(B2440:B5064,""en"",""fr"")"),"expert")</f>
        <v>expert</v>
      </c>
    </row>
    <row r="2441" ht="19.5" customHeight="1">
      <c r="A2441" s="26" t="s">
        <v>6598</v>
      </c>
      <c r="B2441" s="27" t="s">
        <v>6599</v>
      </c>
      <c r="C2441" s="28" t="s">
        <v>134</v>
      </c>
      <c r="D2441" s="29">
        <v>110.0</v>
      </c>
      <c r="E2441" s="28" t="s">
        <v>6600</v>
      </c>
      <c r="F2441" s="7" t="str">
        <f>IFERROR(__xludf.DUMMYFUNCTION("GOOGLETRANSLATE(B2441:B5064,""en"",""fr"")"),"grandiose")</f>
        <v>grandiose</v>
      </c>
    </row>
    <row r="2442" ht="19.5" customHeight="1">
      <c r="A2442" s="26" t="s">
        <v>6601</v>
      </c>
      <c r="B2442" s="27" t="s">
        <v>5154</v>
      </c>
      <c r="C2442" s="28" t="s">
        <v>32</v>
      </c>
      <c r="D2442" s="29">
        <v>110.0</v>
      </c>
      <c r="E2442" s="28" t="s">
        <v>6602</v>
      </c>
      <c r="F2442" s="7" t="str">
        <f>IFERROR(__xludf.DUMMYFUNCTION("GOOGLETRANSLATE(B2442:B5064,""en"",""fr"")"),"chaleur")</f>
        <v>chaleur</v>
      </c>
    </row>
    <row r="2443" ht="19.5" customHeight="1">
      <c r="A2443" s="26" t="s">
        <v>6603</v>
      </c>
      <c r="B2443" s="27" t="s">
        <v>6604</v>
      </c>
      <c r="C2443" s="28" t="s">
        <v>178</v>
      </c>
      <c r="D2443" s="29">
        <v>110.0</v>
      </c>
      <c r="E2443" s="28" t="s">
        <v>6605</v>
      </c>
      <c r="F2443" s="7" t="str">
        <f>IFERROR(__xludf.DUMMYFUNCTION("GOOGLETRANSLATE(B2443:B5064,""en"",""fr"")"),"industrie")</f>
        <v>industrie</v>
      </c>
    </row>
    <row r="2444" ht="19.5" customHeight="1">
      <c r="A2444" s="26" t="s">
        <v>6606</v>
      </c>
      <c r="B2444" s="27" t="s">
        <v>6607</v>
      </c>
      <c r="C2444" s="28" t="s">
        <v>178</v>
      </c>
      <c r="D2444" s="29">
        <v>110.0</v>
      </c>
      <c r="E2444" s="28" t="s">
        <v>6608</v>
      </c>
      <c r="F2444" s="7" t="str">
        <f>IFERROR(__xludf.DUMMYFUNCTION("GOOGLETRANSLATE(B2444:B5064,""en"",""fr"")"),"étiquette")</f>
        <v>étiquette</v>
      </c>
    </row>
    <row r="2445" ht="19.5" customHeight="1">
      <c r="A2445" s="26" t="s">
        <v>6609</v>
      </c>
      <c r="B2445" s="27" t="s">
        <v>6610</v>
      </c>
      <c r="C2445" s="28" t="s">
        <v>178</v>
      </c>
      <c r="D2445" s="29">
        <v>110.0</v>
      </c>
      <c r="E2445" s="28" t="s">
        <v>6611</v>
      </c>
      <c r="F2445" s="7" t="str">
        <f>IFERROR(__xludf.DUMMYFUNCTION("GOOGLETRANSLATE(B2445:B5064,""en"",""fr"")"),"limite")</f>
        <v>limite</v>
      </c>
    </row>
    <row r="2446" ht="19.5" customHeight="1">
      <c r="A2446" s="26" t="s">
        <v>6612</v>
      </c>
      <c r="B2446" s="27" t="s">
        <v>6613</v>
      </c>
      <c r="C2446" s="28" t="s">
        <v>134</v>
      </c>
      <c r="D2446" s="29">
        <v>110.0</v>
      </c>
      <c r="E2446" s="28" t="s">
        <v>6614</v>
      </c>
      <c r="F2446" s="7" t="str">
        <f>IFERROR(__xludf.DUMMYFUNCTION("GOOGLETRANSLATE(B2446:B5064,""en"",""fr"")"),"mature")</f>
        <v>mature</v>
      </c>
    </row>
    <row r="2447" ht="19.5" customHeight="1">
      <c r="A2447" s="26" t="s">
        <v>6615</v>
      </c>
      <c r="B2447" s="27" t="s">
        <v>6616</v>
      </c>
      <c r="C2447" s="28" t="s">
        <v>32</v>
      </c>
      <c r="D2447" s="29">
        <v>110.0</v>
      </c>
      <c r="E2447" s="28" t="s">
        <v>6617</v>
      </c>
      <c r="F2447" s="7" t="str">
        <f>IFERROR(__xludf.DUMMYFUNCTION("GOOGLETRANSLATE(B2447:B5064,""en"",""fr"")"),"pas")</f>
        <v>pas</v>
      </c>
    </row>
    <row r="2448" ht="19.5" customHeight="1">
      <c r="A2448" s="26" t="s">
        <v>6618</v>
      </c>
      <c r="B2448" s="27" t="s">
        <v>6619</v>
      </c>
      <c r="C2448" s="28" t="s">
        <v>32</v>
      </c>
      <c r="D2448" s="29">
        <v>110.0</v>
      </c>
      <c r="E2448" s="28" t="s">
        <v>6620</v>
      </c>
      <c r="F2448" s="7" t="str">
        <f>IFERROR(__xludf.DUMMYFUNCTION("GOOGLETRANSLATE(B2448:B5064,""en"",""fr"")"),"pompe")</f>
        <v>pompe</v>
      </c>
    </row>
    <row r="2449" ht="19.5" customHeight="1">
      <c r="A2449" s="26" t="s">
        <v>6621</v>
      </c>
      <c r="B2449" s="27" t="s">
        <v>6622</v>
      </c>
      <c r="C2449" s="28" t="s">
        <v>134</v>
      </c>
      <c r="D2449" s="29">
        <v>110.0</v>
      </c>
      <c r="E2449" s="28" t="s">
        <v>6622</v>
      </c>
      <c r="F2449" s="7" t="str">
        <f>IFERROR(__xludf.DUMMYFUNCTION("GOOGLETRANSLATE(B2449:B5064,""en"",""fr"")"),"raciste")</f>
        <v>raciste</v>
      </c>
    </row>
    <row r="2450" ht="19.5" customHeight="1">
      <c r="A2450" s="26" t="s">
        <v>6623</v>
      </c>
      <c r="B2450" s="27" t="s">
        <v>4800</v>
      </c>
      <c r="C2450" s="28" t="s">
        <v>178</v>
      </c>
      <c r="D2450" s="29">
        <v>110.0</v>
      </c>
      <c r="E2450" s="28" t="s">
        <v>6624</v>
      </c>
      <c r="F2450" s="7" t="str">
        <f>IFERROR(__xludf.DUMMYFUNCTION("GOOGLETRANSLATE(B2450:B5064,""en"",""fr"")"),"balançoire")</f>
        <v>balançoire</v>
      </c>
    </row>
    <row r="2451" ht="19.5" customHeight="1">
      <c r="A2451" s="26" t="s">
        <v>6625</v>
      </c>
      <c r="B2451" s="27" t="s">
        <v>6626</v>
      </c>
      <c r="C2451" s="28" t="s">
        <v>36</v>
      </c>
      <c r="D2451" s="29">
        <v>110.0</v>
      </c>
      <c r="E2451" s="28" t="s">
        <v>6626</v>
      </c>
      <c r="F2451" s="7" t="str">
        <f>IFERROR(__xludf.DUMMYFUNCTION("GOOGLETRANSLATE(B2451:B5064,""en"",""fr"")"),"qui")</f>
        <v>qui</v>
      </c>
    </row>
    <row r="2452" ht="19.5" customHeight="1">
      <c r="A2452" s="26" t="s">
        <v>6627</v>
      </c>
      <c r="B2452" s="27" t="s">
        <v>6628</v>
      </c>
      <c r="C2452" s="28" t="s">
        <v>178</v>
      </c>
      <c r="D2452" s="29">
        <v>109.0</v>
      </c>
      <c r="E2452" s="28" t="s">
        <v>6629</v>
      </c>
      <c r="F2452" s="7" t="str">
        <f>IFERROR(__xludf.DUMMYFUNCTION("GOOGLETRANSLATE(B2452:B5064,""en"",""fr"")"),"comédien")</f>
        <v>comédien</v>
      </c>
    </row>
    <row r="2453" ht="19.5" customHeight="1">
      <c r="A2453" s="26" t="s">
        <v>6630</v>
      </c>
      <c r="B2453" s="27" t="s">
        <v>6631</v>
      </c>
      <c r="C2453" s="28" t="s">
        <v>178</v>
      </c>
      <c r="D2453" s="29">
        <v>109.0</v>
      </c>
      <c r="E2453" s="28" t="s">
        <v>6632</v>
      </c>
      <c r="F2453" s="7" t="str">
        <f>IFERROR(__xludf.DUMMYFUNCTION("GOOGLETRANSLATE(B2453:B5064,""en"",""fr"")"),"compliment")</f>
        <v>compliment</v>
      </c>
    </row>
    <row r="2454" ht="19.5" customHeight="1">
      <c r="A2454" s="26" t="s">
        <v>6633</v>
      </c>
      <c r="B2454" s="27" t="s">
        <v>6634</v>
      </c>
      <c r="C2454" s="28" t="s">
        <v>178</v>
      </c>
      <c r="D2454" s="29">
        <v>109.0</v>
      </c>
      <c r="E2454" s="28" t="s">
        <v>6635</v>
      </c>
      <c r="F2454" s="7" t="str">
        <f>IFERROR(__xludf.DUMMYFUNCTION("GOOGLETRANSLATE(B2454:B5064,""en"",""fr"")"),"fourchette")</f>
        <v>fourchette</v>
      </c>
    </row>
    <row r="2455" ht="19.5" customHeight="1">
      <c r="A2455" s="26" t="s">
        <v>6636</v>
      </c>
      <c r="B2455" s="27" t="s">
        <v>6637</v>
      </c>
      <c r="C2455" s="28" t="s">
        <v>32</v>
      </c>
      <c r="D2455" s="29">
        <v>109.0</v>
      </c>
      <c r="E2455" s="28" t="s">
        <v>6638</v>
      </c>
      <c r="F2455" s="7" t="str">
        <f>IFERROR(__xludf.DUMMYFUNCTION("GOOGLETRANSLATE(B2455:B5064,""en"",""fr"")"),"garantie")</f>
        <v>garantie</v>
      </c>
    </row>
    <row r="2456" ht="19.5" customHeight="1">
      <c r="A2456" s="26" t="s">
        <v>6639</v>
      </c>
      <c r="B2456" s="27" t="s">
        <v>6640</v>
      </c>
      <c r="C2456" s="28" t="s">
        <v>178</v>
      </c>
      <c r="D2456" s="29">
        <v>109.0</v>
      </c>
      <c r="E2456" s="28" t="s">
        <v>6641</v>
      </c>
      <c r="F2456" s="7" t="str">
        <f>IFERROR(__xludf.DUMMYFUNCTION("GOOGLETRANSLATE(B2456:B5064,""en"",""fr"")"),"magicien")</f>
        <v>magicien</v>
      </c>
    </row>
    <row r="2457" ht="19.5" customHeight="1">
      <c r="A2457" s="26" t="s">
        <v>6642</v>
      </c>
      <c r="B2457" s="27" t="s">
        <v>6643</v>
      </c>
      <c r="C2457" s="28" t="s">
        <v>178</v>
      </c>
      <c r="D2457" s="29">
        <v>109.0</v>
      </c>
      <c r="E2457" s="28" t="s">
        <v>6644</v>
      </c>
      <c r="F2457" s="7" t="str">
        <f>IFERROR(__xludf.DUMMYFUNCTION("GOOGLETRANSLATE(B2457:B5064,""en"",""fr"")"),"meurtrier")</f>
        <v>meurtrier</v>
      </c>
    </row>
    <row r="2458" ht="19.5" customHeight="1">
      <c r="A2458" s="26" t="s">
        <v>6645</v>
      </c>
      <c r="B2458" s="27" t="s">
        <v>6646</v>
      </c>
      <c r="C2458" s="28" t="s">
        <v>32</v>
      </c>
      <c r="D2458" s="29">
        <v>109.0</v>
      </c>
      <c r="E2458" s="28" t="s">
        <v>6647</v>
      </c>
      <c r="F2458" s="7" t="str">
        <f>IFERROR(__xludf.DUMMYFUNCTION("GOOGLETRANSLATE(B2458:B5064,""en"",""fr"")"),"se produire")</f>
        <v>se produire</v>
      </c>
    </row>
    <row r="2459" ht="19.5" customHeight="1">
      <c r="A2459" s="26" t="s">
        <v>6648</v>
      </c>
      <c r="B2459" s="27" t="s">
        <v>6649</v>
      </c>
      <c r="C2459" s="28" t="s">
        <v>178</v>
      </c>
      <c r="D2459" s="29">
        <v>109.0</v>
      </c>
      <c r="E2459" s="28" t="s">
        <v>6649</v>
      </c>
      <c r="F2459" s="7" t="str">
        <f>IFERROR(__xludf.DUMMYFUNCTION("GOOGLETRANSLATE(B2459:B5064,""en"",""fr"")"),"porc")</f>
        <v>porc</v>
      </c>
    </row>
    <row r="2460" ht="19.5" customHeight="1">
      <c r="A2460" s="26" t="s">
        <v>6650</v>
      </c>
      <c r="B2460" s="27" t="s">
        <v>6651</v>
      </c>
      <c r="C2460" s="28" t="s">
        <v>178</v>
      </c>
      <c r="D2460" s="29">
        <v>109.0</v>
      </c>
      <c r="E2460" s="28" t="s">
        <v>6651</v>
      </c>
      <c r="F2460" s="7" t="str">
        <f>IFERROR(__xludf.DUMMYFUNCTION("GOOGLETRANSLATE(B2460:B5064,""en"",""fr"")"),"football")</f>
        <v>football</v>
      </c>
    </row>
    <row r="2461" ht="19.5" customHeight="1">
      <c r="A2461" s="26" t="s">
        <v>6652</v>
      </c>
      <c r="B2461" s="27" t="s">
        <v>6393</v>
      </c>
      <c r="C2461" s="28" t="s">
        <v>178</v>
      </c>
      <c r="D2461" s="29">
        <v>109.0</v>
      </c>
      <c r="E2461" s="28" t="s">
        <v>6653</v>
      </c>
      <c r="F2461" s="7" t="str">
        <f>IFERROR(__xludf.DUMMYFUNCTION("GOOGLETRANSLATE(B2461:B5064,""en"",""fr"")"),"vague")</f>
        <v>vague</v>
      </c>
    </row>
    <row r="2462" ht="19.5" customHeight="1">
      <c r="A2462" s="26" t="s">
        <v>6654</v>
      </c>
      <c r="B2462" s="27" t="s">
        <v>6655</v>
      </c>
      <c r="C2462" s="28" t="s">
        <v>178</v>
      </c>
      <c r="D2462" s="29">
        <v>108.0</v>
      </c>
      <c r="E2462" s="28" t="s">
        <v>6656</v>
      </c>
      <c r="F2462" s="7" t="str">
        <f>IFERROR(__xludf.DUMMYFUNCTION("GOOGLETRANSLATE(B2462:B5064,""en"",""fr"")"),"accéder")</f>
        <v>accéder</v>
      </c>
    </row>
    <row r="2463" ht="19.5" customHeight="1">
      <c r="A2463" s="26" t="s">
        <v>6657</v>
      </c>
      <c r="B2463" s="27" t="s">
        <v>6658</v>
      </c>
      <c r="C2463" s="28" t="s">
        <v>178</v>
      </c>
      <c r="D2463" s="29">
        <v>108.0</v>
      </c>
      <c r="E2463" s="28" t="s">
        <v>6659</v>
      </c>
      <c r="F2463" s="7" t="str">
        <f>IFERROR(__xludf.DUMMYFUNCTION("GOOGLETRANSLATE(B2463:B5064,""en"",""fr"")"),"actrice")</f>
        <v>actrice</v>
      </c>
    </row>
    <row r="2464" ht="19.5" customHeight="1">
      <c r="A2464" s="26" t="s">
        <v>6660</v>
      </c>
      <c r="B2464" s="27" t="s">
        <v>6661</v>
      </c>
      <c r="C2464" s="28" t="s">
        <v>178</v>
      </c>
      <c r="D2464" s="29">
        <v>108.0</v>
      </c>
      <c r="E2464" s="28" t="s">
        <v>6662</v>
      </c>
      <c r="F2464" s="7" t="str">
        <f>IFERROR(__xludf.DUMMYFUNCTION("GOOGLETRANSLATE(B2464:B5064,""en"",""fr"")"),"sauvegarde")</f>
        <v>sauvegarde</v>
      </c>
    </row>
    <row r="2465" ht="19.5" customHeight="1">
      <c r="A2465" s="26" t="s">
        <v>6663</v>
      </c>
      <c r="B2465" s="27" t="s">
        <v>6664</v>
      </c>
      <c r="C2465" s="28" t="s">
        <v>85</v>
      </c>
      <c r="D2465" s="29">
        <v>108.0</v>
      </c>
      <c r="E2465" s="28" t="s">
        <v>6664</v>
      </c>
      <c r="F2465" s="7" t="str">
        <f>IFERROR(__xludf.DUMMYFUNCTION("GOOGLETRANSLATE(B2465:B5064,""en"",""fr"")"),"bam")</f>
        <v>bam</v>
      </c>
    </row>
    <row r="2466" ht="19.5" customHeight="1">
      <c r="A2466" s="26" t="s">
        <v>6665</v>
      </c>
      <c r="B2466" s="27" t="s">
        <v>6666</v>
      </c>
      <c r="C2466" s="28" t="s">
        <v>32</v>
      </c>
      <c r="D2466" s="29">
        <v>108.0</v>
      </c>
      <c r="E2466" s="28" t="s">
        <v>6667</v>
      </c>
      <c r="F2466" s="7" t="str">
        <f>IFERROR(__xludf.DUMMYFUNCTION("GOOGLETRANSLATE(B2466:B5064,""en"",""fr"")"),"se comporter")</f>
        <v>se comporter</v>
      </c>
    </row>
    <row r="2467" ht="19.5" customHeight="1">
      <c r="A2467" s="26" t="s">
        <v>6668</v>
      </c>
      <c r="B2467" s="27" t="s">
        <v>6669</v>
      </c>
      <c r="C2467" s="28" t="s">
        <v>32</v>
      </c>
      <c r="D2467" s="29">
        <v>108.0</v>
      </c>
      <c r="E2467" s="28" t="s">
        <v>6670</v>
      </c>
      <c r="F2467" s="7" t="str">
        <f>IFERROR(__xludf.DUMMYFUNCTION("GOOGLETRANSLATE(B2467:B5064,""en"",""fr"")"),"encourager")</f>
        <v>encourager</v>
      </c>
    </row>
    <row r="2468" ht="19.5" customHeight="1">
      <c r="A2468" s="26" t="s">
        <v>6671</v>
      </c>
      <c r="B2468" s="27" t="s">
        <v>6672</v>
      </c>
      <c r="C2468" s="28" t="s">
        <v>178</v>
      </c>
      <c r="D2468" s="29">
        <v>108.0</v>
      </c>
      <c r="E2468" s="28" t="s">
        <v>6673</v>
      </c>
      <c r="F2468" s="7" t="str">
        <f>IFERROR(__xludf.DUMMYFUNCTION("GOOGLETRANSLATE(B2468:B5064,""en"",""fr"")"),"domaine")</f>
        <v>domaine</v>
      </c>
    </row>
    <row r="2469" ht="19.5" customHeight="1">
      <c r="A2469" s="26" t="s">
        <v>6674</v>
      </c>
      <c r="B2469" s="27" t="s">
        <v>5727</v>
      </c>
      <c r="C2469" s="28" t="s">
        <v>178</v>
      </c>
      <c r="D2469" s="29">
        <v>108.0</v>
      </c>
      <c r="E2469" s="28" t="s">
        <v>6675</v>
      </c>
      <c r="F2469" s="7" t="str">
        <f>IFERROR(__xludf.DUMMYFUNCTION("GOOGLETRANSLATE(B2469:B5064,""en"",""fr"")"),"compagnon")</f>
        <v>compagnon</v>
      </c>
    </row>
    <row r="2470" ht="19.5" customHeight="1">
      <c r="A2470" s="26" t="s">
        <v>6676</v>
      </c>
      <c r="B2470" s="27" t="s">
        <v>6677</v>
      </c>
      <c r="C2470" s="28" t="s">
        <v>32</v>
      </c>
      <c r="D2470" s="29">
        <v>108.0</v>
      </c>
      <c r="E2470" s="28" t="s">
        <v>6678</v>
      </c>
      <c r="F2470" s="7" t="str">
        <f>IFERROR(__xludf.DUMMYFUNCTION("GOOGLETRANSLATE(B2470:B5064,""en"",""fr"")"),"flirter")</f>
        <v>flirter</v>
      </c>
    </row>
    <row r="2471" ht="19.5" customHeight="1">
      <c r="A2471" s="26" t="s">
        <v>6679</v>
      </c>
      <c r="B2471" s="27" t="s">
        <v>6680</v>
      </c>
      <c r="C2471" s="28" t="s">
        <v>178</v>
      </c>
      <c r="D2471" s="29">
        <v>108.0</v>
      </c>
      <c r="E2471" s="28" t="s">
        <v>6681</v>
      </c>
      <c r="F2471" s="7" t="str">
        <f>IFERROR(__xludf.DUMMYFUNCTION("GOOGLETRANSLATE(B2471:B5064,""en"",""fr"")"),"handicap")</f>
        <v>handicap</v>
      </c>
    </row>
    <row r="2472" ht="19.5" customHeight="1">
      <c r="A2472" s="26" t="s">
        <v>6682</v>
      </c>
      <c r="B2472" s="27" t="s">
        <v>6683</v>
      </c>
      <c r="C2472" s="28" t="s">
        <v>178</v>
      </c>
      <c r="D2472" s="29">
        <v>108.0</v>
      </c>
      <c r="E2472" s="28" t="s">
        <v>6684</v>
      </c>
      <c r="F2472" s="7" t="str">
        <f>IFERROR(__xludf.DUMMYFUNCTION("GOOGLETRANSLATE(B2472:B5064,""en"",""fr"")"),"tuyau")</f>
        <v>tuyau</v>
      </c>
    </row>
    <row r="2473" ht="19.5" customHeight="1">
      <c r="A2473" s="26" t="s">
        <v>6685</v>
      </c>
      <c r="B2473" s="27" t="s">
        <v>6686</v>
      </c>
      <c r="C2473" s="28" t="s">
        <v>178</v>
      </c>
      <c r="D2473" s="29">
        <v>108.0</v>
      </c>
      <c r="E2473" s="28" t="s">
        <v>6687</v>
      </c>
      <c r="F2473" s="7" t="str">
        <f>IFERROR(__xludf.DUMMYFUNCTION("GOOGLETRANSLATE(B2473:B5064,""en"",""fr"")"),"incident")</f>
        <v>incident</v>
      </c>
    </row>
    <row r="2474" ht="19.5" customHeight="1">
      <c r="A2474" s="26" t="s">
        <v>6688</v>
      </c>
      <c r="B2474" s="27" t="s">
        <v>6689</v>
      </c>
      <c r="C2474" s="28" t="s">
        <v>134</v>
      </c>
      <c r="D2474" s="29">
        <v>108.0</v>
      </c>
      <c r="E2474" s="28" t="s">
        <v>6689</v>
      </c>
      <c r="F2474" s="7" t="str">
        <f>IFERROR(__xludf.DUMMYFUNCTION("GOOGLETRANSLATE(B2474:B5064,""en"",""fr"")"),"perdu")</f>
        <v>perdu</v>
      </c>
    </row>
    <row r="2475" ht="19.5" customHeight="1">
      <c r="A2475" s="26" t="s">
        <v>6690</v>
      </c>
      <c r="B2475" s="27" t="s">
        <v>6691</v>
      </c>
      <c r="C2475" s="28" t="s">
        <v>178</v>
      </c>
      <c r="D2475" s="29">
        <v>108.0</v>
      </c>
      <c r="E2475" s="28" t="s">
        <v>6692</v>
      </c>
      <c r="F2475" s="7" t="str">
        <f>IFERROR(__xludf.DUMMYFUNCTION("GOOGLETRANSLATE(B2475:B5064,""en"",""fr"")"),"occasion")</f>
        <v>occasion</v>
      </c>
    </row>
    <row r="2476" ht="19.5" customHeight="1">
      <c r="A2476" s="26" t="s">
        <v>6693</v>
      </c>
      <c r="B2476" s="27" t="s">
        <v>6694</v>
      </c>
      <c r="C2476" s="28" t="s">
        <v>178</v>
      </c>
      <c r="D2476" s="29">
        <v>108.0</v>
      </c>
      <c r="E2476" s="28" t="s">
        <v>6695</v>
      </c>
      <c r="F2476" s="7" t="str">
        <f>IFERROR(__xludf.DUMMYFUNCTION("GOOGLETRANSLATE(B2476:B5064,""en"",""fr"")"),"itinéraire")</f>
        <v>itinéraire</v>
      </c>
    </row>
    <row r="2477" ht="19.5" customHeight="1">
      <c r="A2477" s="26" t="s">
        <v>6696</v>
      </c>
      <c r="B2477" s="27" t="s">
        <v>6697</v>
      </c>
      <c r="C2477" s="28" t="s">
        <v>178</v>
      </c>
      <c r="D2477" s="29">
        <v>108.0</v>
      </c>
      <c r="E2477" s="28" t="s">
        <v>6698</v>
      </c>
      <c r="F2477" s="7" t="str">
        <f>IFERROR(__xludf.DUMMYFUNCTION("GOOGLETRANSLATE(B2477:B5064,""en"",""fr"")"),"secrétaire")</f>
        <v>secrétaire</v>
      </c>
    </row>
    <row r="2478" ht="19.5" customHeight="1">
      <c r="A2478" s="26" t="s">
        <v>6699</v>
      </c>
      <c r="B2478" s="27" t="s">
        <v>6700</v>
      </c>
      <c r="C2478" s="28" t="s">
        <v>134</v>
      </c>
      <c r="D2478" s="29">
        <v>107.0</v>
      </c>
      <c r="E2478" s="28" t="s">
        <v>6701</v>
      </c>
      <c r="F2478" s="7" t="str">
        <f>IFERROR(__xludf.DUMMYFUNCTION("GOOGLETRANSLATE(B2478:B5064,""en"",""fr"")"),"chic")</f>
        <v>chic</v>
      </c>
    </row>
    <row r="2479" ht="19.5" customHeight="1">
      <c r="A2479" s="26" t="s">
        <v>6702</v>
      </c>
      <c r="B2479" s="27" t="s">
        <v>6703</v>
      </c>
      <c r="C2479" s="28" t="s">
        <v>32</v>
      </c>
      <c r="D2479" s="29">
        <v>107.0</v>
      </c>
      <c r="E2479" s="28" t="s">
        <v>6704</v>
      </c>
      <c r="F2479" s="7" t="str">
        <f>IFERROR(__xludf.DUMMYFUNCTION("GOOGLETRANSLATE(B2479:B5064,""en"",""fr"")"),"confesser")</f>
        <v>confesser</v>
      </c>
    </row>
    <row r="2480" ht="19.5" customHeight="1">
      <c r="A2480" s="26" t="s">
        <v>6705</v>
      </c>
      <c r="B2480" s="27" t="s">
        <v>6706</v>
      </c>
      <c r="C2480" s="28" t="s">
        <v>32</v>
      </c>
      <c r="D2480" s="29">
        <v>107.0</v>
      </c>
      <c r="E2480" s="28" t="s">
        <v>6707</v>
      </c>
      <c r="F2480" s="7" t="str">
        <f>IFERROR(__xludf.DUMMYFUNCTION("GOOGLETRANSLATE(B2480:B5064,""en"",""fr"")"),"noyer")</f>
        <v>noyer</v>
      </c>
    </row>
    <row r="2481" ht="19.5" customHeight="1">
      <c r="A2481" s="26" t="s">
        <v>6708</v>
      </c>
      <c r="B2481" s="27" t="s">
        <v>6709</v>
      </c>
      <c r="C2481" s="28" t="s">
        <v>85</v>
      </c>
      <c r="D2481" s="29">
        <v>107.0</v>
      </c>
      <c r="E2481" s="28" t="s">
        <v>6709</v>
      </c>
      <c r="F2481" s="7" t="str">
        <f>IFERROR(__xludf.DUMMYFUNCTION("GOOGLETRANSLATE(B2481:B5064,""en"",""fr"")"),"duh")</f>
        <v>duh</v>
      </c>
    </row>
    <row r="2482" ht="19.5" customHeight="1">
      <c r="A2482" s="26" t="s">
        <v>6710</v>
      </c>
      <c r="B2482" s="27" t="s">
        <v>6711</v>
      </c>
      <c r="C2482" s="28" t="s">
        <v>178</v>
      </c>
      <c r="D2482" s="29">
        <v>107.0</v>
      </c>
      <c r="E2482" s="28" t="s">
        <v>6712</v>
      </c>
      <c r="F2482" s="7" t="str">
        <f>IFERROR(__xludf.DUMMYFUNCTION("GOOGLETRANSLATE(B2482:B5064,""en"",""fr"")"),"environnement")</f>
        <v>environnement</v>
      </c>
    </row>
    <row r="2483" ht="19.5" customHeight="1">
      <c r="A2483" s="26" t="s">
        <v>6713</v>
      </c>
      <c r="B2483" s="27" t="s">
        <v>6714</v>
      </c>
      <c r="C2483" s="28" t="s">
        <v>134</v>
      </c>
      <c r="D2483" s="29">
        <v>107.0</v>
      </c>
      <c r="E2483" s="28" t="s">
        <v>6715</v>
      </c>
      <c r="F2483" s="7" t="str">
        <f>IFERROR(__xludf.DUMMYFUNCTION("GOOGLETRANSLATE(B2483:B5064,""en"",""fr"")"),"FAUX")</f>
        <v>FAUX</v>
      </c>
    </row>
    <row r="2484" ht="19.5" customHeight="1">
      <c r="A2484" s="26" t="s">
        <v>6716</v>
      </c>
      <c r="B2484" s="27" t="s">
        <v>6717</v>
      </c>
      <c r="C2484" s="28" t="s">
        <v>100</v>
      </c>
      <c r="D2484" s="29">
        <v>107.0</v>
      </c>
      <c r="E2484" s="28" t="s">
        <v>6717</v>
      </c>
      <c r="F2484" s="7" t="str">
        <f>IFERROR(__xludf.DUMMYFUNCTION("GOOGLETRANSLATE(B2484:B5064,""en"",""fr"")"),"très")</f>
        <v>très</v>
      </c>
    </row>
    <row r="2485" ht="19.5" customHeight="1">
      <c r="A2485" s="26" t="s">
        <v>6718</v>
      </c>
      <c r="B2485" s="27" t="s">
        <v>6719</v>
      </c>
      <c r="C2485" s="28" t="s">
        <v>178</v>
      </c>
      <c r="D2485" s="29">
        <v>107.0</v>
      </c>
      <c r="E2485" s="28" t="s">
        <v>6720</v>
      </c>
      <c r="F2485" s="7" t="str">
        <f>IFERROR(__xludf.DUMMYFUNCTION("GOOGLETRANSLATE(B2485:B5064,""en"",""fr"")"),"légende")</f>
        <v>légende</v>
      </c>
    </row>
    <row r="2486" ht="19.5" customHeight="1">
      <c r="A2486" s="26" t="s">
        <v>6721</v>
      </c>
      <c r="B2486" s="27" t="s">
        <v>6722</v>
      </c>
      <c r="C2486" s="28" t="s">
        <v>178</v>
      </c>
      <c r="D2486" s="29">
        <v>107.0</v>
      </c>
      <c r="E2486" s="28" t="s">
        <v>6723</v>
      </c>
      <c r="F2486" s="7" t="str">
        <f>IFERROR(__xludf.DUMMYFUNCTION("GOOGLETRANSLATE(B2486:B5064,""en"",""fr"")"),"production")</f>
        <v>production</v>
      </c>
    </row>
    <row r="2487" ht="19.5" customHeight="1">
      <c r="A2487" s="26" t="s">
        <v>6724</v>
      </c>
      <c r="B2487" s="27" t="s">
        <v>6725</v>
      </c>
      <c r="C2487" s="28" t="s">
        <v>178</v>
      </c>
      <c r="D2487" s="29">
        <v>107.0</v>
      </c>
      <c r="E2487" s="28" t="s">
        <v>6726</v>
      </c>
      <c r="F2487" s="7" t="str">
        <f>IFERROR(__xludf.DUMMYFUNCTION("GOOGLETRANSLATE(B2487:B5064,""en"",""fr"")"),"conte")</f>
        <v>conte</v>
      </c>
    </row>
    <row r="2488" ht="19.5" customHeight="1">
      <c r="A2488" s="26" t="s">
        <v>6727</v>
      </c>
      <c r="B2488" s="27" t="s">
        <v>6728</v>
      </c>
      <c r="C2488" s="28" t="s">
        <v>134</v>
      </c>
      <c r="D2488" s="29">
        <v>107.0</v>
      </c>
      <c r="E2488" s="28" t="s">
        <v>6728</v>
      </c>
      <c r="F2488" s="7" t="str">
        <f>IFERROR(__xludf.DUMMYFUNCTION("GOOGLETRANSLATE(B2488:B5064,""en"",""fr"")"),"talentueux")</f>
        <v>talentueux</v>
      </c>
    </row>
    <row r="2489" ht="19.5" customHeight="1">
      <c r="A2489" s="26" t="s">
        <v>6729</v>
      </c>
      <c r="B2489" s="27" t="s">
        <v>6730</v>
      </c>
      <c r="C2489" s="28" t="s">
        <v>178</v>
      </c>
      <c r="D2489" s="29">
        <v>107.0</v>
      </c>
      <c r="E2489" s="28" t="s">
        <v>6731</v>
      </c>
      <c r="F2489" s="7" t="str">
        <f>IFERROR(__xludf.DUMMYFUNCTION("GOOGLETRANSLATE(B2489:B5064,""en"",""fr"")"),"menace")</f>
        <v>menace</v>
      </c>
    </row>
    <row r="2490" ht="19.5" customHeight="1">
      <c r="A2490" s="26" t="s">
        <v>6732</v>
      </c>
      <c r="B2490" s="27" t="s">
        <v>6733</v>
      </c>
      <c r="C2490" s="28" t="s">
        <v>178</v>
      </c>
      <c r="D2490" s="29">
        <v>107.0</v>
      </c>
      <c r="E2490" s="28" t="s">
        <v>6734</v>
      </c>
      <c r="F2490" s="7" t="str">
        <f>IFERROR(__xludf.DUMMYFUNCTION("GOOGLETRANSLATE(B2490:B5064,""en"",""fr"")"),"légume")</f>
        <v>légume</v>
      </c>
    </row>
    <row r="2491" ht="19.5" customHeight="1">
      <c r="A2491" s="26" t="s">
        <v>6735</v>
      </c>
      <c r="B2491" s="27" t="s">
        <v>6736</v>
      </c>
      <c r="C2491" s="28" t="s">
        <v>85</v>
      </c>
      <c r="D2491" s="29">
        <v>106.0</v>
      </c>
      <c r="E2491" s="28" t="s">
        <v>6736</v>
      </c>
      <c r="F2491" s="7" t="str">
        <f>IFERROR(__xludf.DUMMYFUNCTION("GOOGLETRANSLATE(B2491:B5064,""en"",""fr"")"),"amen")</f>
        <v>amen</v>
      </c>
    </row>
    <row r="2492" ht="19.5" customHeight="1">
      <c r="A2492" s="26" t="s">
        <v>6737</v>
      </c>
      <c r="B2492" s="27" t="s">
        <v>6738</v>
      </c>
      <c r="C2492" s="28" t="s">
        <v>178</v>
      </c>
      <c r="D2492" s="29">
        <v>106.0</v>
      </c>
      <c r="E2492" s="28" t="s">
        <v>6739</v>
      </c>
      <c r="F2492" s="7" t="str">
        <f>IFERROR(__xludf.DUMMYFUNCTION("GOOGLETRANSLATE(B2492:B5064,""en"",""fr"")"),"capital")</f>
        <v>capital</v>
      </c>
    </row>
    <row r="2493" ht="19.5" customHeight="1">
      <c r="A2493" s="26" t="s">
        <v>6740</v>
      </c>
      <c r="B2493" s="27" t="s">
        <v>6741</v>
      </c>
      <c r="C2493" s="28" t="s">
        <v>178</v>
      </c>
      <c r="D2493" s="29">
        <v>106.0</v>
      </c>
      <c r="E2493" s="28" t="s">
        <v>6742</v>
      </c>
      <c r="F2493" s="7" t="str">
        <f>IFERROR(__xludf.DUMMYFUNCTION("GOOGLETRANSLATE(B2493:B5064,""en"",""fr"")"),"croisière")</f>
        <v>croisière</v>
      </c>
    </row>
    <row r="2494" ht="19.5" customHeight="1">
      <c r="A2494" s="26" t="s">
        <v>6743</v>
      </c>
      <c r="B2494" s="27" t="s">
        <v>2899</v>
      </c>
      <c r="C2494" s="28" t="s">
        <v>32</v>
      </c>
      <c r="D2494" s="29">
        <v>106.0</v>
      </c>
      <c r="E2494" s="28" t="s">
        <v>6744</v>
      </c>
      <c r="F2494" s="7" t="str">
        <f>IFERROR(__xludf.DUMMYFUNCTION("GOOGLETRANSLATE(B2494:B5064,""en"",""fr"")"),"expérience")</f>
        <v>expérience</v>
      </c>
    </row>
    <row r="2495" ht="19.5" customHeight="1">
      <c r="A2495" s="26" t="s">
        <v>6745</v>
      </c>
      <c r="B2495" s="27" t="s">
        <v>6746</v>
      </c>
      <c r="C2495" s="28" t="s">
        <v>100</v>
      </c>
      <c r="D2495" s="29">
        <v>106.0</v>
      </c>
      <c r="E2495" s="28" t="s">
        <v>6746</v>
      </c>
      <c r="F2495" s="7" t="str">
        <f>IFERROR(__xludf.DUMMYFUNCTION("GOOGLETRANSLATE(B2495:B5064,""en"",""fr"")"),"en avant")</f>
        <v>en avant</v>
      </c>
    </row>
    <row r="2496" ht="19.5" customHeight="1">
      <c r="A2496" s="26" t="s">
        <v>6747</v>
      </c>
      <c r="B2496" s="27" t="s">
        <v>6748</v>
      </c>
      <c r="C2496" s="28" t="s">
        <v>178</v>
      </c>
      <c r="D2496" s="29">
        <v>106.0</v>
      </c>
      <c r="E2496" s="28" t="s">
        <v>6749</v>
      </c>
      <c r="F2496" s="7" t="str">
        <f>IFERROR(__xludf.DUMMYFUNCTION("GOOGLETRANSLATE(B2496:B5064,""en"",""fr"")"),"jugement")</f>
        <v>jugement</v>
      </c>
    </row>
    <row r="2497" ht="19.5" customHeight="1">
      <c r="A2497" s="26" t="s">
        <v>6750</v>
      </c>
      <c r="B2497" s="27" t="s">
        <v>6751</v>
      </c>
      <c r="C2497" s="28" t="s">
        <v>178</v>
      </c>
      <c r="D2497" s="29">
        <v>106.0</v>
      </c>
      <c r="E2497" s="28" t="s">
        <v>6751</v>
      </c>
      <c r="F2497" s="7" t="str">
        <f>IFERROR(__xludf.DUMMYFUNCTION("GOOGLETRANSLATE(B2497:B5064,""en"",""fr"")"),"absurdité")</f>
        <v>absurdité</v>
      </c>
    </row>
    <row r="2498" ht="19.5" customHeight="1">
      <c r="A2498" s="26" t="s">
        <v>6752</v>
      </c>
      <c r="B2498" s="27" t="s">
        <v>6753</v>
      </c>
      <c r="C2498" s="28" t="s">
        <v>32</v>
      </c>
      <c r="D2498" s="29">
        <v>106.0</v>
      </c>
      <c r="E2498" s="28" t="s">
        <v>6754</v>
      </c>
      <c r="F2498" s="7" t="str">
        <f>IFERROR(__xludf.DUMMYFUNCTION("GOOGLETRANSLATE(B2498:B5064,""en"",""fr"")"),"offenser")</f>
        <v>offenser</v>
      </c>
    </row>
    <row r="2499" ht="19.5" customHeight="1">
      <c r="A2499" s="26" t="s">
        <v>6755</v>
      </c>
      <c r="B2499" s="27" t="s">
        <v>6756</v>
      </c>
      <c r="C2499" s="28" t="s">
        <v>178</v>
      </c>
      <c r="D2499" s="29">
        <v>106.0</v>
      </c>
      <c r="E2499" s="28" t="s">
        <v>6757</v>
      </c>
      <c r="F2499" s="7" t="str">
        <f>IFERROR(__xludf.DUMMYFUNCTION("GOOGLETRANSLATE(B2499:B5064,""en"",""fr"")"),"poivre")</f>
        <v>poivre</v>
      </c>
    </row>
    <row r="2500" ht="19.5" customHeight="1">
      <c r="A2500" s="26" t="s">
        <v>6758</v>
      </c>
      <c r="B2500" s="27" t="s">
        <v>6759</v>
      </c>
      <c r="C2500" s="28" t="s">
        <v>178</v>
      </c>
      <c r="D2500" s="29">
        <v>106.0</v>
      </c>
      <c r="E2500" s="28" t="s">
        <v>6760</v>
      </c>
      <c r="F2500" s="7" t="str">
        <f>IFERROR(__xludf.DUMMYFUNCTION("GOOGLETRANSLATE(B2500:B5064,""en"",""fr"")"),"phrase")</f>
        <v>phrase</v>
      </c>
    </row>
    <row r="2501" ht="19.5" customHeight="1">
      <c r="A2501" s="26" t="s">
        <v>6761</v>
      </c>
      <c r="B2501" s="27" t="s">
        <v>6762</v>
      </c>
      <c r="C2501" s="28" t="s">
        <v>178</v>
      </c>
      <c r="D2501" s="29">
        <v>106.0</v>
      </c>
      <c r="E2501" s="28" t="s">
        <v>6763</v>
      </c>
      <c r="F2501" s="7" t="str">
        <f>IFERROR(__xludf.DUMMYFUNCTION("GOOGLETRANSLATE(B2501:B5064,""en"",""fr"")"),"pique-nique")</f>
        <v>pique-nique</v>
      </c>
    </row>
    <row r="2502" ht="19.5" customHeight="1">
      <c r="A2502" s="26" t="s">
        <v>6764</v>
      </c>
      <c r="B2502" s="27" t="s">
        <v>6765</v>
      </c>
      <c r="C2502" s="28" t="s">
        <v>178</v>
      </c>
      <c r="D2502" s="29">
        <v>106.0</v>
      </c>
      <c r="E2502" s="28" t="s">
        <v>6765</v>
      </c>
      <c r="F2502" s="7" t="str">
        <f>IFERROR(__xludf.DUMMYFUNCTION("GOOGLETRANSLATE(B2502:B5064,""en"",""fr"")"),"confidentialité")</f>
        <v>confidentialité</v>
      </c>
    </row>
    <row r="2503" ht="19.5" customHeight="1">
      <c r="A2503" s="26" t="s">
        <v>6766</v>
      </c>
      <c r="B2503" s="27" t="s">
        <v>6767</v>
      </c>
      <c r="C2503" s="28" t="s">
        <v>178</v>
      </c>
      <c r="D2503" s="29">
        <v>106.0</v>
      </c>
      <c r="E2503" s="28" t="s">
        <v>6768</v>
      </c>
      <c r="F2503" s="7" t="str">
        <f>IFERROR(__xludf.DUMMYFUNCTION("GOOGLETRANSLATE(B2503:B5064,""en"",""fr"")"),"soi")</f>
        <v>soi</v>
      </c>
    </row>
    <row r="2504" ht="19.5" customHeight="1">
      <c r="A2504" s="26" t="s">
        <v>6769</v>
      </c>
      <c r="B2504" s="27" t="s">
        <v>6770</v>
      </c>
      <c r="C2504" s="28" t="s">
        <v>134</v>
      </c>
      <c r="D2504" s="29">
        <v>106.0</v>
      </c>
      <c r="E2504" s="28" t="s">
        <v>6771</v>
      </c>
      <c r="F2504" s="7" t="str">
        <f>IFERROR(__xludf.DUMMYFUNCTION("GOOGLETRANSLATE(B2504:B5064,""en"",""fr"")"),"merdique")</f>
        <v>merdique</v>
      </c>
    </row>
    <row r="2505" ht="19.5" customHeight="1">
      <c r="A2505" s="26" t="s">
        <v>6772</v>
      </c>
      <c r="B2505" s="27" t="s">
        <v>1376</v>
      </c>
      <c r="C2505" s="28" t="s">
        <v>178</v>
      </c>
      <c r="D2505" s="29">
        <v>106.0</v>
      </c>
      <c r="E2505" s="28" t="s">
        <v>6773</v>
      </c>
      <c r="F2505" s="7" t="str">
        <f>IFERROR(__xludf.DUMMYFUNCTION("GOOGLETRANSLATE(B2505:B5064,""en"",""fr"")"),"odeur")</f>
        <v>odeur</v>
      </c>
    </row>
    <row r="2506" ht="19.5" customHeight="1">
      <c r="A2506" s="26" t="s">
        <v>6774</v>
      </c>
      <c r="B2506" s="27" t="s">
        <v>6775</v>
      </c>
      <c r="C2506" s="28" t="s">
        <v>32</v>
      </c>
      <c r="D2506" s="29">
        <v>105.0</v>
      </c>
      <c r="E2506" s="28" t="s">
        <v>6776</v>
      </c>
      <c r="F2506" s="7" t="str">
        <f>IFERROR(__xludf.DUMMYFUNCTION("GOOGLETRANSLATE(B2506:B5064,""en"",""fr"")"),"attacher")</f>
        <v>attacher</v>
      </c>
    </row>
    <row r="2507" ht="19.5" customHeight="1">
      <c r="A2507" s="26" t="s">
        <v>6777</v>
      </c>
      <c r="B2507" s="27" t="s">
        <v>6778</v>
      </c>
      <c r="C2507" s="28" t="s">
        <v>150</v>
      </c>
      <c r="D2507" s="29">
        <v>105.0</v>
      </c>
      <c r="E2507" s="28" t="s">
        <v>6779</v>
      </c>
      <c r="F2507" s="7" t="str">
        <f>IFERROR(__xludf.DUMMYFUNCTION("GOOGLETRANSLATE(B2507:B5064,""en"",""fr"")"),"milliard")</f>
        <v>milliard</v>
      </c>
    </row>
    <row r="2508" ht="19.5" customHeight="1">
      <c r="A2508" s="26" t="s">
        <v>6780</v>
      </c>
      <c r="B2508" s="27" t="s">
        <v>6781</v>
      </c>
      <c r="C2508" s="28" t="s">
        <v>85</v>
      </c>
      <c r="D2508" s="29">
        <v>105.0</v>
      </c>
      <c r="E2508" s="28" t="s">
        <v>6781</v>
      </c>
      <c r="F2508" s="7" t="str">
        <f>IFERROR(__xludf.DUMMYFUNCTION("GOOGLETRANSLATE(B2508:B5064,""en"",""fr"")"),"acclamations")</f>
        <v>acclamations</v>
      </c>
    </row>
    <row r="2509" ht="19.5" customHeight="1">
      <c r="A2509" s="26" t="s">
        <v>6782</v>
      </c>
      <c r="B2509" s="27" t="s">
        <v>6783</v>
      </c>
      <c r="C2509" s="28" t="s">
        <v>178</v>
      </c>
      <c r="D2509" s="29">
        <v>105.0</v>
      </c>
      <c r="E2509" s="28" t="s">
        <v>6784</v>
      </c>
      <c r="F2509" s="7" t="str">
        <f>IFERROR(__xludf.DUMMYFUNCTION("GOOGLETRANSLATE(B2509:B5064,""en"",""fr"")"),"coma")</f>
        <v>coma</v>
      </c>
    </row>
    <row r="2510" ht="19.5" customHeight="1">
      <c r="A2510" s="26" t="s">
        <v>6785</v>
      </c>
      <c r="B2510" s="27" t="s">
        <v>6786</v>
      </c>
      <c r="C2510" s="28" t="s">
        <v>32</v>
      </c>
      <c r="D2510" s="29">
        <v>105.0</v>
      </c>
      <c r="E2510" s="28" t="s">
        <v>6787</v>
      </c>
      <c r="F2510" s="7" t="str">
        <f>IFERROR(__xludf.DUMMYFUNCTION("GOOGLETRANSLATE(B2510:B5064,""en"",""fr"")"),"contenir")</f>
        <v>contenir</v>
      </c>
    </row>
    <row r="2511" ht="19.5" customHeight="1">
      <c r="A2511" s="26" t="s">
        <v>6788</v>
      </c>
      <c r="B2511" s="27" t="s">
        <v>6789</v>
      </c>
      <c r="C2511" s="28" t="s">
        <v>178</v>
      </c>
      <c r="D2511" s="29">
        <v>105.0</v>
      </c>
      <c r="E2511" s="28" t="s">
        <v>6790</v>
      </c>
      <c r="F2511" s="7" t="str">
        <f>IFERROR(__xludf.DUMMYFUNCTION("GOOGLETRANSLATE(B2511:B5064,""en"",""fr"")"),"boucle d'oreille")</f>
        <v>boucle d'oreille</v>
      </c>
    </row>
    <row r="2512" ht="19.5" customHeight="1">
      <c r="A2512" s="26" t="s">
        <v>6791</v>
      </c>
      <c r="B2512" s="27" t="s">
        <v>6792</v>
      </c>
      <c r="C2512" s="28" t="s">
        <v>134</v>
      </c>
      <c r="D2512" s="29">
        <v>105.0</v>
      </c>
      <c r="E2512" s="28" t="s">
        <v>6792</v>
      </c>
      <c r="F2512" s="7" t="str">
        <f>IFERROR(__xludf.DUMMYFUNCTION("GOOGLETRANSLATE(B2512:B5064,""en"",""fr"")"),"fascinant")</f>
        <v>fascinant</v>
      </c>
    </row>
    <row r="2513" ht="19.5" customHeight="1">
      <c r="A2513" s="26" t="s">
        <v>6793</v>
      </c>
      <c r="B2513" s="27" t="s">
        <v>3200</v>
      </c>
      <c r="C2513" s="28" t="s">
        <v>32</v>
      </c>
      <c r="D2513" s="29">
        <v>105.0</v>
      </c>
      <c r="E2513" s="28" t="s">
        <v>6794</v>
      </c>
      <c r="F2513" s="7" t="str">
        <f>IFERROR(__xludf.DUMMYFUNCTION("GOOGLETRANSLATE(B2513:B5064,""en"",""fr"")"),"peur")</f>
        <v>peur</v>
      </c>
    </row>
    <row r="2514" ht="19.5" customHeight="1">
      <c r="A2514" s="26" t="s">
        <v>6795</v>
      </c>
      <c r="B2514" s="27" t="s">
        <v>6796</v>
      </c>
      <c r="C2514" s="28" t="s">
        <v>178</v>
      </c>
      <c r="D2514" s="29">
        <v>105.0</v>
      </c>
      <c r="E2514" s="28" t="s">
        <v>6797</v>
      </c>
      <c r="F2514" s="7" t="str">
        <f>IFERROR(__xludf.DUMMYFUNCTION("GOOGLETRANSLATE(B2514:B5064,""en"",""fr"")"),"fille")</f>
        <v>fille</v>
      </c>
    </row>
    <row r="2515" ht="19.5" customHeight="1">
      <c r="A2515" s="26" t="s">
        <v>6798</v>
      </c>
      <c r="B2515" s="27" t="s">
        <v>6799</v>
      </c>
      <c r="C2515" s="28" t="s">
        <v>178</v>
      </c>
      <c r="D2515" s="29">
        <v>105.0</v>
      </c>
      <c r="E2515" s="28" t="s">
        <v>6800</v>
      </c>
      <c r="F2515" s="7" t="str">
        <f>IFERROR(__xludf.DUMMYFUNCTION("GOOGLETRANSLATE(B2515:B5064,""en"",""fr"")"),"jambon")</f>
        <v>jambon</v>
      </c>
    </row>
    <row r="2516" ht="19.5" customHeight="1">
      <c r="A2516" s="26" t="s">
        <v>6801</v>
      </c>
      <c r="B2516" s="27" t="s">
        <v>6802</v>
      </c>
      <c r="C2516" s="28" t="s">
        <v>32</v>
      </c>
      <c r="D2516" s="29">
        <v>105.0</v>
      </c>
      <c r="E2516" s="28" t="s">
        <v>6803</v>
      </c>
      <c r="F2516" s="7" t="str">
        <f>IFERROR(__xludf.DUMMYFUNCTION("GOOGLETRANSLATE(B2516:B5064,""en"",""fr"")"),"prononcer")</f>
        <v>prononcer</v>
      </c>
    </row>
    <row r="2517" ht="19.5" customHeight="1">
      <c r="A2517" s="26" t="s">
        <v>6804</v>
      </c>
      <c r="B2517" s="27" t="s">
        <v>6805</v>
      </c>
      <c r="C2517" s="28" t="s">
        <v>178</v>
      </c>
      <c r="D2517" s="29">
        <v>105.0</v>
      </c>
      <c r="E2517" s="28" t="s">
        <v>6806</v>
      </c>
      <c r="F2517" s="7" t="str">
        <f>IFERROR(__xludf.DUMMYFUNCTION("GOOGLETRANSLATE(B2517:B5064,""en"",""fr"")"),"échantillon")</f>
        <v>échantillon</v>
      </c>
    </row>
    <row r="2518" ht="19.5" customHeight="1">
      <c r="A2518" s="26" t="s">
        <v>6807</v>
      </c>
      <c r="B2518" s="27" t="s">
        <v>6808</v>
      </c>
      <c r="C2518" s="28" t="s">
        <v>178</v>
      </c>
      <c r="D2518" s="29">
        <v>105.0</v>
      </c>
      <c r="E2518" s="28" t="s">
        <v>6809</v>
      </c>
      <c r="F2518" s="7" t="str">
        <f>IFERROR(__xludf.DUMMYFUNCTION("GOOGLETRANSLATE(B2518:B5064,""en"",""fr"")"),"la victoire")</f>
        <v>la victoire</v>
      </c>
    </row>
    <row r="2519" ht="19.5" customHeight="1">
      <c r="A2519" s="26" t="s">
        <v>6810</v>
      </c>
      <c r="B2519" s="27" t="s">
        <v>6811</v>
      </c>
      <c r="C2519" s="28" t="s">
        <v>85</v>
      </c>
      <c r="D2519" s="29">
        <v>104.0</v>
      </c>
      <c r="E2519" s="28" t="s">
        <v>6811</v>
      </c>
      <c r="F2519" s="7" t="str">
        <f>IFERROR(__xludf.DUMMYFUNCTION("GOOGLETRANSLATE(B2519:B5064,""en"",""fr"")"),"voir")</f>
        <v>voir</v>
      </c>
    </row>
    <row r="2520" ht="19.5" customHeight="1">
      <c r="A2520" s="26" t="s">
        <v>6812</v>
      </c>
      <c r="B2520" s="27" t="s">
        <v>6813</v>
      </c>
      <c r="C2520" s="28" t="s">
        <v>178</v>
      </c>
      <c r="D2520" s="29">
        <v>104.0</v>
      </c>
      <c r="E2520" s="28" t="s">
        <v>6814</v>
      </c>
      <c r="F2520" s="7" t="str">
        <f>IFERROR(__xludf.DUMMYFUNCTION("GOOGLETRANSLATE(B2520:B5064,""en"",""fr"")"),"céréale")</f>
        <v>céréale</v>
      </c>
    </row>
    <row r="2521" ht="19.5" customHeight="1">
      <c r="A2521" s="26" t="s">
        <v>6815</v>
      </c>
      <c r="B2521" s="27" t="s">
        <v>6816</v>
      </c>
      <c r="C2521" s="28" t="s">
        <v>32</v>
      </c>
      <c r="D2521" s="29">
        <v>104.0</v>
      </c>
      <c r="E2521" s="28" t="s">
        <v>6817</v>
      </c>
      <c r="F2521" s="7" t="str">
        <f>IFERROR(__xludf.DUMMYFUNCTION("GOOGLETRANSLATE(B2521:B5064,""en"",""fr"")"),"se concentrer")</f>
        <v>se concentrer</v>
      </c>
    </row>
    <row r="2522" ht="19.5" customHeight="1">
      <c r="A2522" s="26" t="s">
        <v>6818</v>
      </c>
      <c r="B2522" s="27" t="s">
        <v>6819</v>
      </c>
      <c r="C2522" s="28" t="s">
        <v>134</v>
      </c>
      <c r="D2522" s="29">
        <v>104.0</v>
      </c>
      <c r="E2522" s="28" t="s">
        <v>6819</v>
      </c>
      <c r="F2522" s="7" t="str">
        <f>IFERROR(__xludf.DUMMYFUNCTION("GOOGLETRANSLATE(B2522:B5064,""en"",""fr"")"),"déprimé")</f>
        <v>déprimé</v>
      </c>
    </row>
    <row r="2523" ht="19.5" customHeight="1">
      <c r="A2523" s="26" t="s">
        <v>6820</v>
      </c>
      <c r="B2523" s="27" t="s">
        <v>6821</v>
      </c>
      <c r="C2523" s="28" t="s">
        <v>178</v>
      </c>
      <c r="D2523" s="29">
        <v>104.0</v>
      </c>
      <c r="E2523" s="28" t="s">
        <v>6822</v>
      </c>
      <c r="F2523" s="7" t="str">
        <f>IFERROR(__xludf.DUMMYFUNCTION("GOOGLETRANSLATE(B2523:B5064,""en"",""fr"")"),"drame")</f>
        <v>drame</v>
      </c>
    </row>
    <row r="2524" ht="19.5" customHeight="1">
      <c r="A2524" s="26" t="s">
        <v>6823</v>
      </c>
      <c r="B2524" s="27" t="s">
        <v>6824</v>
      </c>
      <c r="C2524" s="28" t="s">
        <v>178</v>
      </c>
      <c r="D2524" s="29">
        <v>104.0</v>
      </c>
      <c r="E2524" s="28" t="s">
        <v>6825</v>
      </c>
      <c r="F2524" s="7" t="str">
        <f>IFERROR(__xludf.DUMMYFUNCTION("GOOGLETRANSLATE(B2524:B5064,""en"",""fr"")"),"explication")</f>
        <v>explication</v>
      </c>
    </row>
    <row r="2525" ht="19.5" customHeight="1">
      <c r="A2525" s="26" t="s">
        <v>6826</v>
      </c>
      <c r="B2525" s="27" t="s">
        <v>6827</v>
      </c>
      <c r="C2525" s="28" t="s">
        <v>178</v>
      </c>
      <c r="D2525" s="29">
        <v>104.0</v>
      </c>
      <c r="E2525" s="28" t="s">
        <v>6828</v>
      </c>
      <c r="F2525" s="7" t="str">
        <f>IFERROR(__xludf.DUMMYFUNCTION("GOOGLETRANSLATE(B2525:B5064,""en"",""fr"")"),"destin")</f>
        <v>destin</v>
      </c>
    </row>
    <row r="2526" ht="19.5" customHeight="1">
      <c r="A2526" s="26" t="s">
        <v>6829</v>
      </c>
      <c r="B2526" s="27" t="s">
        <v>6830</v>
      </c>
      <c r="C2526" s="28" t="s">
        <v>178</v>
      </c>
      <c r="D2526" s="29">
        <v>104.0</v>
      </c>
      <c r="E2526" s="28" t="s">
        <v>6831</v>
      </c>
      <c r="F2526" s="7" t="str">
        <f>IFERROR(__xludf.DUMMYFUNCTION("GOOGLETRANSLATE(B2526:B5064,""en"",""fr"")"),"couloir")</f>
        <v>couloir</v>
      </c>
    </row>
    <row r="2527" ht="19.5" customHeight="1">
      <c r="A2527" s="26" t="s">
        <v>6832</v>
      </c>
      <c r="B2527" s="27" t="s">
        <v>6833</v>
      </c>
      <c r="C2527" s="28" t="s">
        <v>150</v>
      </c>
      <c r="D2527" s="29">
        <v>104.0</v>
      </c>
      <c r="E2527" s="28" t="s">
        <v>6834</v>
      </c>
      <c r="F2527" s="7" t="str">
        <f>IFERROR(__xludf.DUMMYFUNCTION("GOOGLETRANSLATE(B2527:B5064,""en"",""fr"")"),"quatre-vingt-dix")</f>
        <v>quatre-vingt-dix</v>
      </c>
    </row>
    <row r="2528" ht="19.5" customHeight="1">
      <c r="A2528" s="26" t="s">
        <v>6835</v>
      </c>
      <c r="B2528" s="27" t="s">
        <v>6836</v>
      </c>
      <c r="C2528" s="28" t="s">
        <v>134</v>
      </c>
      <c r="D2528" s="29">
        <v>104.0</v>
      </c>
      <c r="E2528" s="28" t="s">
        <v>6836</v>
      </c>
      <c r="F2528" s="7" t="str">
        <f>IFERROR(__xludf.DUMMYFUNCTION("GOOGLETRANSLATE(B2528:B5064,""en"",""fr"")"),"particulier")</f>
        <v>particulier</v>
      </c>
    </row>
    <row r="2529" ht="19.5" customHeight="1">
      <c r="A2529" s="26" t="s">
        <v>6837</v>
      </c>
      <c r="B2529" s="27" t="s">
        <v>6838</v>
      </c>
      <c r="C2529" s="28" t="s">
        <v>134</v>
      </c>
      <c r="D2529" s="29">
        <v>104.0</v>
      </c>
      <c r="E2529" s="28" t="s">
        <v>6838</v>
      </c>
      <c r="F2529" s="7" t="str">
        <f>IFERROR(__xludf.DUMMYFUNCTION("GOOGLETRANSLATE(B2529:B5064,""en"",""fr"")"),"heureux")</f>
        <v>heureux</v>
      </c>
    </row>
    <row r="2530" ht="19.5" customHeight="1">
      <c r="A2530" s="26" t="s">
        <v>6839</v>
      </c>
      <c r="B2530" s="27" t="s">
        <v>6840</v>
      </c>
      <c r="C2530" s="28" t="s">
        <v>178</v>
      </c>
      <c r="D2530" s="29">
        <v>104.0</v>
      </c>
      <c r="E2530" s="28" t="s">
        <v>6841</v>
      </c>
      <c r="F2530" s="7" t="str">
        <f>IFERROR(__xludf.DUMMYFUNCTION("GOOGLETRANSLATE(B2530:B5064,""en"",""fr"")"),"réponse")</f>
        <v>réponse</v>
      </c>
    </row>
    <row r="2531" ht="19.5" customHeight="1">
      <c r="A2531" s="26" t="s">
        <v>6842</v>
      </c>
      <c r="B2531" s="27" t="s">
        <v>4797</v>
      </c>
      <c r="C2531" s="28" t="s">
        <v>32</v>
      </c>
      <c r="D2531" s="29">
        <v>104.0</v>
      </c>
      <c r="E2531" s="28" t="s">
        <v>6843</v>
      </c>
      <c r="F2531" s="7" t="str">
        <f>IFERROR(__xludf.DUMMYFUNCTION("GOOGLETRANSLATE(B2531:B5064,""en"",""fr"")"),"recherche")</f>
        <v>recherche</v>
      </c>
    </row>
    <row r="2532" ht="19.5" customHeight="1">
      <c r="A2532" s="26" t="s">
        <v>6844</v>
      </c>
      <c r="B2532" s="27" t="s">
        <v>1760</v>
      </c>
      <c r="C2532" s="28" t="s">
        <v>178</v>
      </c>
      <c r="D2532" s="29">
        <v>103.0</v>
      </c>
      <c r="E2532" s="28" t="s">
        <v>6845</v>
      </c>
      <c r="F2532" s="7" t="str">
        <f>IFERROR(__xludf.DUMMYFUNCTION("GOOGLETRANSLATE(B2532:B5064,""en"",""fr"")"),"froid")</f>
        <v>froid</v>
      </c>
    </row>
    <row r="2533" ht="19.5" customHeight="1">
      <c r="A2533" s="26" t="s">
        <v>6846</v>
      </c>
      <c r="B2533" s="27" t="s">
        <v>2863</v>
      </c>
      <c r="C2533" s="28" t="s">
        <v>32</v>
      </c>
      <c r="D2533" s="29">
        <v>103.0</v>
      </c>
      <c r="E2533" s="28" t="s">
        <v>6847</v>
      </c>
      <c r="F2533" s="7" t="str">
        <f>IFERROR(__xludf.DUMMYFUNCTION("GOOGLETRANSLATE(B2533:B5064,""en"",""fr"")"),"sol")</f>
        <v>sol</v>
      </c>
    </row>
    <row r="2534" ht="19.5" customHeight="1">
      <c r="A2534" s="26" t="s">
        <v>6848</v>
      </c>
      <c r="B2534" s="27" t="s">
        <v>6849</v>
      </c>
      <c r="C2534" s="28" t="s">
        <v>178</v>
      </c>
      <c r="D2534" s="29">
        <v>103.0</v>
      </c>
      <c r="E2534" s="28" t="s">
        <v>6850</v>
      </c>
      <c r="F2534" s="7" t="str">
        <f>IFERROR(__xludf.DUMMYFUNCTION("GOOGLETRANSLATE(B2534:B5064,""en"",""fr"")"),"alcool")</f>
        <v>alcool</v>
      </c>
    </row>
    <row r="2535" ht="19.5" customHeight="1">
      <c r="A2535" s="26" t="s">
        <v>6851</v>
      </c>
      <c r="B2535" s="27" t="s">
        <v>6852</v>
      </c>
      <c r="C2535" s="28" t="s">
        <v>32</v>
      </c>
      <c r="D2535" s="29">
        <v>103.0</v>
      </c>
      <c r="E2535" s="28" t="s">
        <v>6853</v>
      </c>
      <c r="F2535" s="7" t="str">
        <f>IFERROR(__xludf.DUMMYFUNCTION("GOOGLETRANSLATE(B2535:B5064,""en"",""fr"")"),"inférieur")</f>
        <v>inférieur</v>
      </c>
    </row>
    <row r="2536" ht="19.5" customHeight="1">
      <c r="A2536" s="26" t="s">
        <v>6854</v>
      </c>
      <c r="B2536" s="27" t="s">
        <v>6855</v>
      </c>
      <c r="C2536" s="28" t="s">
        <v>134</v>
      </c>
      <c r="D2536" s="29">
        <v>103.0</v>
      </c>
      <c r="E2536" s="28" t="s">
        <v>6856</v>
      </c>
      <c r="F2536" s="7" t="str">
        <f>IFERROR(__xludf.DUMMYFUNCTION("GOOGLETRANSLATE(B2536:B5064,""en"",""fr"")"),"misérable")</f>
        <v>misérable</v>
      </c>
    </row>
    <row r="2537" ht="19.5" customHeight="1">
      <c r="A2537" s="26" t="s">
        <v>6857</v>
      </c>
      <c r="B2537" s="27" t="s">
        <v>6858</v>
      </c>
      <c r="C2537" s="28" t="s">
        <v>178</v>
      </c>
      <c r="D2537" s="29">
        <v>103.0</v>
      </c>
      <c r="E2537" s="28" t="s">
        <v>6859</v>
      </c>
      <c r="F2537" s="7" t="str">
        <f>IFERROR(__xludf.DUMMYFUNCTION("GOOGLETRANSLATE(B2537:B5064,""en"",""fr"")"),"épingle")</f>
        <v>épingle</v>
      </c>
    </row>
    <row r="2538" ht="19.5" customHeight="1">
      <c r="A2538" s="26" t="s">
        <v>6860</v>
      </c>
      <c r="B2538" s="27" t="s">
        <v>6861</v>
      </c>
      <c r="C2538" s="28" t="s">
        <v>32</v>
      </c>
      <c r="D2538" s="29">
        <v>103.0</v>
      </c>
      <c r="E2538" s="28" t="s">
        <v>6862</v>
      </c>
      <c r="F2538" s="7" t="str">
        <f>IFERROR(__xludf.DUMMYFUNCTION("GOOGLETRANSLATE(B2538:B5064,""en"",""fr"")"),"achat")</f>
        <v>achat</v>
      </c>
    </row>
    <row r="2539" ht="19.5" customHeight="1">
      <c r="A2539" s="26" t="s">
        <v>6863</v>
      </c>
      <c r="B2539" s="27" t="s">
        <v>6864</v>
      </c>
      <c r="C2539" s="28" t="s">
        <v>32</v>
      </c>
      <c r="D2539" s="29">
        <v>103.0</v>
      </c>
      <c r="E2539" s="28" t="s">
        <v>6865</v>
      </c>
      <c r="F2539" s="7" t="str">
        <f>IFERROR(__xludf.DUMMYFUNCTION("GOOGLETRANSLATE(B2539:B5064,""en"",""fr"")"),"satisfaire")</f>
        <v>satisfaire</v>
      </c>
    </row>
    <row r="2540" ht="19.5" customHeight="1">
      <c r="A2540" s="26" t="s">
        <v>6866</v>
      </c>
      <c r="B2540" s="27" t="s">
        <v>6867</v>
      </c>
      <c r="C2540" s="28" t="s">
        <v>100</v>
      </c>
      <c r="D2540" s="29">
        <v>103.0</v>
      </c>
      <c r="E2540" s="28" t="s">
        <v>6867</v>
      </c>
      <c r="F2540" s="7" t="str">
        <f>IFERROR(__xludf.DUMMYFUNCTION("GOOGLETRANSLATE(B2540:B5064,""en"",""fr"")"),"sexuellement")</f>
        <v>sexuellement</v>
      </c>
    </row>
    <row r="2541" ht="19.5" customHeight="1">
      <c r="A2541" s="26" t="s">
        <v>6868</v>
      </c>
      <c r="B2541" s="27" t="s">
        <v>6869</v>
      </c>
      <c r="C2541" s="28" t="s">
        <v>32</v>
      </c>
      <c r="D2541" s="29">
        <v>103.0</v>
      </c>
      <c r="E2541" s="28" t="s">
        <v>6870</v>
      </c>
      <c r="F2541" s="7" t="str">
        <f>IFERROR(__xludf.DUMMYFUNCTION("GOOGLETRANSLATE(B2541:B5064,""en"",""fr"")"),"crier")</f>
        <v>crier</v>
      </c>
    </row>
    <row r="2542" ht="19.5" customHeight="1">
      <c r="A2542" s="26" t="s">
        <v>6871</v>
      </c>
      <c r="B2542" s="27" t="s">
        <v>6872</v>
      </c>
      <c r="C2542" s="28" t="s">
        <v>178</v>
      </c>
      <c r="D2542" s="29">
        <v>103.0</v>
      </c>
      <c r="E2542" s="28" t="s">
        <v>6873</v>
      </c>
      <c r="F2542" s="7" t="str">
        <f>IFERROR(__xludf.DUMMYFUNCTION("GOOGLETRANSLATE(B2542:B5064,""en"",""fr"")"),"site")</f>
        <v>site</v>
      </c>
    </row>
    <row r="2543" ht="19.5" customHeight="1">
      <c r="A2543" s="26" t="s">
        <v>6874</v>
      </c>
      <c r="B2543" s="27" t="s">
        <v>6875</v>
      </c>
      <c r="C2543" s="28" t="s">
        <v>36</v>
      </c>
      <c r="D2543" s="29">
        <v>103.0</v>
      </c>
      <c r="E2543" s="28" t="s">
        <v>6875</v>
      </c>
      <c r="F2543" s="7" t="str">
        <f>IFERROR(__xludf.DUMMYFUNCTION("GOOGLETRANSLATE(B2543:B5064,""en"",""fr"")"),"te")</f>
        <v>te</v>
      </c>
    </row>
    <row r="2544" ht="19.5" customHeight="1">
      <c r="A2544" s="26" t="s">
        <v>6876</v>
      </c>
      <c r="B2544" s="27" t="s">
        <v>656</v>
      </c>
      <c r="C2544" s="28" t="s">
        <v>178</v>
      </c>
      <c r="D2544" s="29">
        <v>103.0</v>
      </c>
      <c r="E2544" s="28" t="s">
        <v>656</v>
      </c>
      <c r="F2544" s="7" t="str">
        <f>IFERROR(__xludf.DUMMYFUNCTION("GOOGLETRANSLATE(B2544:B5064,""en"",""fr"")"),"ce soir")</f>
        <v>ce soir</v>
      </c>
    </row>
    <row r="2545" ht="19.5" customHeight="1">
      <c r="A2545" s="26" t="s">
        <v>6877</v>
      </c>
      <c r="B2545" s="27" t="s">
        <v>6878</v>
      </c>
      <c r="C2545" s="28" t="s">
        <v>178</v>
      </c>
      <c r="D2545" s="29">
        <v>103.0</v>
      </c>
      <c r="E2545" s="28" t="s">
        <v>6879</v>
      </c>
      <c r="F2545" s="7" t="str">
        <f>IFERROR(__xludf.DUMMYFUNCTION("GOOGLETRANSLATE(B2545:B5064,""en"",""fr"")"),"unité")</f>
        <v>unité</v>
      </c>
    </row>
    <row r="2546" ht="19.5" customHeight="1">
      <c r="A2546" s="26" t="s">
        <v>6880</v>
      </c>
      <c r="B2546" s="27" t="s">
        <v>6881</v>
      </c>
      <c r="C2546" s="28" t="s">
        <v>178</v>
      </c>
      <c r="D2546" s="29">
        <v>102.0</v>
      </c>
      <c r="E2546" s="28" t="s">
        <v>6882</v>
      </c>
      <c r="F2546" s="7" t="str">
        <f>IFERROR(__xludf.DUMMYFUNCTION("GOOGLETRANSLATE(B2546:B5064,""en"",""fr"")"),"plainte")</f>
        <v>plainte</v>
      </c>
    </row>
    <row r="2547" ht="19.5" customHeight="1">
      <c r="A2547" s="26" t="s">
        <v>6883</v>
      </c>
      <c r="B2547" s="27" t="s">
        <v>6884</v>
      </c>
      <c r="C2547" s="28" t="s">
        <v>178</v>
      </c>
      <c r="D2547" s="29">
        <v>102.0</v>
      </c>
      <c r="E2547" s="28" t="s">
        <v>6885</v>
      </c>
      <c r="F2547" s="7" t="str">
        <f>IFERROR(__xludf.DUMMYFUNCTION("GOOGLETRANSLATE(B2547:B5064,""en"",""fr"")"),"condo")</f>
        <v>condo</v>
      </c>
    </row>
    <row r="2548" ht="19.5" customHeight="1">
      <c r="A2548" s="26" t="s">
        <v>6886</v>
      </c>
      <c r="B2548" s="27" t="s">
        <v>744</v>
      </c>
      <c r="C2548" s="28" t="s">
        <v>32</v>
      </c>
      <c r="D2548" s="29">
        <v>102.0</v>
      </c>
      <c r="E2548" s="28" t="s">
        <v>6887</v>
      </c>
      <c r="F2548" s="7" t="str">
        <f>IFERROR(__xludf.DUMMYFUNCTION("GOOGLETRANSLATE(B2548:B5064,""en"",""fr"")"),"cool")</f>
        <v>cool</v>
      </c>
    </row>
    <row r="2549" ht="19.5" customHeight="1">
      <c r="A2549" s="26" t="s">
        <v>6888</v>
      </c>
      <c r="B2549" s="27" t="s">
        <v>6889</v>
      </c>
      <c r="C2549" s="28" t="s">
        <v>32</v>
      </c>
      <c r="D2549" s="29">
        <v>102.0</v>
      </c>
      <c r="E2549" s="28" t="s">
        <v>6890</v>
      </c>
      <c r="F2549" s="7" t="str">
        <f>IFERROR(__xludf.DUMMYFUNCTION("GOOGLETRANSLATE(B2549:B5064,""en"",""fr"")"),"faire un don")</f>
        <v>faire un don</v>
      </c>
    </row>
    <row r="2550" ht="19.5" customHeight="1">
      <c r="A2550" s="26" t="s">
        <v>6891</v>
      </c>
      <c r="B2550" s="27" t="s">
        <v>6892</v>
      </c>
      <c r="C2550" s="28" t="s">
        <v>178</v>
      </c>
      <c r="D2550" s="29">
        <v>102.0</v>
      </c>
      <c r="E2550" s="28" t="s">
        <v>6893</v>
      </c>
      <c r="F2550" s="7" t="str">
        <f>IFERROR(__xludf.DUMMYFUNCTION("GOOGLETRANSLATE(B2550:B5064,""en"",""fr"")"),"fourrure")</f>
        <v>fourrure</v>
      </c>
    </row>
    <row r="2551" ht="19.5" customHeight="1">
      <c r="A2551" s="26" t="s">
        <v>6894</v>
      </c>
      <c r="B2551" s="27" t="s">
        <v>6895</v>
      </c>
      <c r="C2551" s="28" t="s">
        <v>134</v>
      </c>
      <c r="D2551" s="29">
        <v>102.0</v>
      </c>
      <c r="E2551" s="28" t="s">
        <v>6895</v>
      </c>
      <c r="F2551" s="7" t="str">
        <f>IFERROR(__xludf.DUMMYFUNCTION("GOOGLETRANSLATE(B2551:B5064,""en"",""fr"")"),"beau")</f>
        <v>beau</v>
      </c>
    </row>
    <row r="2552" ht="19.5" customHeight="1">
      <c r="A2552" s="26" t="s">
        <v>6896</v>
      </c>
      <c r="B2552" s="27" t="s">
        <v>6897</v>
      </c>
      <c r="C2552" s="28" t="s">
        <v>178</v>
      </c>
      <c r="D2552" s="29">
        <v>102.0</v>
      </c>
      <c r="E2552" s="28" t="s">
        <v>6898</v>
      </c>
      <c r="F2552" s="7" t="str">
        <f>IFERROR(__xludf.DUMMYFUNCTION("GOOGLETRANSLATE(B2552:B5064,""en"",""fr"")"),"sauce")</f>
        <v>sauce</v>
      </c>
    </row>
    <row r="2553" ht="19.5" customHeight="1">
      <c r="A2553" s="26" t="s">
        <v>6899</v>
      </c>
      <c r="B2553" s="27" t="s">
        <v>6900</v>
      </c>
      <c r="C2553" s="28" t="s">
        <v>134</v>
      </c>
      <c r="D2553" s="29">
        <v>102.0</v>
      </c>
      <c r="E2553" s="28" t="s">
        <v>6900</v>
      </c>
      <c r="F2553" s="7" t="str">
        <f>IFERROR(__xludf.DUMMYFUNCTION("GOOGLETRANSLATE(B2553:B5064,""en"",""fr"")"),"imaginaire")</f>
        <v>imaginaire</v>
      </c>
    </row>
    <row r="2554" ht="19.5" customHeight="1">
      <c r="A2554" s="26" t="s">
        <v>6901</v>
      </c>
      <c r="B2554" s="27" t="s">
        <v>6902</v>
      </c>
      <c r="C2554" s="28" t="s">
        <v>178</v>
      </c>
      <c r="D2554" s="29">
        <v>102.0</v>
      </c>
      <c r="E2554" s="28" t="s">
        <v>6903</v>
      </c>
      <c r="F2554" s="7" t="str">
        <f>IFERROR(__xludf.DUMMYFUNCTION("GOOGLETRANSLATE(B2554:B5064,""en"",""fr"")"),"limonade")</f>
        <v>limonade</v>
      </c>
    </row>
    <row r="2555" ht="19.5" customHeight="1">
      <c r="A2555" s="26" t="s">
        <v>6904</v>
      </c>
      <c r="B2555" s="27" t="s">
        <v>6905</v>
      </c>
      <c r="C2555" s="28" t="s">
        <v>178</v>
      </c>
      <c r="D2555" s="29">
        <v>102.0</v>
      </c>
      <c r="E2555" s="28" t="s">
        <v>6906</v>
      </c>
      <c r="F2555" s="7" t="str">
        <f>IFERROR(__xludf.DUMMYFUNCTION("GOOGLETRANSLATE(B2555:B5064,""en"",""fr"")"),"muscle")</f>
        <v>muscle</v>
      </c>
    </row>
    <row r="2556" ht="19.5" customHeight="1">
      <c r="A2556" s="26" t="s">
        <v>6907</v>
      </c>
      <c r="B2556" s="27" t="s">
        <v>6908</v>
      </c>
      <c r="C2556" s="28" t="s">
        <v>100</v>
      </c>
      <c r="D2556" s="29">
        <v>102.0</v>
      </c>
      <c r="E2556" s="28" t="s">
        <v>6908</v>
      </c>
      <c r="F2556" s="7" t="str">
        <f>IFERROR(__xludf.DUMMYFUNCTION("GOOGLETRANSLATE(B2556:B5064,""en"",""fr"")"),"presque")</f>
        <v>presque</v>
      </c>
    </row>
    <row r="2557" ht="19.5" customHeight="1">
      <c r="A2557" s="26" t="s">
        <v>6909</v>
      </c>
      <c r="B2557" s="27" t="s">
        <v>6910</v>
      </c>
      <c r="C2557" s="28" t="s">
        <v>178</v>
      </c>
      <c r="D2557" s="29">
        <v>102.0</v>
      </c>
      <c r="E2557" s="28" t="s">
        <v>6911</v>
      </c>
      <c r="F2557" s="7" t="str">
        <f>IFERROR(__xludf.DUMMYFUNCTION("GOOGLETRANSLATE(B2557:B5064,""en"",""fr"")"),"opposé")</f>
        <v>opposé</v>
      </c>
    </row>
    <row r="2558" ht="19.5" customHeight="1">
      <c r="A2558" s="26" t="s">
        <v>6912</v>
      </c>
      <c r="B2558" s="27" t="s">
        <v>3814</v>
      </c>
      <c r="C2558" s="28" t="s">
        <v>178</v>
      </c>
      <c r="D2558" s="29">
        <v>102.0</v>
      </c>
      <c r="E2558" s="28" t="s">
        <v>6913</v>
      </c>
      <c r="F2558" s="7" t="str">
        <f>IFERROR(__xludf.DUMMYFUNCTION("GOOGLETRANSLATE(B2558:B5064,""en"",""fr"")"),"louer")</f>
        <v>louer</v>
      </c>
    </row>
    <row r="2559" ht="19.5" customHeight="1">
      <c r="A2559" s="26" t="s">
        <v>6914</v>
      </c>
      <c r="B2559" s="27" t="s">
        <v>6915</v>
      </c>
      <c r="C2559" s="28" t="s">
        <v>32</v>
      </c>
      <c r="D2559" s="29">
        <v>102.0</v>
      </c>
      <c r="E2559" s="28" t="s">
        <v>6916</v>
      </c>
      <c r="F2559" s="7" t="str">
        <f>IFERROR(__xludf.DUMMYFUNCTION("GOOGLETRANSLATE(B2559:B5064,""en"",""fr"")"),"transpirer")</f>
        <v>transpirer</v>
      </c>
    </row>
    <row r="2560" ht="19.5" customHeight="1">
      <c r="A2560" s="26" t="s">
        <v>6917</v>
      </c>
      <c r="B2560" s="27" t="s">
        <v>6918</v>
      </c>
      <c r="C2560" s="28" t="s">
        <v>178</v>
      </c>
      <c r="D2560" s="29">
        <v>102.0</v>
      </c>
      <c r="E2560" s="28" t="s">
        <v>6919</v>
      </c>
      <c r="F2560" s="7" t="str">
        <f>IFERROR(__xludf.DUMMYFUNCTION("GOOGLETRANSLATE(B2560:B5064,""en"",""fr"")"),"tigre")</f>
        <v>tigre</v>
      </c>
    </row>
    <row r="2561" ht="19.5" customHeight="1">
      <c r="A2561" s="26" t="s">
        <v>6920</v>
      </c>
      <c r="B2561" s="27" t="s">
        <v>6921</v>
      </c>
      <c r="C2561" s="28" t="s">
        <v>134</v>
      </c>
      <c r="D2561" s="29">
        <v>102.0</v>
      </c>
      <c r="E2561" s="28" t="s">
        <v>6921</v>
      </c>
      <c r="F2561" s="7" t="str">
        <f>IFERROR(__xludf.DUMMYFUNCTION("GOOGLETRANSLATE(B2561:B5064,""en"",""fr"")"),"précieux")</f>
        <v>précieux</v>
      </c>
    </row>
    <row r="2562" ht="19.5" customHeight="1">
      <c r="A2562" s="26" t="s">
        <v>6922</v>
      </c>
      <c r="B2562" s="27" t="s">
        <v>6923</v>
      </c>
      <c r="C2562" s="28" t="s">
        <v>178</v>
      </c>
      <c r="D2562" s="29">
        <v>101.0</v>
      </c>
      <c r="E2562" s="28" t="s">
        <v>6924</v>
      </c>
      <c r="F2562" s="7" t="str">
        <f>IFERROR(__xludf.DUMMYFUNCTION("GOOGLETRANSLATE(B2562:B5064,""en"",""fr"")"),"alcoolique")</f>
        <v>alcoolique</v>
      </c>
    </row>
    <row r="2563" ht="19.5" customHeight="1">
      <c r="A2563" s="26" t="s">
        <v>6925</v>
      </c>
      <c r="B2563" s="27" t="s">
        <v>4539</v>
      </c>
      <c r="C2563" s="28" t="s">
        <v>178</v>
      </c>
      <c r="D2563" s="29">
        <v>101.0</v>
      </c>
      <c r="E2563" s="28" t="s">
        <v>6926</v>
      </c>
      <c r="F2563" s="7" t="str">
        <f>IFERROR(__xludf.DUMMYFUNCTION("GOOGLETRANSLATE(B2563:B5064,""en"",""fr"")"),"arrêter")</f>
        <v>arrêter</v>
      </c>
    </row>
    <row r="2564" ht="19.5" customHeight="1">
      <c r="A2564" s="26" t="s">
        <v>6927</v>
      </c>
      <c r="B2564" s="27" t="s">
        <v>6928</v>
      </c>
      <c r="C2564" s="28" t="s">
        <v>178</v>
      </c>
      <c r="D2564" s="29">
        <v>101.0</v>
      </c>
      <c r="E2564" s="28" t="s">
        <v>6929</v>
      </c>
      <c r="F2564" s="7" t="str">
        <f>IFERROR(__xludf.DUMMYFUNCTION("GOOGLETRANSLATE(B2564:B5064,""en"",""fr"")"),"conseiller")</f>
        <v>conseiller</v>
      </c>
    </row>
    <row r="2565" ht="19.5" customHeight="1">
      <c r="A2565" s="26" t="s">
        <v>6930</v>
      </c>
      <c r="B2565" s="27" t="s">
        <v>6931</v>
      </c>
      <c r="C2565" s="28" t="s">
        <v>178</v>
      </c>
      <c r="D2565" s="29">
        <v>101.0</v>
      </c>
      <c r="E2565" s="28" t="s">
        <v>6932</v>
      </c>
      <c r="F2565" s="7" t="str">
        <f>IFERROR(__xludf.DUMMYFUNCTION("GOOGLETRANSLATE(B2565:B5064,""en"",""fr"")"),"échec")</f>
        <v>échec</v>
      </c>
    </row>
    <row r="2566" ht="19.5" customHeight="1">
      <c r="A2566" s="26" t="s">
        <v>6933</v>
      </c>
      <c r="B2566" s="27" t="s">
        <v>6934</v>
      </c>
      <c r="C2566" s="28" t="s">
        <v>178</v>
      </c>
      <c r="D2566" s="29">
        <v>101.0</v>
      </c>
      <c r="E2566" s="28" t="s">
        <v>6935</v>
      </c>
      <c r="F2566" s="7" t="str">
        <f>IFERROR(__xludf.DUMMYFUNCTION("GOOGLETRANSLATE(B2566:B5064,""en"",""fr"")"),"fermier")</f>
        <v>fermier</v>
      </c>
    </row>
    <row r="2567" ht="19.5" customHeight="1">
      <c r="A2567" s="26" t="s">
        <v>6936</v>
      </c>
      <c r="B2567" s="27" t="s">
        <v>6937</v>
      </c>
      <c r="C2567" s="28" t="s">
        <v>178</v>
      </c>
      <c r="D2567" s="29">
        <v>101.0</v>
      </c>
      <c r="E2567" s="28" t="s">
        <v>6938</v>
      </c>
      <c r="F2567" s="7" t="str">
        <f>IFERROR(__xludf.DUMMYFUNCTION("GOOGLETRANSLATE(B2567:B5064,""en"",""fr"")"),"corne")</f>
        <v>corne</v>
      </c>
    </row>
    <row r="2568" ht="19.5" customHeight="1">
      <c r="A2568" s="26" t="s">
        <v>6939</v>
      </c>
      <c r="B2568" s="27" t="s">
        <v>1718</v>
      </c>
      <c r="C2568" s="28" t="s">
        <v>178</v>
      </c>
      <c r="D2568" s="29">
        <v>101.0</v>
      </c>
      <c r="E2568" s="28" t="s">
        <v>6940</v>
      </c>
      <c r="F2568" s="7" t="str">
        <f>IFERROR(__xludf.DUMMYFUNCTION("GOOGLETRANSLATE(B2568:B5064,""en"",""fr"")"),"humain")</f>
        <v>humain</v>
      </c>
    </row>
    <row r="2569" ht="19.5" customHeight="1">
      <c r="A2569" s="26" t="s">
        <v>6941</v>
      </c>
      <c r="B2569" s="27" t="s">
        <v>6942</v>
      </c>
      <c r="C2569" s="28" t="s">
        <v>178</v>
      </c>
      <c r="D2569" s="29">
        <v>101.0</v>
      </c>
      <c r="E2569" s="28" t="s">
        <v>6943</v>
      </c>
      <c r="F2569" s="7" t="str">
        <f>IFERROR(__xludf.DUMMYFUNCTION("GOOGLETRANSLATE(B2569:B5064,""en"",""fr"")"),"lampe")</f>
        <v>lampe</v>
      </c>
    </row>
    <row r="2570" ht="19.5" customHeight="1">
      <c r="A2570" s="26" t="s">
        <v>6944</v>
      </c>
      <c r="B2570" s="27" t="s">
        <v>6945</v>
      </c>
      <c r="C2570" s="28" t="s">
        <v>134</v>
      </c>
      <c r="D2570" s="29">
        <v>101.0</v>
      </c>
      <c r="E2570" s="28" t="s">
        <v>6945</v>
      </c>
      <c r="F2570" s="7" t="str">
        <f>IFERROR(__xludf.DUMMYFUNCTION("GOOGLETRANSLATE(B2570:B5064,""en"",""fr"")"),"orange")</f>
        <v>orange</v>
      </c>
    </row>
    <row r="2571" ht="19.5" customHeight="1">
      <c r="A2571" s="26" t="s">
        <v>6946</v>
      </c>
      <c r="B2571" s="27" t="s">
        <v>6947</v>
      </c>
      <c r="C2571" s="28" t="s">
        <v>178</v>
      </c>
      <c r="D2571" s="29">
        <v>101.0</v>
      </c>
      <c r="E2571" s="28" t="s">
        <v>6948</v>
      </c>
      <c r="F2571" s="7" t="str">
        <f>IFERROR(__xludf.DUMMYFUNCTION("GOOGLETRANSLATE(B2571:B5064,""en"",""fr"")"),"pêche")</f>
        <v>pêche</v>
      </c>
    </row>
    <row r="2572" ht="19.5" customHeight="1">
      <c r="A2572" s="26" t="s">
        <v>6949</v>
      </c>
      <c r="B2572" s="27" t="s">
        <v>6950</v>
      </c>
      <c r="C2572" s="28" t="s">
        <v>178</v>
      </c>
      <c r="D2572" s="29">
        <v>101.0</v>
      </c>
      <c r="E2572" s="28" t="s">
        <v>6951</v>
      </c>
      <c r="F2572" s="7" t="str">
        <f>IFERROR(__xludf.DUMMYFUNCTION("GOOGLETRANSLATE(B2572:B5064,""en"",""fr"")"),"rouleau")</f>
        <v>rouleau</v>
      </c>
    </row>
    <row r="2573" ht="19.5" customHeight="1">
      <c r="A2573" s="26" t="s">
        <v>6952</v>
      </c>
      <c r="B2573" s="27" t="s">
        <v>6953</v>
      </c>
      <c r="C2573" s="28" t="s">
        <v>178</v>
      </c>
      <c r="D2573" s="29">
        <v>101.0</v>
      </c>
      <c r="E2573" s="28" t="s">
        <v>6954</v>
      </c>
      <c r="F2573" s="7" t="str">
        <f>IFERROR(__xludf.DUMMYFUNCTION("GOOGLETRANSLATE(B2573:B5064,""en"",""fr"")"),"personnel")</f>
        <v>personnel</v>
      </c>
    </row>
    <row r="2574" ht="19.5" customHeight="1">
      <c r="A2574" s="26" t="s">
        <v>6955</v>
      </c>
      <c r="B2574" s="27" t="s">
        <v>3768</v>
      </c>
      <c r="C2574" s="28" t="s">
        <v>178</v>
      </c>
      <c r="D2574" s="29">
        <v>101.0</v>
      </c>
      <c r="E2574" s="28" t="s">
        <v>6956</v>
      </c>
      <c r="F2574" s="7" t="str">
        <f>IFERROR(__xludf.DUMMYFUNCTION("GOOGLETRANSLATE(B2574:B5064,""en"",""fr"")"),"texte")</f>
        <v>texte</v>
      </c>
    </row>
    <row r="2575" ht="19.5" customHeight="1">
      <c r="A2575" s="26" t="s">
        <v>6957</v>
      </c>
      <c r="B2575" s="27" t="s">
        <v>6958</v>
      </c>
      <c r="C2575" s="28" t="s">
        <v>178</v>
      </c>
      <c r="D2575" s="29">
        <v>101.0</v>
      </c>
      <c r="E2575" s="28" t="s">
        <v>6959</v>
      </c>
      <c r="F2575" s="7" t="str">
        <f>IFERROR(__xludf.DUMMYFUNCTION("GOOGLETRANSLATE(B2575:B5064,""en"",""fr"")"),"voleur")</f>
        <v>voleur</v>
      </c>
    </row>
    <row r="2576" ht="19.5" customHeight="1">
      <c r="A2576" s="26" t="s">
        <v>6960</v>
      </c>
      <c r="B2576" s="27" t="s">
        <v>4174</v>
      </c>
      <c r="C2576" s="28" t="s">
        <v>178</v>
      </c>
      <c r="D2576" s="29">
        <v>100.0</v>
      </c>
      <c r="E2576" s="28" t="s">
        <v>6961</v>
      </c>
      <c r="F2576" s="7" t="str">
        <f>IFERROR(__xludf.DUMMYFUNCTION("GOOGLETRANSLATE(B2576:B5064,""en"",""fr"")"),"forcer")</f>
        <v>forcer</v>
      </c>
    </row>
    <row r="2577" ht="19.5" customHeight="1">
      <c r="A2577" s="26" t="s">
        <v>6962</v>
      </c>
      <c r="B2577" s="27" t="s">
        <v>1625</v>
      </c>
      <c r="C2577" s="28" t="s">
        <v>134</v>
      </c>
      <c r="D2577" s="29">
        <v>100.0</v>
      </c>
      <c r="E2577" s="28" t="s">
        <v>1625</v>
      </c>
      <c r="F2577" s="7" t="str">
        <f>IFERROR(__xludf.DUMMYFUNCTION("GOOGLETRANSLATE(B2577:B5064,""en"",""fr"")"),"secrète")</f>
        <v>secrète</v>
      </c>
    </row>
    <row r="2578" ht="19.5" customHeight="1">
      <c r="A2578" s="26" t="s">
        <v>6963</v>
      </c>
      <c r="B2578" s="27" t="s">
        <v>6964</v>
      </c>
      <c r="C2578" s="28" t="s">
        <v>32</v>
      </c>
      <c r="D2578" s="29">
        <v>100.0</v>
      </c>
      <c r="E2578" s="28" t="s">
        <v>6965</v>
      </c>
      <c r="F2578" s="7" t="str">
        <f>IFERROR(__xludf.DUMMYFUNCTION("GOOGLETRANSLATE(B2578:B5064,""en"",""fr"")"),"approuver")</f>
        <v>approuver</v>
      </c>
    </row>
    <row r="2579" ht="19.5" customHeight="1">
      <c r="A2579" s="26" t="s">
        <v>6966</v>
      </c>
      <c r="B2579" s="27" t="s">
        <v>6967</v>
      </c>
      <c r="C2579" s="28" t="s">
        <v>178</v>
      </c>
      <c r="D2579" s="29">
        <v>100.0</v>
      </c>
      <c r="E2579" s="28" t="s">
        <v>6968</v>
      </c>
      <c r="F2579" s="7" t="str">
        <f>IFERROR(__xludf.DUMMYFUNCTION("GOOGLETRANSLATE(B2579:B5064,""en"",""fr"")"),"Campus")</f>
        <v>Campus</v>
      </c>
    </row>
    <row r="2580" ht="19.5" customHeight="1">
      <c r="A2580" s="26" t="s">
        <v>6969</v>
      </c>
      <c r="B2580" s="27" t="s">
        <v>6970</v>
      </c>
      <c r="C2580" s="28" t="s">
        <v>178</v>
      </c>
      <c r="D2580" s="29">
        <v>100.0</v>
      </c>
      <c r="E2580" s="28" t="s">
        <v>6971</v>
      </c>
      <c r="F2580" s="7" t="str">
        <f>IFERROR(__xludf.DUMMYFUNCTION("GOOGLETRANSLATE(B2580:B5064,""en"",""fr"")"),"côte")</f>
        <v>côte</v>
      </c>
    </row>
    <row r="2581" ht="19.5" customHeight="1">
      <c r="A2581" s="26" t="s">
        <v>6972</v>
      </c>
      <c r="B2581" s="27" t="s">
        <v>6973</v>
      </c>
      <c r="C2581" s="28" t="s">
        <v>178</v>
      </c>
      <c r="D2581" s="29">
        <v>100.0</v>
      </c>
      <c r="E2581" s="28" t="s">
        <v>6974</v>
      </c>
      <c r="F2581" s="7" t="str">
        <f>IFERROR(__xludf.DUMMYFUNCTION("GOOGLETRANSLATE(B2581:B5064,""en"",""fr"")"),"guérir")</f>
        <v>guérir</v>
      </c>
    </row>
    <row r="2582" ht="19.5" customHeight="1">
      <c r="A2582" s="26" t="s">
        <v>6975</v>
      </c>
      <c r="B2582" s="27" t="s">
        <v>6976</v>
      </c>
      <c r="C2582" s="28" t="s">
        <v>178</v>
      </c>
      <c r="D2582" s="29">
        <v>100.0</v>
      </c>
      <c r="E2582" s="28" t="s">
        <v>6977</v>
      </c>
      <c r="F2582" s="7" t="str">
        <f>IFERROR(__xludf.DUMMYFUNCTION("GOOGLETRANSLATE(B2582:B5064,""en"",""fr"")"),"dinosaure")</f>
        <v>dinosaure</v>
      </c>
    </row>
    <row r="2583" ht="19.5" customHeight="1">
      <c r="A2583" s="26" t="s">
        <v>6978</v>
      </c>
      <c r="B2583" s="27" t="s">
        <v>6979</v>
      </c>
      <c r="C2583" s="28" t="s">
        <v>100</v>
      </c>
      <c r="D2583" s="29">
        <v>100.0</v>
      </c>
      <c r="E2583" s="28" t="s">
        <v>6979</v>
      </c>
      <c r="F2583" s="7" t="str">
        <f>IFERROR(__xludf.DUMMYFUNCTION("GOOGLETRANSLATE(B2583:B5064,""en"",""fr"")"),"directement")</f>
        <v>directement</v>
      </c>
    </row>
    <row r="2584" ht="19.5" customHeight="1">
      <c r="A2584" s="26" t="s">
        <v>6980</v>
      </c>
      <c r="B2584" s="27" t="s">
        <v>4563</v>
      </c>
      <c r="C2584" s="28" t="s">
        <v>32</v>
      </c>
      <c r="D2584" s="29">
        <v>100.0</v>
      </c>
      <c r="E2584" s="28" t="s">
        <v>6981</v>
      </c>
      <c r="F2584" s="7" t="str">
        <f>IFERROR(__xludf.DUMMYFUNCTION("GOOGLETRANSLATE(B2584:B5064,""en"",""fr"")"),"sec")</f>
        <v>sec</v>
      </c>
    </row>
    <row r="2585" ht="19.5" customHeight="1">
      <c r="A2585" s="26" t="s">
        <v>6982</v>
      </c>
      <c r="B2585" s="27" t="s">
        <v>6983</v>
      </c>
      <c r="C2585" s="28" t="s">
        <v>32</v>
      </c>
      <c r="D2585" s="29">
        <v>100.0</v>
      </c>
      <c r="E2585" s="28" t="s">
        <v>6984</v>
      </c>
      <c r="F2585" s="7" t="str">
        <f>IFERROR(__xludf.DUMMYFUNCTION("GOOGLETRANSLATE(B2585:B5064,""en"",""fr"")"),"hanter")</f>
        <v>hanter</v>
      </c>
    </row>
    <row r="2586" ht="19.5" customHeight="1">
      <c r="A2586" s="26" t="s">
        <v>6985</v>
      </c>
      <c r="B2586" s="27" t="s">
        <v>6986</v>
      </c>
      <c r="C2586" s="28" t="s">
        <v>178</v>
      </c>
      <c r="D2586" s="29">
        <v>100.0</v>
      </c>
      <c r="E2586" s="28" t="s">
        <v>6987</v>
      </c>
      <c r="F2586" s="7" t="str">
        <f>IFERROR(__xludf.DUMMYFUNCTION("GOOGLETRANSLATE(B2586:B5064,""en"",""fr"")"),"emplacement")</f>
        <v>emplacement</v>
      </c>
    </row>
    <row r="2587" ht="19.5" customHeight="1">
      <c r="A2587" s="26" t="s">
        <v>6988</v>
      </c>
      <c r="B2587" s="27" t="s">
        <v>817</v>
      </c>
      <c r="C2587" s="28" t="s">
        <v>134</v>
      </c>
      <c r="D2587" s="29">
        <v>100.0</v>
      </c>
      <c r="E2587" s="28" t="s">
        <v>817</v>
      </c>
      <c r="F2587" s="7" t="str">
        <f>IFERROR(__xludf.DUMMYFUNCTION("GOOGLETRANSLATE(B2587:B5064,""en"",""fr"")"),"ouvrir")</f>
        <v>ouvrir</v>
      </c>
    </row>
    <row r="2588" ht="19.5" customHeight="1">
      <c r="A2588" s="26" t="s">
        <v>6989</v>
      </c>
      <c r="B2588" s="27" t="s">
        <v>6990</v>
      </c>
      <c r="C2588" s="28" t="s">
        <v>178</v>
      </c>
      <c r="D2588" s="29">
        <v>100.0</v>
      </c>
      <c r="E2588" s="28" t="s">
        <v>6991</v>
      </c>
      <c r="F2588" s="7" t="str">
        <f>IFERROR(__xludf.DUMMYFUNCTION("GOOGLETRANSLATE(B2588:B5064,""en"",""fr"")"),"propriétaire")</f>
        <v>propriétaire</v>
      </c>
    </row>
    <row r="2589" ht="19.5" customHeight="1">
      <c r="A2589" s="26" t="s">
        <v>6992</v>
      </c>
      <c r="B2589" s="27" t="s">
        <v>6993</v>
      </c>
      <c r="C2589" s="28" t="s">
        <v>178</v>
      </c>
      <c r="D2589" s="29">
        <v>100.0</v>
      </c>
      <c r="E2589" s="28" t="s">
        <v>6994</v>
      </c>
      <c r="F2589" s="7" t="str">
        <f>IFERROR(__xludf.DUMMYFUNCTION("GOOGLETRANSLATE(B2589:B5064,""en"",""fr"")"),"correctif")</f>
        <v>correctif</v>
      </c>
    </row>
    <row r="2590" ht="19.5" customHeight="1">
      <c r="A2590" s="26" t="s">
        <v>6995</v>
      </c>
      <c r="B2590" s="27" t="s">
        <v>6996</v>
      </c>
      <c r="C2590" s="28" t="s">
        <v>178</v>
      </c>
      <c r="D2590" s="29">
        <v>100.0</v>
      </c>
      <c r="E2590" s="28" t="s">
        <v>6997</v>
      </c>
      <c r="F2590" s="7" t="str">
        <f>IFERROR(__xludf.DUMMYFUNCTION("GOOGLETRANSLATE(B2590:B5064,""en"",""fr"")"),"traitement")</f>
        <v>traitement</v>
      </c>
    </row>
    <row r="2591" ht="19.5" customHeight="1">
      <c r="A2591" s="26" t="s">
        <v>6998</v>
      </c>
      <c r="B2591" s="27" t="s">
        <v>6999</v>
      </c>
      <c r="C2591" s="28" t="s">
        <v>178</v>
      </c>
      <c r="D2591" s="29">
        <v>100.0</v>
      </c>
      <c r="E2591" s="28" t="s">
        <v>7000</v>
      </c>
      <c r="F2591" s="7" t="str">
        <f>IFERROR(__xludf.DUMMYFUNCTION("GOOGLETRANSLATE(B2591:B5064,""en"",""fr"")"),"tronc")</f>
        <v>tronc</v>
      </c>
    </row>
    <row r="2592" ht="19.5" customHeight="1">
      <c r="A2592" s="26" t="s">
        <v>7001</v>
      </c>
      <c r="B2592" s="27" t="s">
        <v>7002</v>
      </c>
      <c r="C2592" s="28" t="s">
        <v>178</v>
      </c>
      <c r="D2592" s="29">
        <v>99.0</v>
      </c>
      <c r="E2592" s="28" t="s">
        <v>7003</v>
      </c>
      <c r="F2592" s="7" t="str">
        <f>IFERROR(__xludf.DUMMYFUNCTION("GOOGLETRANSLATE(B2592:B5064,""en"",""fr"")"),"avortement")</f>
        <v>avortement</v>
      </c>
    </row>
    <row r="2593" ht="19.5" customHeight="1">
      <c r="A2593" s="26" t="s">
        <v>7004</v>
      </c>
      <c r="B2593" s="27" t="s">
        <v>7005</v>
      </c>
      <c r="C2593" s="28" t="s">
        <v>32</v>
      </c>
      <c r="D2593" s="29">
        <v>99.0</v>
      </c>
      <c r="E2593" s="28" t="s">
        <v>7006</v>
      </c>
      <c r="F2593" s="7" t="str">
        <f>IFERROR(__xludf.DUMMYFUNCTION("GOOGLETRANSLATE(B2593:B5064,""en"",""fr"")"),"aboyer")</f>
        <v>aboyer</v>
      </c>
    </row>
    <row r="2594" ht="19.5" customHeight="1">
      <c r="A2594" s="26" t="s">
        <v>7007</v>
      </c>
      <c r="B2594" s="27" t="s">
        <v>7008</v>
      </c>
      <c r="C2594" s="28" t="s">
        <v>178</v>
      </c>
      <c r="D2594" s="29">
        <v>99.0</v>
      </c>
      <c r="E2594" s="28" t="s">
        <v>7009</v>
      </c>
      <c r="F2594" s="7" t="str">
        <f>IFERROR(__xludf.DUMMYFUNCTION("GOOGLETRANSLATE(B2594:B5064,""en"",""fr"")"),"barman")</f>
        <v>barman</v>
      </c>
    </row>
    <row r="2595" ht="19.5" customHeight="1">
      <c r="A2595" s="26" t="s">
        <v>7010</v>
      </c>
      <c r="B2595" s="27" t="s">
        <v>7011</v>
      </c>
      <c r="C2595" s="28" t="s">
        <v>178</v>
      </c>
      <c r="D2595" s="29">
        <v>99.0</v>
      </c>
      <c r="E2595" s="28" t="s">
        <v>7012</v>
      </c>
      <c r="F2595" s="7" t="str">
        <f>IFERROR(__xludf.DUMMYFUNCTION("GOOGLETRANSLATE(B2595:B5064,""en"",""fr"")"),"brunch")</f>
        <v>brunch</v>
      </c>
    </row>
    <row r="2596" ht="19.5" customHeight="1">
      <c r="A2596" s="26" t="s">
        <v>7013</v>
      </c>
      <c r="B2596" s="27" t="s">
        <v>7014</v>
      </c>
      <c r="C2596" s="28" t="s">
        <v>134</v>
      </c>
      <c r="D2596" s="29">
        <v>99.0</v>
      </c>
      <c r="E2596" s="28" t="s">
        <v>7014</v>
      </c>
      <c r="F2596" s="7" t="str">
        <f>IFERROR(__xludf.DUMMYFUNCTION("GOOGLETRANSLATE(B2596:B5064,""en"",""fr"")"),"occasionnel")</f>
        <v>occasionnel</v>
      </c>
    </row>
    <row r="2597" ht="19.5" customHeight="1">
      <c r="A2597" s="26" t="s">
        <v>7015</v>
      </c>
      <c r="B2597" s="27" t="s">
        <v>7016</v>
      </c>
      <c r="C2597" s="28" t="s">
        <v>178</v>
      </c>
      <c r="D2597" s="29">
        <v>99.0</v>
      </c>
      <c r="E2597" s="28" t="s">
        <v>7016</v>
      </c>
      <c r="F2597" s="7" t="str">
        <f>IFERROR(__xludf.DUMMYFUNCTION("GOOGLETRANSLATE(B2597:B5064,""en"",""fr"")"),"chaos")</f>
        <v>chaos</v>
      </c>
    </row>
    <row r="2598" ht="19.5" customHeight="1">
      <c r="A2598" s="26" t="s">
        <v>7017</v>
      </c>
      <c r="B2598" s="27" t="s">
        <v>7018</v>
      </c>
      <c r="C2598" s="28" t="s">
        <v>178</v>
      </c>
      <c r="D2598" s="29">
        <v>99.0</v>
      </c>
      <c r="E2598" s="28" t="s">
        <v>7019</v>
      </c>
      <c r="F2598" s="7" t="str">
        <f>IFERROR(__xludf.DUMMYFUNCTION("GOOGLETRANSLATE(B2598:B5064,""en"",""fr"")"),"chef")</f>
        <v>chef</v>
      </c>
    </row>
    <row r="2599" ht="19.5" customHeight="1">
      <c r="A2599" s="26" t="s">
        <v>7020</v>
      </c>
      <c r="B2599" s="27" t="s">
        <v>7021</v>
      </c>
      <c r="C2599" s="28" t="s">
        <v>178</v>
      </c>
      <c r="D2599" s="29">
        <v>99.0</v>
      </c>
      <c r="E2599" s="28" t="s">
        <v>7022</v>
      </c>
      <c r="F2599" s="7" t="str">
        <f>IFERROR(__xludf.DUMMYFUNCTION("GOOGLETRANSLATE(B2599:B5064,""en"",""fr"")"),"hacher")</f>
        <v>hacher</v>
      </c>
    </row>
    <row r="2600" ht="19.5" customHeight="1">
      <c r="A2600" s="26" t="s">
        <v>7023</v>
      </c>
      <c r="B2600" s="27" t="s">
        <v>7024</v>
      </c>
      <c r="C2600" s="28" t="s">
        <v>178</v>
      </c>
      <c r="D2600" s="29">
        <v>99.0</v>
      </c>
      <c r="E2600" s="28" t="s">
        <v>7025</v>
      </c>
      <c r="F2600" s="7" t="str">
        <f>IFERROR(__xludf.DUMMYFUNCTION("GOOGLETRANSLATE(B2600:B5064,""en"",""fr"")"),"poussière")</f>
        <v>poussière</v>
      </c>
    </row>
    <row r="2601" ht="19.5" customHeight="1">
      <c r="A2601" s="26" t="s">
        <v>7026</v>
      </c>
      <c r="B2601" s="27" t="s">
        <v>7027</v>
      </c>
      <c r="C2601" s="28" t="s">
        <v>32</v>
      </c>
      <c r="D2601" s="29">
        <v>99.0</v>
      </c>
      <c r="E2601" s="28" t="s">
        <v>7028</v>
      </c>
      <c r="F2601" s="7" t="str">
        <f>IFERROR(__xludf.DUMMYFUNCTION("GOOGLETRANSLATE(B2601:B5064,""en"",""fr"")"),"avoir l'intention")</f>
        <v>avoir l'intention</v>
      </c>
    </row>
    <row r="2602" ht="19.5" customHeight="1">
      <c r="A2602" s="26" t="s">
        <v>7029</v>
      </c>
      <c r="B2602" s="27" t="s">
        <v>7030</v>
      </c>
      <c r="C2602" s="28" t="s">
        <v>178</v>
      </c>
      <c r="D2602" s="29">
        <v>99.0</v>
      </c>
      <c r="E2602" s="28" t="s">
        <v>7031</v>
      </c>
      <c r="F2602" s="7" t="str">
        <f>IFERROR(__xludf.DUMMYFUNCTION("GOOGLETRANSLATE(B2602:B5064,""en"",""fr"")"),"loterie")</f>
        <v>loterie</v>
      </c>
    </row>
    <row r="2603" ht="19.5" customHeight="1">
      <c r="A2603" s="26" t="s">
        <v>7032</v>
      </c>
      <c r="B2603" s="27" t="s">
        <v>7033</v>
      </c>
      <c r="C2603" s="28" t="s">
        <v>134</v>
      </c>
      <c r="D2603" s="29">
        <v>99.0</v>
      </c>
      <c r="E2603" s="28" t="s">
        <v>7033</v>
      </c>
      <c r="F2603" s="7" t="str">
        <f>IFERROR(__xludf.DUMMYFUNCTION("GOOGLETRANSLATE(B2603:B5064,""en"",""fr"")"),"musical")</f>
        <v>musical</v>
      </c>
    </row>
    <row r="2604" ht="19.5" customHeight="1">
      <c r="A2604" s="26" t="s">
        <v>7034</v>
      </c>
      <c r="B2604" s="27" t="s">
        <v>7035</v>
      </c>
      <c r="C2604" s="28" t="s">
        <v>178</v>
      </c>
      <c r="D2604" s="29">
        <v>99.0</v>
      </c>
      <c r="E2604" s="28" t="s">
        <v>7036</v>
      </c>
      <c r="F2604" s="7" t="str">
        <f>IFERROR(__xludf.DUMMYFUNCTION("GOOGLETRANSLATE(B2604:B5064,""en"",""fr"")"),"ouverture")</f>
        <v>ouverture</v>
      </c>
    </row>
    <row r="2605" ht="19.5" customHeight="1">
      <c r="A2605" s="26" t="s">
        <v>7037</v>
      </c>
      <c r="B2605" s="27" t="s">
        <v>7038</v>
      </c>
      <c r="C2605" s="28" t="s">
        <v>178</v>
      </c>
      <c r="D2605" s="29">
        <v>99.0</v>
      </c>
      <c r="E2605" s="28" t="s">
        <v>7039</v>
      </c>
      <c r="F2605" s="7" t="str">
        <f>IFERROR(__xludf.DUMMYFUNCTION("GOOGLETRANSLATE(B2605:B5064,""en"",""fr"")"),"personnalité")</f>
        <v>personnalité</v>
      </c>
    </row>
    <row r="2606" ht="19.5" customHeight="1">
      <c r="A2606" s="26" t="s">
        <v>7040</v>
      </c>
      <c r="B2606" s="27" t="s">
        <v>7041</v>
      </c>
      <c r="C2606" s="28" t="s">
        <v>32</v>
      </c>
      <c r="D2606" s="29">
        <v>99.0</v>
      </c>
      <c r="E2606" s="28" t="s">
        <v>7042</v>
      </c>
      <c r="F2606" s="7" t="str">
        <f>IFERROR(__xludf.DUMMYFUNCTION("GOOGLETRANSLATE(B2606:B5064,""en"",""fr"")"),"publier")</f>
        <v>publier</v>
      </c>
    </row>
    <row r="2607" ht="19.5" customHeight="1">
      <c r="A2607" s="26" t="s">
        <v>7043</v>
      </c>
      <c r="B2607" s="27" t="s">
        <v>7044</v>
      </c>
      <c r="C2607" s="28" t="s">
        <v>178</v>
      </c>
      <c r="D2607" s="29">
        <v>99.0</v>
      </c>
      <c r="E2607" s="28" t="s">
        <v>7045</v>
      </c>
      <c r="F2607" s="7" t="str">
        <f>IFERROR(__xludf.DUMMYFUNCTION("GOOGLETRANSLATE(B2607:B5064,""en"",""fr"")"),"saucisse")</f>
        <v>saucisse</v>
      </c>
    </row>
    <row r="2608" ht="19.5" customHeight="1">
      <c r="A2608" s="26" t="s">
        <v>7046</v>
      </c>
      <c r="B2608" s="27" t="s">
        <v>2468</v>
      </c>
      <c r="C2608" s="28" t="s">
        <v>32</v>
      </c>
      <c r="D2608" s="29">
        <v>99.0</v>
      </c>
      <c r="E2608" s="28" t="s">
        <v>7047</v>
      </c>
      <c r="F2608" s="7" t="str">
        <f>IFERROR(__xludf.DUMMYFUNCTION("GOOGLETRANSLATE(B2608:B5064,""en"",""fr"")"),"place")</f>
        <v>place</v>
      </c>
    </row>
    <row r="2609" ht="19.5" customHeight="1">
      <c r="A2609" s="26" t="s">
        <v>7048</v>
      </c>
      <c r="B2609" s="27" t="s">
        <v>7049</v>
      </c>
      <c r="C2609" s="28" t="s">
        <v>36</v>
      </c>
      <c r="D2609" s="29">
        <v>99.0</v>
      </c>
      <c r="E2609" s="28" t="s">
        <v>7049</v>
      </c>
      <c r="F2609" s="7" t="str">
        <f>IFERROR(__xludf.DUMMYFUNCTION("GOOGLETRANSLATE(B2609:B5064,""en"",""fr"")"),"dessous")</f>
        <v>dessous</v>
      </c>
    </row>
    <row r="2610" ht="19.5" customHeight="1">
      <c r="A2610" s="26" t="s">
        <v>7050</v>
      </c>
      <c r="B2610" s="27" t="s">
        <v>7051</v>
      </c>
      <c r="C2610" s="28" t="s">
        <v>134</v>
      </c>
      <c r="D2610" s="29">
        <v>99.0</v>
      </c>
      <c r="E2610" s="28" t="s">
        <v>7052</v>
      </c>
      <c r="F2610" s="7" t="str">
        <f>IFERROR(__xludf.DUMMYFUNCTION("GOOGLETRANSLATE(B2610:B5064,""en"",""fr"")"),"injuste")</f>
        <v>injuste</v>
      </c>
    </row>
    <row r="2611" ht="19.5" customHeight="1">
      <c r="A2611" s="26" t="s">
        <v>7053</v>
      </c>
      <c r="B2611" s="27" t="s">
        <v>7054</v>
      </c>
      <c r="C2611" s="28" t="s">
        <v>134</v>
      </c>
      <c r="D2611" s="29">
        <v>99.0</v>
      </c>
      <c r="E2611" s="28" t="s">
        <v>7055</v>
      </c>
      <c r="F2611" s="7" t="str">
        <f>IFERROR(__xludf.DUMMYFUNCTION("GOOGLETRANSLATE(B2611:B5064,""en"",""fr"")"),"violent")</f>
        <v>violent</v>
      </c>
    </row>
    <row r="2612" ht="19.5" customHeight="1">
      <c r="A2612" s="26" t="s">
        <v>7056</v>
      </c>
      <c r="B2612" s="27" t="s">
        <v>7057</v>
      </c>
      <c r="C2612" s="28" t="s">
        <v>178</v>
      </c>
      <c r="D2612" s="29">
        <v>99.0</v>
      </c>
      <c r="E2612" s="28" t="s">
        <v>7058</v>
      </c>
      <c r="F2612" s="7" t="str">
        <f>IFERROR(__xludf.DUMMYFUNCTION("GOOGLETRANSLATE(B2612:B5064,""en"",""fr"")"),"magicien")</f>
        <v>magicien</v>
      </c>
    </row>
    <row r="2613" ht="19.5" customHeight="1">
      <c r="A2613" s="26" t="s">
        <v>7059</v>
      </c>
      <c r="B2613" s="27" t="s">
        <v>7060</v>
      </c>
      <c r="C2613" s="28" t="s">
        <v>100</v>
      </c>
      <c r="D2613" s="29">
        <v>98.0</v>
      </c>
      <c r="E2613" s="28" t="s">
        <v>7060</v>
      </c>
      <c r="F2613" s="7" t="str">
        <f>IFERROR(__xludf.DUMMYFUNCTION("GOOGLETRANSLATE(B2613:B5064,""en"",""fr"")"),"une planche")</f>
        <v>une planche</v>
      </c>
    </row>
    <row r="2614" ht="19.5" customHeight="1">
      <c r="A2614" s="26" t="s">
        <v>7061</v>
      </c>
      <c r="B2614" s="27" t="s">
        <v>7062</v>
      </c>
      <c r="C2614" s="28" t="s">
        <v>32</v>
      </c>
      <c r="D2614" s="29">
        <v>98.0</v>
      </c>
      <c r="E2614" s="28" t="s">
        <v>7063</v>
      </c>
      <c r="F2614" s="7" t="str">
        <f>IFERROR(__xludf.DUMMYFUNCTION("GOOGLETRANSLATE(B2614:B5064,""en"",""fr"")"),"argumenter")</f>
        <v>argumenter</v>
      </c>
    </row>
    <row r="2615" ht="19.5" customHeight="1">
      <c r="A2615" s="26" t="s">
        <v>7064</v>
      </c>
      <c r="B2615" s="27" t="s">
        <v>7065</v>
      </c>
      <c r="C2615" s="28" t="s">
        <v>32</v>
      </c>
      <c r="D2615" s="29">
        <v>98.0</v>
      </c>
      <c r="E2615" s="28" t="s">
        <v>7066</v>
      </c>
      <c r="F2615" s="7" t="str">
        <f>IFERROR(__xludf.DUMMYFUNCTION("GOOGLETRANSLATE(B2615:B5064,""en"",""fr"")"),"tentative")</f>
        <v>tentative</v>
      </c>
    </row>
    <row r="2616" ht="19.5" customHeight="1">
      <c r="A2616" s="26" t="s">
        <v>7067</v>
      </c>
      <c r="B2616" s="27" t="s">
        <v>7068</v>
      </c>
      <c r="C2616" s="28" t="s">
        <v>100</v>
      </c>
      <c r="D2616" s="29">
        <v>98.0</v>
      </c>
      <c r="E2616" s="28" t="s">
        <v>7068</v>
      </c>
      <c r="F2616" s="7" t="str">
        <f>IFERROR(__xludf.DUMMYFUNCTION("GOOGLETRANSLATE(B2616:B5064,""en"",""fr"")"),"mal")</f>
        <v>mal</v>
      </c>
    </row>
    <row r="2617" ht="19.5" customHeight="1">
      <c r="A2617" s="26" t="s">
        <v>7069</v>
      </c>
      <c r="B2617" s="27" t="s">
        <v>7070</v>
      </c>
      <c r="C2617" s="28" t="s">
        <v>178</v>
      </c>
      <c r="D2617" s="29">
        <v>98.0</v>
      </c>
      <c r="E2617" s="28" t="s">
        <v>7071</v>
      </c>
      <c r="F2617" s="7" t="str">
        <f>IFERROR(__xludf.DUMMYFUNCTION("GOOGLETRANSLATE(B2617:B5064,""en"",""fr"")"),"buisson")</f>
        <v>buisson</v>
      </c>
    </row>
    <row r="2618" ht="19.5" customHeight="1">
      <c r="A2618" s="26" t="s">
        <v>7072</v>
      </c>
      <c r="B2618" s="27" t="s">
        <v>7073</v>
      </c>
      <c r="C2618" s="28" t="s">
        <v>32</v>
      </c>
      <c r="D2618" s="29">
        <v>98.0</v>
      </c>
      <c r="E2618" s="28" t="s">
        <v>7074</v>
      </c>
      <c r="F2618" s="7" t="str">
        <f>IFERROR(__xludf.DUMMYFUNCTION("GOOGLETRANSLATE(B2618:B5064,""en"",""fr"")"),"pli")</f>
        <v>pli</v>
      </c>
    </row>
    <row r="2619" ht="19.5" customHeight="1">
      <c r="A2619" s="26" t="s">
        <v>7075</v>
      </c>
      <c r="B2619" s="27" t="s">
        <v>7076</v>
      </c>
      <c r="C2619" s="28" t="s">
        <v>178</v>
      </c>
      <c r="D2619" s="29">
        <v>98.0</v>
      </c>
      <c r="E2619" s="28" t="s">
        <v>7076</v>
      </c>
      <c r="F2619" s="7" t="str">
        <f>IFERROR(__xludf.DUMMYFUNCTION("GOOGLETRANSLATE(B2619:B5064,""en"",""fr"")"),"images")</f>
        <v>images</v>
      </c>
    </row>
    <row r="2620" ht="19.5" customHeight="1">
      <c r="A2620" s="26" t="s">
        <v>7077</v>
      </c>
      <c r="B2620" s="27" t="s">
        <v>7078</v>
      </c>
      <c r="C2620" s="28" t="s">
        <v>178</v>
      </c>
      <c r="D2620" s="29">
        <v>98.0</v>
      </c>
      <c r="E2620" s="28" t="s">
        <v>7079</v>
      </c>
      <c r="F2620" s="7" t="str">
        <f>IFERROR(__xludf.DUMMYFUNCTION("GOOGLETRANSLATE(B2620:B5064,""en"",""fr"")"),"hauteur")</f>
        <v>hauteur</v>
      </c>
    </row>
    <row r="2621" ht="19.5" customHeight="1">
      <c r="A2621" s="26" t="s">
        <v>7080</v>
      </c>
      <c r="B2621" s="27" t="s">
        <v>7081</v>
      </c>
      <c r="C2621" s="28" t="s">
        <v>178</v>
      </c>
      <c r="D2621" s="29">
        <v>98.0</v>
      </c>
      <c r="E2621" s="28" t="s">
        <v>7082</v>
      </c>
      <c r="F2621" s="7" t="str">
        <f>IFERROR(__xludf.DUMMYFUNCTION("GOOGLETRANSLATE(B2621:B5064,""en"",""fr"")"),"travail")</f>
        <v>travail</v>
      </c>
    </row>
    <row r="2622" ht="19.5" customHeight="1">
      <c r="A2622" s="26" t="s">
        <v>7083</v>
      </c>
      <c r="B2622" s="27" t="s">
        <v>7084</v>
      </c>
      <c r="C2622" s="28" t="s">
        <v>178</v>
      </c>
      <c r="D2622" s="29">
        <v>98.0</v>
      </c>
      <c r="E2622" s="28" t="s">
        <v>7085</v>
      </c>
      <c r="F2622" s="7" t="str">
        <f>IFERROR(__xludf.DUMMYFUNCTION("GOOGLETRANSLATE(B2622:B5064,""en"",""fr"")"),"neveu")</f>
        <v>neveu</v>
      </c>
    </row>
    <row r="2623" ht="19.5" customHeight="1">
      <c r="A2623" s="26" t="s">
        <v>7086</v>
      </c>
      <c r="B2623" s="27" t="s">
        <v>1450</v>
      </c>
      <c r="C2623" s="28" t="s">
        <v>178</v>
      </c>
      <c r="D2623" s="29">
        <v>98.0</v>
      </c>
      <c r="E2623" s="28" t="s">
        <v>7087</v>
      </c>
      <c r="F2623" s="7" t="str">
        <f>IFERROR(__xludf.DUMMYFUNCTION("GOOGLETRANSLATE(B2623:B5064,""en"",""fr"")"),"passer")</f>
        <v>passer</v>
      </c>
    </row>
    <row r="2624" ht="19.5" customHeight="1">
      <c r="A2624" s="26" t="s">
        <v>7088</v>
      </c>
      <c r="B2624" s="27" t="s">
        <v>7089</v>
      </c>
      <c r="C2624" s="28" t="s">
        <v>178</v>
      </c>
      <c r="D2624" s="29">
        <v>98.0</v>
      </c>
      <c r="E2624" s="28" t="s">
        <v>7090</v>
      </c>
      <c r="F2624" s="7" t="str">
        <f>IFERROR(__xludf.DUMMYFUNCTION("GOOGLETRANSLATE(B2624:B5064,""en"",""fr"")"),"punk")</f>
        <v>punk</v>
      </c>
    </row>
    <row r="2625" ht="19.5" customHeight="1">
      <c r="A2625" s="26" t="s">
        <v>7091</v>
      </c>
      <c r="B2625" s="27" t="s">
        <v>7092</v>
      </c>
      <c r="C2625" s="28" t="s">
        <v>178</v>
      </c>
      <c r="D2625" s="29">
        <v>98.0</v>
      </c>
      <c r="E2625" s="28" t="s">
        <v>7093</v>
      </c>
      <c r="F2625" s="7" t="str">
        <f>IFERROR(__xludf.DUMMYFUNCTION("GOOGLETRANSLATE(B2625:B5064,""en"",""fr"")"),"réaction")</f>
        <v>réaction</v>
      </c>
    </row>
    <row r="2626" ht="19.5" customHeight="1">
      <c r="A2626" s="26" t="s">
        <v>7094</v>
      </c>
      <c r="B2626" s="27" t="s">
        <v>7095</v>
      </c>
      <c r="C2626" s="28" t="s">
        <v>134</v>
      </c>
      <c r="D2626" s="29">
        <v>98.0</v>
      </c>
      <c r="E2626" s="28" t="s">
        <v>7096</v>
      </c>
      <c r="F2626" s="7" t="str">
        <f>IFERROR(__xludf.DUMMYFUNCTION("GOOGLETRANSLATE(B2626:B5064,""en"",""fr"")"),"timide")</f>
        <v>timide</v>
      </c>
    </row>
    <row r="2627" ht="19.5" customHeight="1">
      <c r="A2627" s="26" t="s">
        <v>7097</v>
      </c>
      <c r="B2627" s="27" t="s">
        <v>7098</v>
      </c>
      <c r="C2627" s="28" t="s">
        <v>178</v>
      </c>
      <c r="D2627" s="29">
        <v>97.0</v>
      </c>
      <c r="E2627" s="28" t="s">
        <v>7099</v>
      </c>
      <c r="F2627" s="7" t="str">
        <f>IFERROR(__xludf.DUMMYFUNCTION("GOOGLETRANSLATE(B2627:B5064,""en"",""fr"")"),"cage")</f>
        <v>cage</v>
      </c>
    </row>
    <row r="2628" ht="19.5" customHeight="1">
      <c r="A2628" s="26" t="s">
        <v>7100</v>
      </c>
      <c r="B2628" s="27" t="s">
        <v>7101</v>
      </c>
      <c r="C2628" s="28" t="s">
        <v>134</v>
      </c>
      <c r="D2628" s="29">
        <v>97.0</v>
      </c>
      <c r="E2628" s="28" t="s">
        <v>7101</v>
      </c>
      <c r="F2628" s="7" t="str">
        <f>IFERROR(__xludf.DUMMYFUNCTION("GOOGLETRANSLATE(B2628:B5064,""en"",""fr"")"),"civil")</f>
        <v>civil</v>
      </c>
    </row>
    <row r="2629" ht="19.5" customHeight="1">
      <c r="A2629" s="26" t="s">
        <v>7102</v>
      </c>
      <c r="B2629" s="27" t="s">
        <v>7103</v>
      </c>
      <c r="C2629" s="28" t="s">
        <v>178</v>
      </c>
      <c r="D2629" s="29">
        <v>97.0</v>
      </c>
      <c r="E2629" s="28" t="s">
        <v>7104</v>
      </c>
      <c r="F2629" s="7" t="str">
        <f>IFERROR(__xludf.DUMMYFUNCTION("GOOGLETRANSLATE(B2629:B5064,""en"",""fr"")"),"colonel")</f>
        <v>colonel</v>
      </c>
    </row>
    <row r="2630" ht="19.5" customHeight="1">
      <c r="A2630" s="26" t="s">
        <v>7105</v>
      </c>
      <c r="B2630" s="27" t="s">
        <v>7106</v>
      </c>
      <c r="C2630" s="28" t="s">
        <v>178</v>
      </c>
      <c r="D2630" s="29">
        <v>97.0</v>
      </c>
      <c r="E2630" s="28" t="s">
        <v>7106</v>
      </c>
      <c r="F2630" s="7" t="str">
        <f>IFERROR(__xludf.DUMMYFUNCTION("GOOGLETRANSLATE(B2630:B5064,""en"",""fr"")"),"courage")</f>
        <v>courage</v>
      </c>
    </row>
    <row r="2631" ht="19.5" customHeight="1">
      <c r="A2631" s="26" t="s">
        <v>7107</v>
      </c>
      <c r="B2631" s="27" t="s">
        <v>6973</v>
      </c>
      <c r="C2631" s="28" t="s">
        <v>32</v>
      </c>
      <c r="D2631" s="29">
        <v>97.0</v>
      </c>
      <c r="E2631" s="28" t="s">
        <v>7108</v>
      </c>
      <c r="F2631" s="7" t="str">
        <f>IFERROR(__xludf.DUMMYFUNCTION("GOOGLETRANSLATE(B2631:B5064,""en"",""fr"")"),"guérir")</f>
        <v>guérir</v>
      </c>
    </row>
    <row r="2632" ht="19.5" customHeight="1">
      <c r="A2632" s="26" t="s">
        <v>7109</v>
      </c>
      <c r="B2632" s="27" t="s">
        <v>7110</v>
      </c>
      <c r="C2632" s="28" t="s">
        <v>134</v>
      </c>
      <c r="D2632" s="29">
        <v>97.0</v>
      </c>
      <c r="E2632" s="28" t="s">
        <v>7110</v>
      </c>
      <c r="F2632" s="7" t="str">
        <f>IFERROR(__xludf.DUMMYFUNCTION("GOOGLETRANSLATE(B2632:B5064,""en"",""fr"")"),"délicieux")</f>
        <v>délicieux</v>
      </c>
    </row>
    <row r="2633" ht="19.5" customHeight="1">
      <c r="A2633" s="26" t="s">
        <v>7111</v>
      </c>
      <c r="B2633" s="27" t="s">
        <v>7112</v>
      </c>
      <c r="C2633" s="28" t="s">
        <v>178</v>
      </c>
      <c r="D2633" s="29">
        <v>97.0</v>
      </c>
      <c r="E2633" s="28" t="s">
        <v>7113</v>
      </c>
      <c r="F2633" s="7" t="str">
        <f>IFERROR(__xludf.DUMMYFUNCTION("GOOGLETRANSLATE(B2633:B5064,""en"",""fr"")"),"émotion")</f>
        <v>émotion</v>
      </c>
    </row>
    <row r="2634" ht="19.5" customHeight="1">
      <c r="A2634" s="26" t="s">
        <v>7114</v>
      </c>
      <c r="B2634" s="27" t="s">
        <v>7115</v>
      </c>
      <c r="C2634" s="28" t="s">
        <v>32</v>
      </c>
      <c r="D2634" s="29">
        <v>97.0</v>
      </c>
      <c r="E2634" s="28" t="s">
        <v>7116</v>
      </c>
      <c r="F2634" s="7" t="str">
        <f>IFERROR(__xludf.DUMMYFUNCTION("GOOGLETRANSLATE(B2634:B5064,""en"",""fr"")"),"exposer")</f>
        <v>exposer</v>
      </c>
    </row>
    <row r="2635" ht="19.5" customHeight="1">
      <c r="A2635" s="26" t="s">
        <v>7117</v>
      </c>
      <c r="B2635" s="27" t="s">
        <v>7118</v>
      </c>
      <c r="C2635" s="28" t="s">
        <v>178</v>
      </c>
      <c r="D2635" s="29">
        <v>97.0</v>
      </c>
      <c r="E2635" s="28" t="s">
        <v>7119</v>
      </c>
      <c r="F2635" s="7" t="str">
        <f>IFERROR(__xludf.DUMMYFUNCTION("GOOGLETRANSLATE(B2635:B5064,""en"",""fr"")"),"clôture")</f>
        <v>clôture</v>
      </c>
    </row>
    <row r="2636" ht="19.5" customHeight="1">
      <c r="A2636" s="26" t="s">
        <v>7120</v>
      </c>
      <c r="B2636" s="27" t="s">
        <v>7121</v>
      </c>
      <c r="C2636" s="28" t="s">
        <v>178</v>
      </c>
      <c r="D2636" s="29">
        <v>97.0</v>
      </c>
      <c r="E2636" s="28" t="s">
        <v>7122</v>
      </c>
      <c r="F2636" s="7" t="str">
        <f>IFERROR(__xludf.DUMMYFUNCTION("GOOGLETRANSLATE(B2636:B5064,""en"",""fr"")"),"colle")</f>
        <v>colle</v>
      </c>
    </row>
    <row r="2637" ht="19.5" customHeight="1">
      <c r="A2637" s="26" t="s">
        <v>7123</v>
      </c>
      <c r="B2637" s="27" t="s">
        <v>7124</v>
      </c>
      <c r="C2637" s="28" t="s">
        <v>178</v>
      </c>
      <c r="D2637" s="29">
        <v>97.0</v>
      </c>
      <c r="E2637" s="28" t="s">
        <v>7125</v>
      </c>
      <c r="F2637" s="7" t="str">
        <f>IFERROR(__xludf.DUMMYFUNCTION("GOOGLETRANSLATE(B2637:B5064,""en"",""fr"")"),"nouille")</f>
        <v>nouille</v>
      </c>
    </row>
    <row r="2638" ht="19.5" customHeight="1">
      <c r="A2638" s="26" t="s">
        <v>7126</v>
      </c>
      <c r="B2638" s="27" t="s">
        <v>7127</v>
      </c>
      <c r="C2638" s="28" t="s">
        <v>178</v>
      </c>
      <c r="D2638" s="29">
        <v>97.0</v>
      </c>
      <c r="E2638" s="28" t="s">
        <v>7128</v>
      </c>
      <c r="F2638" s="7" t="str">
        <f>IFERROR(__xludf.DUMMYFUNCTION("GOOGLETRANSLATE(B2638:B5064,""en"",""fr"")"),"organe")</f>
        <v>organe</v>
      </c>
    </row>
    <row r="2639" ht="19.5" customHeight="1">
      <c r="A2639" s="26" t="s">
        <v>7129</v>
      </c>
      <c r="B2639" s="27" t="s">
        <v>7130</v>
      </c>
      <c r="C2639" s="28" t="s">
        <v>178</v>
      </c>
      <c r="D2639" s="29">
        <v>97.0</v>
      </c>
      <c r="E2639" s="28" t="s">
        <v>7131</v>
      </c>
      <c r="F2639" s="7" t="str">
        <f>IFERROR(__xludf.DUMMYFUNCTION("GOOGLETRANSLATE(B2639:B5064,""en"",""fr"")"),"pôle")</f>
        <v>pôle</v>
      </c>
    </row>
    <row r="2640" ht="19.5" customHeight="1">
      <c r="A2640" s="26" t="s">
        <v>7132</v>
      </c>
      <c r="B2640" s="27" t="s">
        <v>7133</v>
      </c>
      <c r="C2640" s="28" t="s">
        <v>178</v>
      </c>
      <c r="D2640" s="29">
        <v>97.0</v>
      </c>
      <c r="E2640" s="28" t="s">
        <v>7134</v>
      </c>
      <c r="F2640" s="7" t="str">
        <f>IFERROR(__xludf.DUMMYFUNCTION("GOOGLETRANSLATE(B2640:B5064,""en"",""fr"")"),"réfrigérateur")</f>
        <v>réfrigérateur</v>
      </c>
    </row>
    <row r="2641" ht="19.5" customHeight="1">
      <c r="A2641" s="26" t="s">
        <v>7135</v>
      </c>
      <c r="B2641" s="27" t="s">
        <v>7136</v>
      </c>
      <c r="C2641" s="28" t="s">
        <v>178</v>
      </c>
      <c r="D2641" s="29">
        <v>97.0</v>
      </c>
      <c r="E2641" s="28" t="s">
        <v>7137</v>
      </c>
      <c r="F2641" s="7" t="str">
        <f>IFERROR(__xludf.DUMMYFUNCTION("GOOGLETRANSLATE(B2641:B5064,""en"",""fr"")"),"crâne")</f>
        <v>crâne</v>
      </c>
    </row>
    <row r="2642" ht="19.5" customHeight="1">
      <c r="A2642" s="26" t="s">
        <v>7138</v>
      </c>
      <c r="B2642" s="27" t="s">
        <v>7139</v>
      </c>
      <c r="C2642" s="28" t="s">
        <v>178</v>
      </c>
      <c r="D2642" s="29">
        <v>97.0</v>
      </c>
      <c r="E2642" s="28" t="s">
        <v>7140</v>
      </c>
      <c r="F2642" s="7" t="str">
        <f>IFERROR(__xludf.DUMMYFUNCTION("GOOGLETRANSLATE(B2642:B5064,""en"",""fr"")"),"Taxi")</f>
        <v>Taxi</v>
      </c>
    </row>
    <row r="2643" ht="19.5" customHeight="1">
      <c r="A2643" s="26" t="s">
        <v>7141</v>
      </c>
      <c r="B2643" s="27" t="s">
        <v>1358</v>
      </c>
      <c r="C2643" s="28" t="s">
        <v>178</v>
      </c>
      <c r="D2643" s="29">
        <v>97.0</v>
      </c>
      <c r="E2643" s="28" t="s">
        <v>7142</v>
      </c>
      <c r="F2643" s="7" t="str">
        <f>IFERROR(__xludf.DUMMYFUNCTION("GOOGLETRANSLATE(B2643:B5064,""en"",""fr"")"),"touche")</f>
        <v>touche</v>
      </c>
    </row>
    <row r="2644" ht="19.5" customHeight="1">
      <c r="A2644" s="26" t="s">
        <v>7143</v>
      </c>
      <c r="B2644" s="27" t="s">
        <v>7144</v>
      </c>
      <c r="C2644" s="28" t="s">
        <v>178</v>
      </c>
      <c r="D2644" s="29">
        <v>96.0</v>
      </c>
      <c r="E2644" s="28" t="s">
        <v>7145</v>
      </c>
      <c r="F2644" s="7" t="str">
        <f>IFERROR(__xludf.DUMMYFUNCTION("GOOGLETRANSLATE(B2644:B5064,""en"",""fr"")"),"Compagnie aérienne")</f>
        <v>Compagnie aérienne</v>
      </c>
    </row>
    <row r="2645" ht="19.5" customHeight="1">
      <c r="A2645" s="26" t="s">
        <v>7146</v>
      </c>
      <c r="B2645" s="27" t="s">
        <v>7147</v>
      </c>
      <c r="C2645" s="28" t="s">
        <v>178</v>
      </c>
      <c r="D2645" s="29">
        <v>96.0</v>
      </c>
      <c r="E2645" s="28" t="s">
        <v>7148</v>
      </c>
      <c r="F2645" s="7" t="str">
        <f>IFERROR(__xludf.DUMMYFUNCTION("GOOGLETRANSLATE(B2645:B5064,""en"",""fr"")"),"arrière-plan")</f>
        <v>arrière-plan</v>
      </c>
    </row>
    <row r="2646" ht="19.5" customHeight="1">
      <c r="A2646" s="26" t="s">
        <v>7149</v>
      </c>
      <c r="B2646" s="27" t="s">
        <v>7150</v>
      </c>
      <c r="C2646" s="28" t="s">
        <v>85</v>
      </c>
      <c r="D2646" s="29">
        <v>96.0</v>
      </c>
      <c r="E2646" s="28" t="s">
        <v>7150</v>
      </c>
      <c r="F2646" s="7" t="str">
        <f>IFERROR(__xludf.DUMMYFUNCTION("GOOGLETRANSLATE(B2646:B5064,""en"",""fr"")"),"Bravo")</f>
        <v>Bravo</v>
      </c>
    </row>
    <row r="2647" ht="19.5" customHeight="1">
      <c r="A2647" s="26" t="s">
        <v>7151</v>
      </c>
      <c r="B2647" s="27" t="s">
        <v>7152</v>
      </c>
      <c r="C2647" s="28" t="s">
        <v>178</v>
      </c>
      <c r="D2647" s="29">
        <v>96.0</v>
      </c>
      <c r="E2647" s="28" t="s">
        <v>7153</v>
      </c>
      <c r="F2647" s="7" t="str">
        <f>IFERROR(__xludf.DUMMYFUNCTION("GOOGLETRANSLATE(B2647:B5064,""en"",""fr"")"),"joue")</f>
        <v>joue</v>
      </c>
    </row>
    <row r="2648" ht="19.5" customHeight="1">
      <c r="A2648" s="26" t="s">
        <v>7154</v>
      </c>
      <c r="B2648" s="27" t="s">
        <v>2031</v>
      </c>
      <c r="C2648" s="28" t="s">
        <v>178</v>
      </c>
      <c r="D2648" s="29">
        <v>96.0</v>
      </c>
      <c r="E2648" s="28" t="s">
        <v>7155</v>
      </c>
      <c r="F2648" s="7" t="str">
        <f>IFERROR(__xludf.DUMMYFUNCTION("GOOGLETRANSLATE(B2648:B5064,""en"",""fr"")"),"compter")</f>
        <v>compter</v>
      </c>
    </row>
    <row r="2649" ht="19.5" customHeight="1">
      <c r="A2649" s="26" t="s">
        <v>7156</v>
      </c>
      <c r="B2649" s="27" t="s">
        <v>7157</v>
      </c>
      <c r="C2649" s="28" t="s">
        <v>178</v>
      </c>
      <c r="D2649" s="29">
        <v>96.0</v>
      </c>
      <c r="E2649" s="28" t="s">
        <v>7158</v>
      </c>
      <c r="F2649" s="7" t="str">
        <f>IFERROR(__xludf.DUMMYFUNCTION("GOOGLETRANSLATE(B2649:B5064,""en"",""fr"")"),"frais")</f>
        <v>frais</v>
      </c>
    </row>
    <row r="2650" ht="19.5" customHeight="1">
      <c r="A2650" s="26" t="s">
        <v>7159</v>
      </c>
      <c r="B2650" s="27" t="s">
        <v>7160</v>
      </c>
      <c r="C2650" s="28" t="s">
        <v>728</v>
      </c>
      <c r="D2650" s="29">
        <v>96.0</v>
      </c>
      <c r="E2650" s="28" t="s">
        <v>7160</v>
      </c>
      <c r="F2650" s="7" t="str">
        <f>IFERROR(__xludf.DUMMYFUNCTION("GOOGLETRANSLATE(B2650:B5064,""en"",""fr"")"),"irlandais")</f>
        <v>irlandais</v>
      </c>
    </row>
    <row r="2651" ht="19.5" customHeight="1">
      <c r="A2651" s="26" t="s">
        <v>7161</v>
      </c>
      <c r="B2651" s="27" t="s">
        <v>7162</v>
      </c>
      <c r="C2651" s="28" t="s">
        <v>178</v>
      </c>
      <c r="D2651" s="29">
        <v>96.0</v>
      </c>
      <c r="E2651" s="28" t="s">
        <v>7163</v>
      </c>
      <c r="F2651" s="7" t="str">
        <f>IFERROR(__xludf.DUMMYFUNCTION("GOOGLETRANSLATE(B2651:B5064,""en"",""fr"")"),"échelle")</f>
        <v>échelle</v>
      </c>
    </row>
    <row r="2652" ht="19.5" customHeight="1">
      <c r="A2652" s="26" t="s">
        <v>7164</v>
      </c>
      <c r="B2652" s="27" t="s">
        <v>7165</v>
      </c>
      <c r="C2652" s="28" t="s">
        <v>178</v>
      </c>
      <c r="D2652" s="29">
        <v>96.0</v>
      </c>
      <c r="E2652" s="28" t="s">
        <v>7166</v>
      </c>
      <c r="F2652" s="7" t="str">
        <f>IFERROR(__xludf.DUMMYFUNCTION("GOOGLETRANSLATE(B2652:B5064,""en"",""fr"")"),"tasse")</f>
        <v>tasse</v>
      </c>
    </row>
    <row r="2653" ht="19.5" customHeight="1">
      <c r="A2653" s="26" t="s">
        <v>7167</v>
      </c>
      <c r="B2653" s="27" t="s">
        <v>7168</v>
      </c>
      <c r="C2653" s="28" t="s">
        <v>178</v>
      </c>
      <c r="D2653" s="29">
        <v>96.0</v>
      </c>
      <c r="E2653" s="28" t="s">
        <v>7169</v>
      </c>
      <c r="F2653" s="7" t="str">
        <f>IFERROR(__xludf.DUMMYFUNCTION("GOOGLETRANSLATE(B2653:B5064,""en"",""fr"")"),"surnom")</f>
        <v>surnom</v>
      </c>
    </row>
    <row r="2654" ht="19.5" customHeight="1">
      <c r="A2654" s="26" t="s">
        <v>7170</v>
      </c>
      <c r="B2654" s="27" t="s">
        <v>7171</v>
      </c>
      <c r="C2654" s="28" t="s">
        <v>178</v>
      </c>
      <c r="D2654" s="29">
        <v>96.0</v>
      </c>
      <c r="E2654" s="28" t="s">
        <v>7172</v>
      </c>
      <c r="F2654" s="7" t="str">
        <f>IFERROR(__xludf.DUMMYFUNCTION("GOOGLETRANSLATE(B2654:B5064,""en"",""fr"")"),"pois")</f>
        <v>pois</v>
      </c>
    </row>
    <row r="2655" ht="19.5" customHeight="1">
      <c r="A2655" s="26" t="s">
        <v>7173</v>
      </c>
      <c r="B2655" s="27" t="s">
        <v>7174</v>
      </c>
      <c r="C2655" s="28" t="s">
        <v>178</v>
      </c>
      <c r="D2655" s="29">
        <v>96.0</v>
      </c>
      <c r="E2655" s="28" t="s">
        <v>7175</v>
      </c>
      <c r="F2655" s="7" t="str">
        <f>IFERROR(__xludf.DUMMYFUNCTION("GOOGLETRANSLATE(B2655:B5064,""en"",""fr"")"),"principal")</f>
        <v>principal</v>
      </c>
    </row>
    <row r="2656" ht="19.5" customHeight="1">
      <c r="A2656" s="26" t="s">
        <v>7176</v>
      </c>
      <c r="B2656" s="27" t="s">
        <v>7177</v>
      </c>
      <c r="C2656" s="28" t="s">
        <v>178</v>
      </c>
      <c r="D2656" s="29">
        <v>96.0</v>
      </c>
      <c r="E2656" s="28" t="s">
        <v>7178</v>
      </c>
      <c r="F2656" s="7" t="str">
        <f>IFERROR(__xludf.DUMMYFUNCTION("GOOGLETRANSLATE(B2656:B5064,""en"",""fr"")"),"étagère")</f>
        <v>étagère</v>
      </c>
    </row>
    <row r="2657" ht="19.5" customHeight="1">
      <c r="A2657" s="26" t="s">
        <v>7179</v>
      </c>
      <c r="B2657" s="27" t="s">
        <v>7180</v>
      </c>
      <c r="C2657" s="28" t="s">
        <v>178</v>
      </c>
      <c r="D2657" s="29">
        <v>96.0</v>
      </c>
      <c r="E2657" s="28" t="s">
        <v>7181</v>
      </c>
      <c r="F2657" s="7" t="str">
        <f>IFERROR(__xludf.DUMMYFUNCTION("GOOGLETRANSLATE(B2657:B5064,""en"",""fr"")"),"session")</f>
        <v>session</v>
      </c>
    </row>
    <row r="2658" ht="19.5" customHeight="1">
      <c r="A2658" s="26" t="s">
        <v>7182</v>
      </c>
      <c r="B2658" s="27" t="s">
        <v>7183</v>
      </c>
      <c r="C2658" s="28" t="s">
        <v>178</v>
      </c>
      <c r="D2658" s="29">
        <v>96.0</v>
      </c>
      <c r="E2658" s="28" t="s">
        <v>7184</v>
      </c>
      <c r="F2658" s="7" t="str">
        <f>IFERROR(__xludf.DUMMYFUNCTION("GOOGLETRANSLATE(B2658:B5064,""en"",""fr"")"),"soldat")</f>
        <v>soldat</v>
      </c>
    </row>
    <row r="2659" ht="19.5" customHeight="1">
      <c r="A2659" s="26" t="s">
        <v>7185</v>
      </c>
      <c r="B2659" s="27" t="s">
        <v>7186</v>
      </c>
      <c r="C2659" s="28" t="s">
        <v>178</v>
      </c>
      <c r="D2659" s="29">
        <v>96.0</v>
      </c>
      <c r="E2659" s="28" t="s">
        <v>7186</v>
      </c>
      <c r="F2659" s="7" t="str">
        <f>IFERROR(__xludf.DUMMYFUNCTION("GOOGLETRANSLATE(B2659:B5064,""en"",""fr"")"),"urine")</f>
        <v>urine</v>
      </c>
    </row>
    <row r="2660" ht="19.5" customHeight="1">
      <c r="A2660" s="26" t="s">
        <v>7187</v>
      </c>
      <c r="B2660" s="27" t="s">
        <v>7188</v>
      </c>
      <c r="C2660" s="28" t="s">
        <v>178</v>
      </c>
      <c r="D2660" s="29">
        <v>96.0</v>
      </c>
      <c r="E2660" s="28" t="s">
        <v>7189</v>
      </c>
      <c r="F2660" s="7" t="str">
        <f>IFERROR(__xludf.DUMMYFUNCTION("GOOGLETRANSLATE(B2660:B5064,""en"",""fr"")"),"vierge")</f>
        <v>vierge</v>
      </c>
    </row>
    <row r="2661" ht="19.5" customHeight="1">
      <c r="A2661" s="26" t="s">
        <v>7190</v>
      </c>
      <c r="B2661" s="27" t="s">
        <v>7191</v>
      </c>
      <c r="C2661" s="28" t="s">
        <v>32</v>
      </c>
      <c r="D2661" s="29">
        <v>96.0</v>
      </c>
      <c r="E2661" s="28" t="s">
        <v>7192</v>
      </c>
      <c r="F2661" s="7" t="str">
        <f>IFERROR(__xludf.DUMMYFUNCTION("GOOGLETRANSLATE(B2661:B5064,""en"",""fr"")"),"errer")</f>
        <v>errer</v>
      </c>
    </row>
    <row r="2662" ht="19.5" customHeight="1">
      <c r="A2662" s="26" t="s">
        <v>7193</v>
      </c>
      <c r="B2662" s="27" t="s">
        <v>6077</v>
      </c>
      <c r="C2662" s="28" t="s">
        <v>178</v>
      </c>
      <c r="D2662" s="29">
        <v>95.0</v>
      </c>
      <c r="E2662" s="28" t="s">
        <v>7194</v>
      </c>
      <c r="F2662" s="7" t="str">
        <f>IFERROR(__xludf.DUMMYFUNCTION("GOOGLETRANSLATE(B2662:B5064,""en"",""fr"")"),"bosse")</f>
        <v>bosse</v>
      </c>
    </row>
    <row r="2663" ht="19.5" customHeight="1">
      <c r="A2663" s="26" t="s">
        <v>7195</v>
      </c>
      <c r="B2663" s="27" t="s">
        <v>7196</v>
      </c>
      <c r="C2663" s="28" t="s">
        <v>178</v>
      </c>
      <c r="D2663" s="29">
        <v>95.0</v>
      </c>
      <c r="E2663" s="28" t="s">
        <v>7197</v>
      </c>
      <c r="F2663" s="7" t="str">
        <f>IFERROR(__xludf.DUMMYFUNCTION("GOOGLETRANSLATE(B2663:B5064,""en"",""fr"")"),"carotte")</f>
        <v>carotte</v>
      </c>
    </row>
    <row r="2664" ht="19.5" customHeight="1">
      <c r="A2664" s="26" t="s">
        <v>7198</v>
      </c>
      <c r="B2664" s="27" t="s">
        <v>7199</v>
      </c>
      <c r="C2664" s="28" t="s">
        <v>178</v>
      </c>
      <c r="D2664" s="29">
        <v>95.0</v>
      </c>
      <c r="E2664" s="28" t="s">
        <v>7200</v>
      </c>
      <c r="F2664" s="7" t="str">
        <f>IFERROR(__xludf.DUMMYFUNCTION("GOOGLETRANSLATE(B2664:B5064,""en"",""fr"")"),"le Chili")</f>
        <v>le Chili</v>
      </c>
    </row>
    <row r="2665" ht="19.5" customHeight="1">
      <c r="A2665" s="26" t="s">
        <v>7201</v>
      </c>
      <c r="B2665" s="27" t="s">
        <v>7202</v>
      </c>
      <c r="C2665" s="28" t="s">
        <v>178</v>
      </c>
      <c r="D2665" s="29">
        <v>95.0</v>
      </c>
      <c r="E2665" s="28" t="s">
        <v>7203</v>
      </c>
      <c r="F2665" s="7" t="str">
        <f>IFERROR(__xludf.DUMMYFUNCTION("GOOGLETRANSLATE(B2665:B5064,""en"",""fr"")"),"cirque")</f>
        <v>cirque</v>
      </c>
    </row>
    <row r="2666" ht="19.5" customHeight="1">
      <c r="A2666" s="26" t="s">
        <v>7204</v>
      </c>
      <c r="B2666" s="27" t="s">
        <v>7205</v>
      </c>
      <c r="C2666" s="28" t="s">
        <v>134</v>
      </c>
      <c r="D2666" s="29">
        <v>95.0</v>
      </c>
      <c r="E2666" s="28" t="s">
        <v>7205</v>
      </c>
      <c r="F2666" s="7" t="str">
        <f>IFERROR(__xludf.DUMMYFUNCTION("GOOGLETRANSLATE(B2666:B5064,""en"",""fr"")"),"ancien")</f>
        <v>ancien</v>
      </c>
    </row>
    <row r="2667" ht="19.5" customHeight="1">
      <c r="A2667" s="26" t="s">
        <v>7206</v>
      </c>
      <c r="B2667" s="27" t="s">
        <v>7207</v>
      </c>
      <c r="C2667" s="28" t="s">
        <v>134</v>
      </c>
      <c r="D2667" s="29">
        <v>95.0</v>
      </c>
      <c r="E2667" s="28" t="s">
        <v>7207</v>
      </c>
      <c r="F2667" s="7" t="str">
        <f>IFERROR(__xludf.DUMMYFUNCTION("GOOGLETRANSLATE(B2667:B5064,""en"",""fr"")"),"généreux")</f>
        <v>généreux</v>
      </c>
    </row>
    <row r="2668" ht="19.5" customHeight="1">
      <c r="A2668" s="26" t="s">
        <v>7208</v>
      </c>
      <c r="B2668" s="27" t="s">
        <v>7209</v>
      </c>
      <c r="C2668" s="28" t="s">
        <v>178</v>
      </c>
      <c r="D2668" s="29">
        <v>95.0</v>
      </c>
      <c r="E2668" s="28" t="s">
        <v>7210</v>
      </c>
      <c r="F2668" s="7" t="str">
        <f>IFERROR(__xludf.DUMMYFUNCTION("GOOGLETRANSLATE(B2668:B5064,""en"",""fr"")"),"geste")</f>
        <v>geste</v>
      </c>
    </row>
    <row r="2669" ht="19.5" customHeight="1">
      <c r="A2669" s="26" t="s">
        <v>7211</v>
      </c>
      <c r="B2669" s="27" t="s">
        <v>7212</v>
      </c>
      <c r="C2669" s="28" t="s">
        <v>100</v>
      </c>
      <c r="D2669" s="29">
        <v>95.0</v>
      </c>
      <c r="E2669" s="28" t="s">
        <v>7212</v>
      </c>
      <c r="F2669" s="7" t="str">
        <f>IFERROR(__xludf.DUMMYFUNCTION("GOOGLETRANSLATE(B2669:B5064,""en"",""fr"")"),"à mi-chemin")</f>
        <v>à mi-chemin</v>
      </c>
    </row>
    <row r="2670" ht="19.5" customHeight="1">
      <c r="A2670" s="26" t="s">
        <v>7213</v>
      </c>
      <c r="B2670" s="27" t="s">
        <v>2321</v>
      </c>
      <c r="C2670" s="28" t="s">
        <v>134</v>
      </c>
      <c r="D2670" s="29">
        <v>95.0</v>
      </c>
      <c r="E2670" s="28" t="s">
        <v>2321</v>
      </c>
      <c r="F2670" s="7" t="str">
        <f>IFERROR(__xludf.DUMMYFUNCTION("GOOGLETRANSLATE(B2670:B5064,""en"",""fr"")"),"à l'intérieur")</f>
        <v>à l'intérieur</v>
      </c>
    </row>
    <row r="2671" ht="19.5" customHeight="1">
      <c r="A2671" s="26" t="s">
        <v>7214</v>
      </c>
      <c r="B2671" s="27" t="s">
        <v>7215</v>
      </c>
      <c r="C2671" s="28" t="s">
        <v>178</v>
      </c>
      <c r="D2671" s="29">
        <v>95.0</v>
      </c>
      <c r="E2671" s="28" t="s">
        <v>7216</v>
      </c>
      <c r="F2671" s="7" t="str">
        <f>IFERROR(__xludf.DUMMYFUNCTION("GOOGLETRANSLATE(B2671:B5064,""en"",""fr"")"),"ninja")</f>
        <v>ninja</v>
      </c>
    </row>
    <row r="2672" ht="19.5" customHeight="1">
      <c r="A2672" s="26" t="s">
        <v>7217</v>
      </c>
      <c r="B2672" s="27" t="s">
        <v>7218</v>
      </c>
      <c r="C2672" s="28" t="s">
        <v>100</v>
      </c>
      <c r="D2672" s="29">
        <v>95.0</v>
      </c>
      <c r="E2672" s="28" t="s">
        <v>7218</v>
      </c>
      <c r="F2672" s="7" t="str">
        <f>IFERROR(__xludf.DUMMYFUNCTION("GOOGLETRANSLATE(B2672:B5064,""en"",""fr"")"),"heure")</f>
        <v>heure</v>
      </c>
    </row>
    <row r="2673" ht="19.5" customHeight="1">
      <c r="A2673" s="26" t="s">
        <v>7219</v>
      </c>
      <c r="B2673" s="27" t="s">
        <v>1314</v>
      </c>
      <c r="C2673" s="28" t="s">
        <v>178</v>
      </c>
      <c r="D2673" s="29">
        <v>95.0</v>
      </c>
      <c r="E2673" s="28" t="s">
        <v>7220</v>
      </c>
      <c r="F2673" s="7" t="str">
        <f>IFERROR(__xludf.DUMMYFUNCTION("GOOGLETRANSLATE(B2673:B5064,""en"",""fr"")"),"promesse")</f>
        <v>promesse</v>
      </c>
    </row>
    <row r="2674" ht="19.5" customHeight="1">
      <c r="A2674" s="26" t="s">
        <v>7221</v>
      </c>
      <c r="B2674" s="27" t="s">
        <v>7222</v>
      </c>
      <c r="C2674" s="28" t="s">
        <v>178</v>
      </c>
      <c r="D2674" s="29">
        <v>95.0</v>
      </c>
      <c r="E2674" s="28" t="s">
        <v>7223</v>
      </c>
      <c r="F2674" s="7" t="str">
        <f>IFERROR(__xludf.DUMMYFUNCTION("GOOGLETRANSLATE(B2674:B5064,""en"",""fr"")"),"prostituée")</f>
        <v>prostituée</v>
      </c>
    </row>
    <row r="2675" ht="19.5" customHeight="1">
      <c r="A2675" s="26" t="s">
        <v>7224</v>
      </c>
      <c r="B2675" s="27" t="s">
        <v>4147</v>
      </c>
      <c r="C2675" s="28" t="s">
        <v>100</v>
      </c>
      <c r="D2675" s="29">
        <v>95.0</v>
      </c>
      <c r="E2675" s="28" t="s">
        <v>4147</v>
      </c>
      <c r="F2675" s="7" t="str">
        <f>IFERROR(__xludf.DUMMYFUNCTION("GOOGLETRANSLATE(B2675:B5064,""en"",""fr"")"),"rond")</f>
        <v>rond</v>
      </c>
    </row>
    <row r="2676" ht="19.5" customHeight="1">
      <c r="A2676" s="26" t="s">
        <v>7225</v>
      </c>
      <c r="B2676" s="27" t="s">
        <v>7226</v>
      </c>
      <c r="C2676" s="28" t="s">
        <v>178</v>
      </c>
      <c r="D2676" s="29">
        <v>95.0</v>
      </c>
      <c r="E2676" s="28" t="s">
        <v>7227</v>
      </c>
      <c r="F2676" s="7" t="str">
        <f>IFERROR(__xludf.DUMMYFUNCTION("GOOGLETRANSLATE(B2676:B5064,""en"",""fr"")"),"abri")</f>
        <v>abri</v>
      </c>
    </row>
    <row r="2677" ht="19.5" customHeight="1">
      <c r="A2677" s="26" t="s">
        <v>7228</v>
      </c>
      <c r="B2677" s="27" t="s">
        <v>7229</v>
      </c>
      <c r="C2677" s="28" t="s">
        <v>178</v>
      </c>
      <c r="D2677" s="29">
        <v>95.0</v>
      </c>
      <c r="E2677" s="28" t="s">
        <v>7230</v>
      </c>
      <c r="F2677" s="7" t="str">
        <f>IFERROR(__xludf.DUMMYFUNCTION("GOOGLETRANSLATE(B2677:B5064,""en"",""fr"")"),"sperme")</f>
        <v>sperme</v>
      </c>
    </row>
    <row r="2678" ht="19.5" customHeight="1">
      <c r="A2678" s="26" t="s">
        <v>7231</v>
      </c>
      <c r="B2678" s="27" t="s">
        <v>7232</v>
      </c>
      <c r="C2678" s="28" t="s">
        <v>178</v>
      </c>
      <c r="D2678" s="29">
        <v>95.0</v>
      </c>
      <c r="E2678" s="28" t="s">
        <v>7233</v>
      </c>
      <c r="F2678" s="7" t="str">
        <f>IFERROR(__xludf.DUMMYFUNCTION("GOOGLETRANSLATE(B2678:B5064,""en"",""fr"")"),"technologie")</f>
        <v>technologie</v>
      </c>
    </row>
    <row r="2679" ht="19.5" customHeight="1">
      <c r="A2679" s="26" t="s">
        <v>7234</v>
      </c>
      <c r="B2679" s="27" t="s">
        <v>504</v>
      </c>
      <c r="C2679" s="28" t="s">
        <v>178</v>
      </c>
      <c r="D2679" s="29">
        <v>95.0</v>
      </c>
      <c r="E2679" s="28" t="s">
        <v>504</v>
      </c>
      <c r="F2679" s="7" t="str">
        <f>IFERROR(__xludf.DUMMYFUNCTION("GOOGLETRANSLATE(B2679:B5064,""en"",""fr"")"),"merci")</f>
        <v>merci</v>
      </c>
    </row>
    <row r="2680" ht="19.5" customHeight="1">
      <c r="A2680" s="26" t="s">
        <v>7235</v>
      </c>
      <c r="B2680" s="27" t="s">
        <v>7236</v>
      </c>
      <c r="C2680" s="28" t="s">
        <v>178</v>
      </c>
      <c r="D2680" s="29">
        <v>94.0</v>
      </c>
      <c r="E2680" s="28" t="s">
        <v>7237</v>
      </c>
      <c r="F2680" s="7" t="str">
        <f>IFERROR(__xludf.DUMMYFUNCTION("GOOGLETRANSLATE(B2680:B5064,""en"",""fr"")"),"agent")</f>
        <v>agent</v>
      </c>
    </row>
    <row r="2681" ht="19.5" customHeight="1">
      <c r="A2681" s="26" t="s">
        <v>7238</v>
      </c>
      <c r="B2681" s="27" t="s">
        <v>7239</v>
      </c>
      <c r="C2681" s="28" t="s">
        <v>178</v>
      </c>
      <c r="D2681" s="29">
        <v>94.0</v>
      </c>
      <c r="E2681" s="28" t="s">
        <v>7240</v>
      </c>
      <c r="F2681" s="7" t="str">
        <f>IFERROR(__xludf.DUMMYFUNCTION("GOOGLETRANSLATE(B2681:B5064,""en"",""fr"")"),"capacité")</f>
        <v>capacité</v>
      </c>
    </row>
    <row r="2682" ht="19.5" customHeight="1">
      <c r="A2682" s="26" t="s">
        <v>7241</v>
      </c>
      <c r="B2682" s="27" t="s">
        <v>7242</v>
      </c>
      <c r="C2682" s="28" t="s">
        <v>100</v>
      </c>
      <c r="D2682" s="29">
        <v>94.0</v>
      </c>
      <c r="E2682" s="28" t="s">
        <v>7242</v>
      </c>
      <c r="F2682" s="7" t="str">
        <f>IFERROR(__xludf.DUMMYFUNCTION("GOOGLETRANSLATE(B2682:B5064,""en"",""fr"")"),"terriblement")</f>
        <v>terriblement</v>
      </c>
    </row>
    <row r="2683" ht="19.5" customHeight="1">
      <c r="A2683" s="26" t="s">
        <v>7243</v>
      </c>
      <c r="B2683" s="27" t="s">
        <v>7244</v>
      </c>
      <c r="C2683" s="28" t="s">
        <v>178</v>
      </c>
      <c r="D2683" s="29">
        <v>94.0</v>
      </c>
      <c r="E2683" s="28" t="s">
        <v>7245</v>
      </c>
      <c r="F2683" s="7" t="str">
        <f>IFERROR(__xludf.DUMMYFUNCTION("GOOGLETRANSLATE(B2683:B5064,""en"",""fr"")"),"cerise")</f>
        <v>cerise</v>
      </c>
    </row>
    <row r="2684" ht="19.5" customHeight="1">
      <c r="A2684" s="26" t="s">
        <v>7246</v>
      </c>
      <c r="B2684" s="27" t="s">
        <v>7247</v>
      </c>
      <c r="C2684" s="28" t="s">
        <v>178</v>
      </c>
      <c r="D2684" s="29">
        <v>94.0</v>
      </c>
      <c r="E2684" s="28" t="s">
        <v>7248</v>
      </c>
      <c r="F2684" s="7" t="str">
        <f>IFERROR(__xludf.DUMMYFUNCTION("GOOGLETRANSLATE(B2684:B5064,""en"",""fr"")"),"discussion")</f>
        <v>discussion</v>
      </c>
    </row>
    <row r="2685" ht="19.5" customHeight="1">
      <c r="A2685" s="26" t="s">
        <v>7249</v>
      </c>
      <c r="B2685" s="27" t="s">
        <v>7250</v>
      </c>
      <c r="C2685" s="28" t="s">
        <v>178</v>
      </c>
      <c r="D2685" s="29">
        <v>94.0</v>
      </c>
      <c r="E2685" s="28" t="s">
        <v>7251</v>
      </c>
      <c r="F2685" s="7" t="str">
        <f>IFERROR(__xludf.DUMMYFUNCTION("GOOGLETRANSLATE(B2685:B5064,""en"",""fr"")"),"documentaire")</f>
        <v>documentaire</v>
      </c>
    </row>
    <row r="2686" ht="19.5" customHeight="1">
      <c r="A2686" s="26" t="s">
        <v>7252</v>
      </c>
      <c r="B2686" s="27" t="s">
        <v>7253</v>
      </c>
      <c r="C2686" s="28" t="s">
        <v>32</v>
      </c>
      <c r="D2686" s="29">
        <v>94.0</v>
      </c>
      <c r="E2686" s="28" t="s">
        <v>7254</v>
      </c>
      <c r="F2686" s="7" t="str">
        <f>IFERROR(__xludf.DUMMYFUNCTION("GOOGLETRANSLATE(B2686:B5064,""en"",""fr"")"),"investir")</f>
        <v>investir</v>
      </c>
    </row>
    <row r="2687" ht="19.5" customHeight="1">
      <c r="A2687" s="26" t="s">
        <v>7255</v>
      </c>
      <c r="B2687" s="27" t="s">
        <v>7256</v>
      </c>
      <c r="C2687" s="28" t="s">
        <v>178</v>
      </c>
      <c r="D2687" s="29">
        <v>94.0</v>
      </c>
      <c r="E2687" s="28" t="s">
        <v>7257</v>
      </c>
      <c r="F2687" s="7" t="str">
        <f>IFERROR(__xludf.DUMMYFUNCTION("GOOGLETRANSLATE(B2687:B5064,""en"",""fr"")"),"jet")</f>
        <v>jet</v>
      </c>
    </row>
    <row r="2688" ht="19.5" customHeight="1">
      <c r="A2688" s="26" t="s">
        <v>7258</v>
      </c>
      <c r="B2688" s="27" t="s">
        <v>7259</v>
      </c>
      <c r="C2688" s="28" t="s">
        <v>178</v>
      </c>
      <c r="D2688" s="29">
        <v>94.0</v>
      </c>
      <c r="E2688" s="28" t="s">
        <v>7259</v>
      </c>
      <c r="F2688" s="7" t="str">
        <f>IFERROR(__xludf.DUMMYFUNCTION("GOOGLETRANSLATE(B2688:B5064,""en"",""fr"")"),"connaissance")</f>
        <v>connaissance</v>
      </c>
    </row>
    <row r="2689" ht="19.5" customHeight="1">
      <c r="A2689" s="26" t="s">
        <v>7260</v>
      </c>
      <c r="B2689" s="27" t="s">
        <v>5925</v>
      </c>
      <c r="C2689" s="28" t="s">
        <v>178</v>
      </c>
      <c r="D2689" s="29">
        <v>94.0</v>
      </c>
      <c r="E2689" s="28" t="s">
        <v>7261</v>
      </c>
      <c r="F2689" s="7" t="str">
        <f>IFERROR(__xludf.DUMMYFUNCTION("GOOGLETRANSLATE(B2689:B5064,""en"",""fr"")"),"charger")</f>
        <v>charger</v>
      </c>
    </row>
    <row r="2690" ht="19.5" customHeight="1">
      <c r="A2690" s="26" t="s">
        <v>7262</v>
      </c>
      <c r="B2690" s="27" t="s">
        <v>7263</v>
      </c>
      <c r="C2690" s="28" t="s">
        <v>178</v>
      </c>
      <c r="D2690" s="29">
        <v>94.0</v>
      </c>
      <c r="E2690" s="28" t="s">
        <v>7264</v>
      </c>
      <c r="F2690" s="7" t="str">
        <f>IFERROR(__xludf.DUMMYFUNCTION("GOOGLETRANSLATE(B2690:B5064,""en"",""fr"")"),"ministre")</f>
        <v>ministre</v>
      </c>
    </row>
    <row r="2691" ht="19.5" customHeight="1">
      <c r="A2691" s="26" t="s">
        <v>7265</v>
      </c>
      <c r="B2691" s="27" t="s">
        <v>7266</v>
      </c>
      <c r="C2691" s="28" t="s">
        <v>178</v>
      </c>
      <c r="D2691" s="29">
        <v>94.0</v>
      </c>
      <c r="E2691" s="28" t="s">
        <v>7267</v>
      </c>
      <c r="F2691" s="7" t="str">
        <f>IFERROR(__xludf.DUMMYFUNCTION("GOOGLETRANSLATE(B2691:B5064,""en"",""fr"")"),"connard")</f>
        <v>connard</v>
      </c>
    </row>
    <row r="2692" ht="19.5" customHeight="1">
      <c r="A2692" s="26" t="s">
        <v>7268</v>
      </c>
      <c r="B2692" s="27" t="s">
        <v>7269</v>
      </c>
      <c r="C2692" s="28" t="s">
        <v>134</v>
      </c>
      <c r="D2692" s="29">
        <v>94.0</v>
      </c>
      <c r="E2692" s="28" t="s">
        <v>7269</v>
      </c>
      <c r="F2692" s="7" t="str">
        <f>IFERROR(__xludf.DUMMYFUNCTION("GOOGLETRANSLATE(B2692:B5064,""en"",""fr"")"),"offensant")</f>
        <v>offensant</v>
      </c>
    </row>
    <row r="2693" ht="19.5" customHeight="1">
      <c r="A2693" s="26" t="s">
        <v>7270</v>
      </c>
      <c r="B2693" s="27" t="s">
        <v>7271</v>
      </c>
      <c r="C2693" s="28" t="s">
        <v>32</v>
      </c>
      <c r="D2693" s="29">
        <v>94.0</v>
      </c>
      <c r="E2693" s="28" t="s">
        <v>7272</v>
      </c>
      <c r="F2693" s="7" t="str">
        <f>IFERROR(__xludf.DUMMYFUNCTION("GOOGLETRANSLATE(B2693:B5064,""en"",""fr"")"),"promouvoir")</f>
        <v>promouvoir</v>
      </c>
    </row>
    <row r="2694" ht="19.5" customHeight="1">
      <c r="A2694" s="26" t="s">
        <v>7273</v>
      </c>
      <c r="B2694" s="27" t="s">
        <v>7274</v>
      </c>
      <c r="C2694" s="28" t="s">
        <v>32</v>
      </c>
      <c r="D2694" s="29">
        <v>94.0</v>
      </c>
      <c r="E2694" s="28" t="s">
        <v>7275</v>
      </c>
      <c r="F2694" s="7" t="str">
        <f>IFERROR(__xludf.DUMMYFUNCTION("GOOGLETRANSLATE(B2694:B5064,""en"",""fr"")"),"se retirer")</f>
        <v>se retirer</v>
      </c>
    </row>
    <row r="2695" ht="19.5" customHeight="1">
      <c r="A2695" s="26" t="s">
        <v>7276</v>
      </c>
      <c r="B2695" s="27" t="s">
        <v>7277</v>
      </c>
      <c r="C2695" s="28" t="s">
        <v>178</v>
      </c>
      <c r="D2695" s="29">
        <v>94.0</v>
      </c>
      <c r="E2695" s="28" t="s">
        <v>7278</v>
      </c>
      <c r="F2695" s="7" t="str">
        <f>IFERROR(__xludf.DUMMYFUNCTION("GOOGLETRANSLATE(B2695:B5064,""en"",""fr"")"),"chanteur")</f>
        <v>chanteur</v>
      </c>
    </row>
    <row r="2696" ht="19.5" customHeight="1">
      <c r="A2696" s="26" t="s">
        <v>7279</v>
      </c>
      <c r="B2696" s="27" t="s">
        <v>7280</v>
      </c>
      <c r="C2696" s="28" t="s">
        <v>134</v>
      </c>
      <c r="D2696" s="29">
        <v>94.0</v>
      </c>
      <c r="E2696" s="28" t="s">
        <v>7280</v>
      </c>
      <c r="F2696" s="7" t="str">
        <f>IFERROR(__xludf.DUMMYFUNCTION("GOOGLETRANSLATE(B2696:B5064,""en"",""fr"")"),"spécifique")</f>
        <v>spécifique</v>
      </c>
    </row>
    <row r="2697" ht="19.5" customHeight="1">
      <c r="A2697" s="26" t="s">
        <v>7281</v>
      </c>
      <c r="B2697" s="27" t="s">
        <v>7282</v>
      </c>
      <c r="C2697" s="28" t="s">
        <v>178</v>
      </c>
      <c r="D2697" s="29">
        <v>94.0</v>
      </c>
      <c r="E2697" s="28" t="s">
        <v>7282</v>
      </c>
      <c r="F2697" s="7" t="str">
        <f>IFERROR(__xludf.DUMMYFUNCTION("GOOGLETRANSLATE(B2697:B5064,""en"",""fr"")"),"soudain")</f>
        <v>soudain</v>
      </c>
    </row>
    <row r="2698" ht="19.5" customHeight="1">
      <c r="A2698" s="26" t="s">
        <v>7283</v>
      </c>
      <c r="B2698" s="27" t="s">
        <v>7284</v>
      </c>
      <c r="C2698" s="28" t="s">
        <v>32</v>
      </c>
      <c r="D2698" s="29">
        <v>94.0</v>
      </c>
      <c r="E2698" s="28" t="s">
        <v>7285</v>
      </c>
      <c r="F2698" s="7" t="str">
        <f>IFERROR(__xludf.DUMMYFUNCTION("GOOGLETRANSLATE(B2698:B5064,""en"",""fr"")"),"bousiller")</f>
        <v>bousiller</v>
      </c>
    </row>
    <row r="2699" ht="19.5" customHeight="1">
      <c r="A2699" s="26" t="s">
        <v>7286</v>
      </c>
      <c r="B2699" s="27" t="s">
        <v>7287</v>
      </c>
      <c r="C2699" s="28" t="s">
        <v>178</v>
      </c>
      <c r="D2699" s="29">
        <v>94.0</v>
      </c>
      <c r="E2699" s="28" t="s">
        <v>7288</v>
      </c>
      <c r="F2699" s="7" t="str">
        <f>IFERROR(__xludf.DUMMYFUNCTION("GOOGLETRANSLATE(B2699:B5064,""en"",""fr"")"),"péché")</f>
        <v>péché</v>
      </c>
    </row>
    <row r="2700" ht="19.5" customHeight="1">
      <c r="A2700" s="26" t="s">
        <v>7289</v>
      </c>
      <c r="B2700" s="27" t="s">
        <v>7290</v>
      </c>
      <c r="C2700" s="28" t="s">
        <v>178</v>
      </c>
      <c r="D2700" s="29">
        <v>94.0</v>
      </c>
      <c r="E2700" s="28" t="s">
        <v>7291</v>
      </c>
      <c r="F2700" s="7" t="str">
        <f>IFERROR(__xludf.DUMMYFUNCTION("GOOGLETRANSLATE(B2700:B5064,""en"",""fr"")"),"graphique")</f>
        <v>graphique</v>
      </c>
    </row>
    <row r="2701" ht="19.5" customHeight="1">
      <c r="A2701" s="26" t="s">
        <v>7292</v>
      </c>
      <c r="B2701" s="27" t="s">
        <v>7293</v>
      </c>
      <c r="C2701" s="28" t="s">
        <v>178</v>
      </c>
      <c r="D2701" s="29">
        <v>94.0</v>
      </c>
      <c r="E2701" s="28" t="s">
        <v>7294</v>
      </c>
      <c r="F2701" s="7" t="str">
        <f>IFERROR(__xludf.DUMMYFUNCTION("GOOGLETRANSLATE(B2701:B5064,""en"",""fr"")"),"niveleuse")</f>
        <v>niveleuse</v>
      </c>
    </row>
    <row r="2702" ht="19.5" customHeight="1">
      <c r="A2702" s="26" t="s">
        <v>7295</v>
      </c>
      <c r="B2702" s="27" t="s">
        <v>7296</v>
      </c>
      <c r="C2702" s="28" t="s">
        <v>178</v>
      </c>
      <c r="D2702" s="29">
        <v>93.0</v>
      </c>
      <c r="E2702" s="28" t="s">
        <v>7297</v>
      </c>
      <c r="F2702" s="7" t="str">
        <f>IFERROR(__xludf.DUMMYFUNCTION("GOOGLETRANSLATE(B2702:B5064,""en"",""fr"")"),"fourmi")</f>
        <v>fourmi</v>
      </c>
    </row>
    <row r="2703" ht="19.5" customHeight="1">
      <c r="A2703" s="26" t="s">
        <v>7298</v>
      </c>
      <c r="B2703" s="27" t="s">
        <v>7299</v>
      </c>
      <c r="C2703" s="28" t="s">
        <v>178</v>
      </c>
      <c r="D2703" s="29">
        <v>93.0</v>
      </c>
      <c r="E2703" s="28" t="s">
        <v>7300</v>
      </c>
      <c r="F2703" s="7" t="str">
        <f>IFERROR(__xludf.DUMMYFUNCTION("GOOGLETRANSLATE(B2703:B5064,""en"",""fr"")"),"taureau")</f>
        <v>taureau</v>
      </c>
    </row>
    <row r="2704" ht="19.5" customHeight="1">
      <c r="A2704" s="26" t="s">
        <v>7301</v>
      </c>
      <c r="B2704" s="27" t="s">
        <v>7302</v>
      </c>
      <c r="C2704" s="28" t="s">
        <v>100</v>
      </c>
      <c r="D2704" s="29">
        <v>93.0</v>
      </c>
      <c r="E2704" s="28" t="s">
        <v>7302</v>
      </c>
      <c r="F2704" s="7" t="str">
        <f>IFERROR(__xludf.DUMMYFUNCTION("GOOGLETRANSLATE(B2704:B5064,""en"",""fr"")"),"soigneusement")</f>
        <v>soigneusement</v>
      </c>
    </row>
    <row r="2705" ht="19.5" customHeight="1">
      <c r="A2705" s="26" t="s">
        <v>7303</v>
      </c>
      <c r="B2705" s="27" t="s">
        <v>7304</v>
      </c>
      <c r="C2705" s="28" t="s">
        <v>178</v>
      </c>
      <c r="D2705" s="29">
        <v>93.0</v>
      </c>
      <c r="E2705" s="28" t="s">
        <v>7305</v>
      </c>
      <c r="F2705" s="7" t="str">
        <f>IFERROR(__xludf.DUMMYFUNCTION("GOOGLETRANSLATE(B2705:B5064,""en"",""fr"")"),"nettoyage")</f>
        <v>nettoyage</v>
      </c>
    </row>
    <row r="2706" ht="19.5" customHeight="1">
      <c r="A2706" s="26" t="s">
        <v>7306</v>
      </c>
      <c r="B2706" s="27" t="s">
        <v>7307</v>
      </c>
      <c r="C2706" s="28" t="s">
        <v>178</v>
      </c>
      <c r="D2706" s="29">
        <v>93.0</v>
      </c>
      <c r="E2706" s="28" t="s">
        <v>7308</v>
      </c>
      <c r="F2706" s="7" t="str">
        <f>IFERROR(__xludf.DUMMYFUNCTION("GOOGLETRANSLATE(B2706:B5064,""en"",""fr"")"),"blaireau")</f>
        <v>blaireau</v>
      </c>
    </row>
    <row r="2707" ht="19.5" customHeight="1">
      <c r="A2707" s="26" t="s">
        <v>7309</v>
      </c>
      <c r="B2707" s="27" t="s">
        <v>7310</v>
      </c>
      <c r="C2707" s="28" t="s">
        <v>178</v>
      </c>
      <c r="D2707" s="29">
        <v>93.0</v>
      </c>
      <c r="E2707" s="28" t="s">
        <v>7311</v>
      </c>
      <c r="F2707" s="7" t="str">
        <f>IFERROR(__xludf.DUMMYFUNCTION("GOOGLETRANSLATE(B2707:B5064,""en"",""fr"")"),"factice")</f>
        <v>factice</v>
      </c>
    </row>
    <row r="2708" ht="19.5" customHeight="1">
      <c r="A2708" s="26" t="s">
        <v>7312</v>
      </c>
      <c r="B2708" s="27" t="s">
        <v>7313</v>
      </c>
      <c r="C2708" s="28" t="s">
        <v>178</v>
      </c>
      <c r="D2708" s="29">
        <v>93.0</v>
      </c>
      <c r="E2708" s="28" t="s">
        <v>7314</v>
      </c>
      <c r="F2708" s="7" t="str">
        <f>IFERROR(__xludf.DUMMYFUNCTION("GOOGLETRANSLATE(B2708:B5064,""en"",""fr"")"),"examen")</f>
        <v>examen</v>
      </c>
    </row>
    <row r="2709" ht="19.5" customHeight="1">
      <c r="A2709" s="26" t="s">
        <v>7315</v>
      </c>
      <c r="B2709" s="27" t="s">
        <v>7316</v>
      </c>
      <c r="C2709" s="28" t="s">
        <v>178</v>
      </c>
      <c r="D2709" s="29">
        <v>93.0</v>
      </c>
      <c r="E2709" s="28" t="s">
        <v>7317</v>
      </c>
      <c r="F2709" s="7" t="str">
        <f>IFERROR(__xludf.DUMMYFUNCTION("GOOGLETRANSLATE(B2709:B5064,""en"",""fr"")"),"hélicoptère")</f>
        <v>hélicoptère</v>
      </c>
    </row>
    <row r="2710" ht="19.5" customHeight="1">
      <c r="A2710" s="26" t="s">
        <v>7318</v>
      </c>
      <c r="B2710" s="27" t="s">
        <v>7319</v>
      </c>
      <c r="C2710" s="28" t="s">
        <v>178</v>
      </c>
      <c r="D2710" s="29">
        <v>93.0</v>
      </c>
      <c r="E2710" s="28" t="s">
        <v>7320</v>
      </c>
      <c r="F2710" s="7" t="str">
        <f>IFERROR(__xludf.DUMMYFUNCTION("GOOGLETRANSLATE(B2710:B5064,""en"",""fr"")"),"moustache")</f>
        <v>moustache</v>
      </c>
    </row>
    <row r="2711" ht="19.5" customHeight="1">
      <c r="A2711" s="26" t="s">
        <v>7321</v>
      </c>
      <c r="B2711" s="27" t="s">
        <v>7322</v>
      </c>
      <c r="C2711" s="28" t="s">
        <v>178</v>
      </c>
      <c r="D2711" s="29">
        <v>93.0</v>
      </c>
      <c r="E2711" s="28" t="s">
        <v>7323</v>
      </c>
      <c r="F2711" s="7" t="str">
        <f>IFERROR(__xludf.DUMMYFUNCTION("GOOGLETRANSLATE(B2711:B5064,""en"",""fr"")"),"taux")</f>
        <v>taux</v>
      </c>
    </row>
    <row r="2712" ht="19.5" customHeight="1">
      <c r="A2712" s="26" t="s">
        <v>7324</v>
      </c>
      <c r="B2712" s="27" t="s">
        <v>7325</v>
      </c>
      <c r="C2712" s="28" t="s">
        <v>32</v>
      </c>
      <c r="D2712" s="29">
        <v>93.0</v>
      </c>
      <c r="E2712" s="28" t="s">
        <v>7326</v>
      </c>
      <c r="F2712" s="7" t="str">
        <f>IFERROR(__xludf.DUMMYFUNCTION("GOOGLETRANSLATE(B2712:B5064,""en"",""fr"")"),"rappel")</f>
        <v>rappel</v>
      </c>
    </row>
    <row r="2713" ht="19.5" customHeight="1">
      <c r="A2713" s="26" t="s">
        <v>7327</v>
      </c>
      <c r="B2713" s="27" t="s">
        <v>7328</v>
      </c>
      <c r="C2713" s="28" t="s">
        <v>32</v>
      </c>
      <c r="D2713" s="29">
        <v>93.0</v>
      </c>
      <c r="E2713" s="28" t="s">
        <v>7329</v>
      </c>
      <c r="F2713" s="7" t="str">
        <f>IFERROR(__xludf.DUMMYFUNCTION("GOOGLETRANSLATE(B2713:B5064,""en"",""fr"")"),"rejeter")</f>
        <v>rejeter</v>
      </c>
    </row>
    <row r="2714" ht="19.5" customHeight="1">
      <c r="A2714" s="26" t="s">
        <v>7330</v>
      </c>
      <c r="B2714" s="27" t="s">
        <v>7331</v>
      </c>
      <c r="C2714" s="28" t="s">
        <v>32</v>
      </c>
      <c r="D2714" s="29">
        <v>93.0</v>
      </c>
      <c r="E2714" s="28" t="s">
        <v>7332</v>
      </c>
      <c r="F2714" s="7" t="str">
        <f>IFERROR(__xludf.DUMMYFUNCTION("GOOGLETRANSLATE(B2714:B5064,""en"",""fr"")"),"ski")</f>
        <v>ski</v>
      </c>
    </row>
    <row r="2715" ht="19.5" customHeight="1">
      <c r="A2715" s="26" t="s">
        <v>7333</v>
      </c>
      <c r="B2715" s="27" t="s">
        <v>7334</v>
      </c>
      <c r="C2715" s="28" t="s">
        <v>32</v>
      </c>
      <c r="D2715" s="29">
        <v>93.0</v>
      </c>
      <c r="E2715" s="28" t="s">
        <v>7335</v>
      </c>
      <c r="F2715" s="7" t="str">
        <f>IFERROR(__xludf.DUMMYFUNCTION("GOOGLETRANSLATE(B2715:B5064,""en"",""fr"")"),"espionner")</f>
        <v>espionner</v>
      </c>
    </row>
    <row r="2716" ht="19.5" customHeight="1">
      <c r="A2716" s="26" t="s">
        <v>7336</v>
      </c>
      <c r="B2716" s="27" t="s">
        <v>7337</v>
      </c>
      <c r="C2716" s="28" t="s">
        <v>178</v>
      </c>
      <c r="D2716" s="29">
        <v>93.0</v>
      </c>
      <c r="E2716" s="28" t="s">
        <v>7338</v>
      </c>
      <c r="F2716" s="7" t="str">
        <f>IFERROR(__xludf.DUMMYFUNCTION("GOOGLETRANSLATE(B2716:B5064,""en"",""fr"")"),"stresser")</f>
        <v>stresser</v>
      </c>
    </row>
    <row r="2717" ht="19.5" customHeight="1">
      <c r="A2717" s="26" t="s">
        <v>7339</v>
      </c>
      <c r="B2717" s="27" t="s">
        <v>7340</v>
      </c>
      <c r="C2717" s="28" t="s">
        <v>178</v>
      </c>
      <c r="D2717" s="29">
        <v>93.0</v>
      </c>
      <c r="E2717" s="28" t="s">
        <v>7341</v>
      </c>
      <c r="F2717" s="7" t="str">
        <f>IFERROR(__xludf.DUMMYFUNCTION("GOOGLETRANSLATE(B2717:B5064,""en"",""fr"")"),"thérapie")</f>
        <v>thérapie</v>
      </c>
    </row>
    <row r="2718" ht="19.5" customHeight="1">
      <c r="A2718" s="26" t="s">
        <v>7342</v>
      </c>
      <c r="B2718" s="27" t="s">
        <v>4162</v>
      </c>
      <c r="C2718" s="28" t="s">
        <v>178</v>
      </c>
      <c r="D2718" s="29">
        <v>93.0</v>
      </c>
      <c r="E2718" s="28" t="s">
        <v>7343</v>
      </c>
      <c r="F2718" s="7" t="str">
        <f>IFERROR(__xludf.DUMMYFUNCTION("GOOGLETRANSLATE(B2718:B5064,""en"",""fr"")"),"voyage")</f>
        <v>voyage</v>
      </c>
    </row>
    <row r="2719" ht="19.5" customHeight="1">
      <c r="A2719" s="26" t="s">
        <v>7344</v>
      </c>
      <c r="B2719" s="27" t="s">
        <v>7345</v>
      </c>
      <c r="C2719" s="28" t="s">
        <v>134</v>
      </c>
      <c r="D2719" s="29">
        <v>93.0</v>
      </c>
      <c r="E2719" s="28" t="s">
        <v>7345</v>
      </c>
      <c r="F2719" s="7" t="str">
        <f>IFERROR(__xludf.DUMMYFUNCTION("GOOGLETRANSLATE(B2719:B5064,""en"",""fr"")"),"supérieur")</f>
        <v>supérieur</v>
      </c>
    </row>
    <row r="2720" ht="19.5" customHeight="1">
      <c r="A2720" s="26" t="s">
        <v>7346</v>
      </c>
      <c r="B2720" s="27" t="s">
        <v>309</v>
      </c>
      <c r="C2720" s="28" t="s">
        <v>134</v>
      </c>
      <c r="D2720" s="29">
        <v>93.0</v>
      </c>
      <c r="E2720" s="28" t="s">
        <v>309</v>
      </c>
      <c r="F2720" s="7" t="str">
        <f>IFERROR(__xludf.DUMMYFUNCTION("GOOGLETRANSLATE(B2720:B5064,""en"",""fr"")"),"très")</f>
        <v>très</v>
      </c>
    </row>
    <row r="2721" ht="19.5" customHeight="1">
      <c r="A2721" s="26" t="s">
        <v>7347</v>
      </c>
      <c r="B2721" s="27" t="s">
        <v>7348</v>
      </c>
      <c r="C2721" s="28" t="s">
        <v>178</v>
      </c>
      <c r="D2721" s="29">
        <v>93.0</v>
      </c>
      <c r="E2721" s="28" t="s">
        <v>7349</v>
      </c>
      <c r="F2721" s="7" t="str">
        <f>IFERROR(__xludf.DUMMYFUNCTION("GOOGLETRANSLATE(B2721:B5064,""en"",""fr"")"),"éponge")</f>
        <v>éponge</v>
      </c>
    </row>
    <row r="2722" ht="19.5" customHeight="1">
      <c r="A2722" s="26" t="s">
        <v>7350</v>
      </c>
      <c r="B2722" s="27" t="s">
        <v>7351</v>
      </c>
      <c r="C2722" s="28" t="s">
        <v>178</v>
      </c>
      <c r="D2722" s="29">
        <v>93.0</v>
      </c>
      <c r="E2722" s="28" t="s">
        <v>7352</v>
      </c>
      <c r="F2722" s="7" t="str">
        <f>IFERROR(__xludf.DUMMYFUNCTION("GOOGLETRANSLATE(B2722:B5064,""en"",""fr"")"),"profit")</f>
        <v>profit</v>
      </c>
    </row>
    <row r="2723" ht="19.5" customHeight="1">
      <c r="A2723" s="26" t="s">
        <v>7353</v>
      </c>
      <c r="B2723" s="27" t="s">
        <v>7354</v>
      </c>
      <c r="C2723" s="28" t="s">
        <v>178</v>
      </c>
      <c r="D2723" s="29">
        <v>92.0</v>
      </c>
      <c r="E2723" s="28" t="s">
        <v>7355</v>
      </c>
      <c r="F2723" s="7" t="str">
        <f>IFERROR(__xludf.DUMMYFUNCTION("GOOGLETRANSLATE(B2723:B5064,""en"",""fr"")"),"affectation")</f>
        <v>affectation</v>
      </c>
    </row>
    <row r="2724" ht="19.5" customHeight="1">
      <c r="A2724" s="26" t="s">
        <v>7356</v>
      </c>
      <c r="B2724" s="27" t="s">
        <v>7357</v>
      </c>
      <c r="C2724" s="28" t="s">
        <v>32</v>
      </c>
      <c r="D2724" s="29">
        <v>92.0</v>
      </c>
      <c r="E2724" s="28" t="s">
        <v>7358</v>
      </c>
      <c r="F2724" s="7" t="str">
        <f>IFERROR(__xludf.DUMMYFUNCTION("GOOGLETRANSLATE(B2724:B5064,""en"",""fr"")"),"rebond")</f>
        <v>rebond</v>
      </c>
    </row>
    <row r="2725" ht="19.5" customHeight="1">
      <c r="A2725" s="26" t="s">
        <v>7359</v>
      </c>
      <c r="B2725" s="27" t="s">
        <v>7360</v>
      </c>
      <c r="C2725" s="28" t="s">
        <v>178</v>
      </c>
      <c r="D2725" s="29">
        <v>92.0</v>
      </c>
      <c r="E2725" s="28" t="s">
        <v>7361</v>
      </c>
      <c r="F2725" s="7" t="str">
        <f>IFERROR(__xludf.DUMMYFUNCTION("GOOGLETRANSLATE(B2725:B5064,""en"",""fr"")"),"bifurquer")</f>
        <v>bifurquer</v>
      </c>
    </row>
    <row r="2726" ht="19.5" customHeight="1">
      <c r="A2726" s="26" t="s">
        <v>7362</v>
      </c>
      <c r="B2726" s="27" t="s">
        <v>7363</v>
      </c>
      <c r="C2726" s="28" t="s">
        <v>4654</v>
      </c>
      <c r="D2726" s="29">
        <v>92.0</v>
      </c>
      <c r="E2726" s="28" t="s">
        <v>7364</v>
      </c>
      <c r="F2726" s="7" t="str">
        <f>IFERROR(__xludf.DUMMYFUNCTION("GOOGLETRANSLATE(B2726:B5064,""en"",""fr"")"),"CD")</f>
        <v>CD</v>
      </c>
    </row>
    <row r="2727" ht="19.5" customHeight="1">
      <c r="A2727" s="26" t="s">
        <v>7365</v>
      </c>
      <c r="B2727" s="27" t="s">
        <v>7366</v>
      </c>
      <c r="C2727" s="28" t="s">
        <v>134</v>
      </c>
      <c r="D2727" s="29">
        <v>92.0</v>
      </c>
      <c r="E2727" s="28" t="s">
        <v>7366</v>
      </c>
      <c r="F2727" s="7" t="str">
        <f>IFERROR(__xludf.DUMMYFUNCTION("GOOGLETRANSLATE(B2727:B5064,""en"",""fr"")"),"tous les jours")</f>
        <v>tous les jours</v>
      </c>
    </row>
    <row r="2728" ht="19.5" customHeight="1">
      <c r="A2728" s="26" t="s">
        <v>7367</v>
      </c>
      <c r="B2728" s="27" t="s">
        <v>7368</v>
      </c>
      <c r="C2728" s="28" t="s">
        <v>178</v>
      </c>
      <c r="D2728" s="29">
        <v>92.0</v>
      </c>
      <c r="E2728" s="28" t="s">
        <v>7369</v>
      </c>
      <c r="F2728" s="7" t="str">
        <f>IFERROR(__xludf.DUMMYFUNCTION("GOOGLETRANSLATE(B2728:B5064,""en"",""fr"")"),"dé")</f>
        <v>dé</v>
      </c>
    </row>
    <row r="2729" ht="19.5" customHeight="1">
      <c r="A2729" s="26" t="s">
        <v>7370</v>
      </c>
      <c r="B2729" s="27" t="s">
        <v>7371</v>
      </c>
      <c r="C2729" s="28" t="s">
        <v>178</v>
      </c>
      <c r="D2729" s="29">
        <v>92.0</v>
      </c>
      <c r="E2729" s="28" t="s">
        <v>7372</v>
      </c>
      <c r="F2729" s="7" t="str">
        <f>IFERROR(__xludf.DUMMYFUNCTION("GOOGLETRANSLATE(B2729:B5064,""en"",""fr"")"),"dignité")</f>
        <v>dignité</v>
      </c>
    </row>
    <row r="2730" ht="19.5" customHeight="1">
      <c r="A2730" s="26" t="s">
        <v>7373</v>
      </c>
      <c r="B2730" s="27" t="s">
        <v>7374</v>
      </c>
      <c r="C2730" s="28" t="s">
        <v>100</v>
      </c>
      <c r="D2730" s="29">
        <v>92.0</v>
      </c>
      <c r="E2730" s="28" t="s">
        <v>7374</v>
      </c>
      <c r="F2730" s="7" t="str">
        <f>IFERROR(__xludf.DUMMYFUNCTION("GOOGLETRANSLATE(B2730:B5064,""en"",""fr"")"),"entièrement")</f>
        <v>entièrement</v>
      </c>
    </row>
    <row r="2731" ht="19.5" customHeight="1">
      <c r="A2731" s="26" t="s">
        <v>7375</v>
      </c>
      <c r="B2731" s="27" t="s">
        <v>7376</v>
      </c>
      <c r="C2731" s="28" t="s">
        <v>32</v>
      </c>
      <c r="D2731" s="29">
        <v>92.0</v>
      </c>
      <c r="E2731" s="28" t="s">
        <v>7377</v>
      </c>
      <c r="F2731" s="7" t="str">
        <f>IFERROR(__xludf.DUMMYFUNCTION("GOOGLETRANSLATE(B2731:B5064,""en"",""fr"")"),"flatter")</f>
        <v>flatter</v>
      </c>
    </row>
    <row r="2732" ht="19.5" customHeight="1">
      <c r="A2732" s="26" t="s">
        <v>7378</v>
      </c>
      <c r="B2732" s="27" t="s">
        <v>3067</v>
      </c>
      <c r="C2732" s="28" t="s">
        <v>32</v>
      </c>
      <c r="D2732" s="29">
        <v>92.0</v>
      </c>
      <c r="E2732" s="28" t="s">
        <v>7379</v>
      </c>
      <c r="F2732" s="7" t="str">
        <f>IFERROR(__xludf.DUMMYFUNCTION("GOOGLETRANSLATE(B2732:B5064,""en"",""fr"")"),"formulaire")</f>
        <v>formulaire</v>
      </c>
    </row>
    <row r="2733" ht="19.5" customHeight="1">
      <c r="A2733" s="26" t="s">
        <v>7380</v>
      </c>
      <c r="B2733" s="27" t="s">
        <v>7381</v>
      </c>
      <c r="C2733" s="28" t="s">
        <v>178</v>
      </c>
      <c r="D2733" s="29">
        <v>92.0</v>
      </c>
      <c r="E2733" s="28" t="s">
        <v>7382</v>
      </c>
      <c r="F2733" s="7" t="str">
        <f>IFERROR(__xludf.DUMMYFUNCTION("GOOGLETRANSLATE(B2733:B5064,""en"",""fr"")"),"fraude")</f>
        <v>fraude</v>
      </c>
    </row>
    <row r="2734" ht="19.5" customHeight="1">
      <c r="A2734" s="26" t="s">
        <v>7383</v>
      </c>
      <c r="B2734" s="27" t="s">
        <v>1871</v>
      </c>
      <c r="C2734" s="28" t="s">
        <v>178</v>
      </c>
      <c r="D2734" s="29">
        <v>92.0</v>
      </c>
      <c r="E2734" s="28" t="s">
        <v>7384</v>
      </c>
      <c r="F2734" s="7" t="str">
        <f>IFERROR(__xludf.DUMMYFUNCTION("GOOGLETRANSLATE(B2734:B5064,""en"",""fr"")"),"offre")</f>
        <v>offre</v>
      </c>
    </row>
    <row r="2735" ht="19.5" customHeight="1">
      <c r="A2735" s="26" t="s">
        <v>7385</v>
      </c>
      <c r="B2735" s="27" t="s">
        <v>7386</v>
      </c>
      <c r="C2735" s="28" t="s">
        <v>178</v>
      </c>
      <c r="D2735" s="29">
        <v>92.0</v>
      </c>
      <c r="E2735" s="28" t="s">
        <v>7387</v>
      </c>
      <c r="F2735" s="7" t="str">
        <f>IFERROR(__xludf.DUMMYFUNCTION("GOOGLETRANSLATE(B2735:B5064,""en"",""fr"")"),"fosse")</f>
        <v>fosse</v>
      </c>
    </row>
    <row r="2736" ht="19.5" customHeight="1">
      <c r="A2736" s="26" t="s">
        <v>7388</v>
      </c>
      <c r="B2736" s="27" t="s">
        <v>4075</v>
      </c>
      <c r="C2736" s="28" t="s">
        <v>100</v>
      </c>
      <c r="D2736" s="29">
        <v>92.0</v>
      </c>
      <c r="E2736" s="28" t="s">
        <v>4076</v>
      </c>
      <c r="F2736" s="7" t="str">
        <f>IFERROR(__xludf.DUMMYFUNCTION("GOOGLETRANSLATE(B2736:B5064,""en"",""fr"")"),"lent")</f>
        <v>lent</v>
      </c>
    </row>
    <row r="2737" ht="19.5" customHeight="1">
      <c r="A2737" s="26" t="s">
        <v>7389</v>
      </c>
      <c r="B2737" s="27" t="s">
        <v>7390</v>
      </c>
      <c r="C2737" s="28" t="s">
        <v>178</v>
      </c>
      <c r="D2737" s="29">
        <v>92.0</v>
      </c>
      <c r="E2737" s="28" t="s">
        <v>7391</v>
      </c>
      <c r="F2737" s="7" t="str">
        <f>IFERROR(__xludf.DUMMYFUNCTION("GOOGLETRANSLATE(B2737:B5064,""en"",""fr"")"),"statut")</f>
        <v>statut</v>
      </c>
    </row>
    <row r="2738" ht="19.5" customHeight="1">
      <c r="A2738" s="26" t="s">
        <v>7392</v>
      </c>
      <c r="B2738" s="27" t="s">
        <v>7393</v>
      </c>
      <c r="C2738" s="28" t="s">
        <v>178</v>
      </c>
      <c r="D2738" s="29">
        <v>92.0</v>
      </c>
      <c r="E2738" s="28" t="s">
        <v>7394</v>
      </c>
      <c r="F2738" s="7" t="str">
        <f>IFERROR(__xludf.DUMMYFUNCTION("GOOGLETRANSLATE(B2738:B5064,""en"",""fr"")"),"accident vasculaire cérébral")</f>
        <v>accident vasculaire cérébral</v>
      </c>
    </row>
    <row r="2739" ht="19.5" customHeight="1">
      <c r="A2739" s="26" t="s">
        <v>7395</v>
      </c>
      <c r="B2739" s="27" t="s">
        <v>7396</v>
      </c>
      <c r="C2739" s="28" t="s">
        <v>32</v>
      </c>
      <c r="D2739" s="29">
        <v>92.0</v>
      </c>
      <c r="E2739" s="28" t="s">
        <v>7397</v>
      </c>
      <c r="F2739" s="7" t="str">
        <f>IFERROR(__xludf.DUMMYFUNCTION("GOOGLETRANSLATE(B2739:B5064,""en"",""fr"")"),"terrifier")</f>
        <v>terrifier</v>
      </c>
    </row>
    <row r="2740" ht="19.5" customHeight="1">
      <c r="A2740" s="26" t="s">
        <v>7398</v>
      </c>
      <c r="B2740" s="27" t="s">
        <v>7399</v>
      </c>
      <c r="C2740" s="28" t="s">
        <v>150</v>
      </c>
      <c r="D2740" s="29">
        <v>92.0</v>
      </c>
      <c r="E2740" s="28" t="s">
        <v>7399</v>
      </c>
      <c r="F2740" s="7" t="str">
        <f>IFERROR(__xludf.DUMMYFUNCTION("GOOGLETRANSLATE(B2740:B5064,""en"",""fr"")"),"trente cinq")</f>
        <v>trente cinq</v>
      </c>
    </row>
    <row r="2741" ht="19.5" customHeight="1">
      <c r="A2741" s="26" t="s">
        <v>7400</v>
      </c>
      <c r="B2741" s="27" t="s">
        <v>7401</v>
      </c>
      <c r="C2741" s="28" t="s">
        <v>178</v>
      </c>
      <c r="D2741" s="29">
        <v>92.0</v>
      </c>
      <c r="E2741" s="28" t="s">
        <v>7402</v>
      </c>
      <c r="F2741" s="7" t="str">
        <f>IFERROR(__xludf.DUMMYFUNCTION("GOOGLETRANSLATE(B2741:B5064,""en"",""fr"")"),"yaourt")</f>
        <v>yaourt</v>
      </c>
    </row>
    <row r="2742" ht="19.5" customHeight="1">
      <c r="A2742" s="26" t="s">
        <v>7403</v>
      </c>
      <c r="B2742" s="27" t="s">
        <v>7404</v>
      </c>
      <c r="C2742" s="28" t="s">
        <v>134</v>
      </c>
      <c r="D2742" s="29">
        <v>92.0</v>
      </c>
      <c r="E2742" s="28" t="s">
        <v>7404</v>
      </c>
      <c r="F2742" s="7" t="str">
        <f>IFERROR(__xludf.DUMMYFUNCTION("GOOGLETRANSLATE(B2742:B5064,""en"",""fr"")"),"aléatoire")</f>
        <v>aléatoire</v>
      </c>
    </row>
    <row r="2743" ht="19.5" customHeight="1">
      <c r="A2743" s="26" t="s">
        <v>7405</v>
      </c>
      <c r="B2743" s="27" t="s">
        <v>7406</v>
      </c>
      <c r="C2743" s="28" t="s">
        <v>134</v>
      </c>
      <c r="D2743" s="29">
        <v>92.0</v>
      </c>
      <c r="E2743" s="28" t="s">
        <v>7407</v>
      </c>
      <c r="F2743" s="7" t="str">
        <f>IFERROR(__xludf.DUMMYFUNCTION("GOOGLETRANSLATE(B2743:B5064,""en"",""fr"")"),"blond")</f>
        <v>blond</v>
      </c>
    </row>
    <row r="2744" ht="19.5" customHeight="1">
      <c r="A2744" s="26" t="s">
        <v>7408</v>
      </c>
      <c r="B2744" s="27" t="s">
        <v>7409</v>
      </c>
      <c r="C2744" s="28" t="s">
        <v>178</v>
      </c>
      <c r="D2744" s="29">
        <v>92.0</v>
      </c>
      <c r="E2744" s="28" t="s">
        <v>7410</v>
      </c>
      <c r="F2744" s="7" t="str">
        <f>IFERROR(__xludf.DUMMYFUNCTION("GOOGLETRANSLATE(B2744:B5064,""en"",""fr"")"),"cube")</f>
        <v>cube</v>
      </c>
    </row>
    <row r="2745" ht="19.5" customHeight="1">
      <c r="A2745" s="26" t="s">
        <v>7411</v>
      </c>
      <c r="B2745" s="27" t="s">
        <v>7412</v>
      </c>
      <c r="C2745" s="28" t="s">
        <v>178</v>
      </c>
      <c r="D2745" s="29">
        <v>91.0</v>
      </c>
      <c r="E2745" s="28" t="s">
        <v>7413</v>
      </c>
      <c r="F2745" s="7" t="str">
        <f>IFERROR(__xludf.DUMMYFUNCTION("GOOGLETRANSLATE(B2745:B5064,""en"",""fr"")"),"ruelle")</f>
        <v>ruelle</v>
      </c>
    </row>
    <row r="2746" ht="19.5" customHeight="1">
      <c r="A2746" s="26" t="s">
        <v>7414</v>
      </c>
      <c r="B2746" s="27" t="s">
        <v>7415</v>
      </c>
      <c r="C2746" s="28" t="s">
        <v>32</v>
      </c>
      <c r="D2746" s="29">
        <v>91.0</v>
      </c>
      <c r="E2746" s="28" t="s">
        <v>7416</v>
      </c>
      <c r="F2746" s="7" t="str">
        <f>IFERROR(__xludf.DUMMYFUNCTION("GOOGLETRANSLATE(B2746:B5064,""en"",""fr"")"),"organiser")</f>
        <v>organiser</v>
      </c>
    </row>
    <row r="2747" ht="19.5" customHeight="1">
      <c r="A2747" s="26" t="s">
        <v>7417</v>
      </c>
      <c r="B2747" s="27" t="s">
        <v>7418</v>
      </c>
      <c r="C2747" s="28" t="s">
        <v>178</v>
      </c>
      <c r="D2747" s="29">
        <v>91.0</v>
      </c>
      <c r="E2747" s="28" t="s">
        <v>7419</v>
      </c>
      <c r="F2747" s="7" t="str">
        <f>IFERROR(__xludf.DUMMYFUNCTION("GOOGLETRANSLATE(B2747:B5064,""en"",""fr"")"),"coupon")</f>
        <v>coupon</v>
      </c>
    </row>
    <row r="2748" ht="19.5" customHeight="1">
      <c r="A2748" s="26" t="s">
        <v>7420</v>
      </c>
      <c r="B2748" s="27" t="s">
        <v>7421</v>
      </c>
      <c r="C2748" s="28" t="s">
        <v>32</v>
      </c>
      <c r="D2748" s="29">
        <v>91.0</v>
      </c>
      <c r="E2748" s="28" t="s">
        <v>7422</v>
      </c>
      <c r="F2748" s="7" t="str">
        <f>IFERROR(__xludf.DUMMYFUNCTION("GOOGLETRANSLATE(B2748:B5064,""en"",""fr"")"),"fossé")</f>
        <v>fossé</v>
      </c>
    </row>
    <row r="2749" ht="19.5" customHeight="1">
      <c r="A2749" s="26" t="s">
        <v>7423</v>
      </c>
      <c r="B2749" s="27" t="s">
        <v>7424</v>
      </c>
      <c r="C2749" s="28" t="s">
        <v>134</v>
      </c>
      <c r="D2749" s="29">
        <v>91.0</v>
      </c>
      <c r="E2749" s="28" t="s">
        <v>7425</v>
      </c>
      <c r="F2749" s="7" t="str">
        <f>IFERROR(__xludf.DUMMYFUNCTION("GOOGLETRANSLATE(B2749:B5064,""en"",""fr"")"),"ivre")</f>
        <v>ivre</v>
      </c>
    </row>
    <row r="2750" ht="19.5" customHeight="1">
      <c r="A2750" s="26" t="s">
        <v>7426</v>
      </c>
      <c r="B2750" s="27" t="s">
        <v>7427</v>
      </c>
      <c r="C2750" s="28" t="s">
        <v>178</v>
      </c>
      <c r="D2750" s="29">
        <v>91.0</v>
      </c>
      <c r="E2750" s="28" t="s">
        <v>7428</v>
      </c>
      <c r="F2750" s="7" t="str">
        <f>IFERROR(__xludf.DUMMYFUNCTION("GOOGLETRANSLATE(B2750:B5064,""en"",""fr"")"),"bord")</f>
        <v>bord</v>
      </c>
    </row>
    <row r="2751" ht="19.5" customHeight="1">
      <c r="A2751" s="26" t="s">
        <v>7429</v>
      </c>
      <c r="B2751" s="27" t="s">
        <v>7430</v>
      </c>
      <c r="C2751" s="28" t="s">
        <v>32</v>
      </c>
      <c r="D2751" s="29">
        <v>91.0</v>
      </c>
      <c r="E2751" s="28" t="s">
        <v>7431</v>
      </c>
      <c r="F2751" s="7" t="str">
        <f>IFERROR(__xludf.DUMMYFUNCTION("GOOGLETRANSLATE(B2751:B5064,""en"",""fr"")"),"pari")</f>
        <v>pari</v>
      </c>
    </row>
    <row r="2752" ht="19.5" customHeight="1">
      <c r="A2752" s="26" t="s">
        <v>7432</v>
      </c>
      <c r="B2752" s="27" t="s">
        <v>7433</v>
      </c>
      <c r="C2752" s="28" t="s">
        <v>134</v>
      </c>
      <c r="D2752" s="29">
        <v>91.0</v>
      </c>
      <c r="E2752" s="28" t="s">
        <v>7434</v>
      </c>
      <c r="F2752" s="7" t="str">
        <f>IFERROR(__xludf.DUMMYFUNCTION("GOOGLETRANSLATE(B2752:B5064,""en"",""fr"")"),"gris")</f>
        <v>gris</v>
      </c>
    </row>
    <row r="2753" ht="19.5" customHeight="1">
      <c r="A2753" s="26" t="s">
        <v>7435</v>
      </c>
      <c r="B2753" s="27" t="s">
        <v>7436</v>
      </c>
      <c r="C2753" s="28" t="s">
        <v>178</v>
      </c>
      <c r="D2753" s="29">
        <v>91.0</v>
      </c>
      <c r="E2753" s="28" t="s">
        <v>7437</v>
      </c>
      <c r="F2753" s="7" t="str">
        <f>IFERROR(__xludf.DUMMYFUNCTION("GOOGLETRANSLATE(B2753:B5064,""en"",""fr"")"),"otage")</f>
        <v>otage</v>
      </c>
    </row>
    <row r="2754" ht="19.5" customHeight="1">
      <c r="A2754" s="26" t="s">
        <v>7438</v>
      </c>
      <c r="B2754" s="27" t="s">
        <v>7439</v>
      </c>
      <c r="C2754" s="28" t="s">
        <v>32</v>
      </c>
      <c r="D2754" s="29">
        <v>91.0</v>
      </c>
      <c r="E2754" s="28" t="s">
        <v>7440</v>
      </c>
      <c r="F2754" s="7" t="str">
        <f>IFERROR(__xludf.DUMMYFUNCTION("GOOGLETRANSLATE(B2754:B5064,""en"",""fr"")"),"informer")</f>
        <v>informer</v>
      </c>
    </row>
    <row r="2755" ht="19.5" customHeight="1">
      <c r="A2755" s="26" t="s">
        <v>7441</v>
      </c>
      <c r="B2755" s="27" t="s">
        <v>7442</v>
      </c>
      <c r="C2755" s="28" t="s">
        <v>134</v>
      </c>
      <c r="D2755" s="29">
        <v>91.0</v>
      </c>
      <c r="E2755" s="28" t="s">
        <v>7443</v>
      </c>
      <c r="F2755" s="7" t="str">
        <f>IFERROR(__xludf.DUMMYFUNCTION("GOOGLETRANSLATE(B2755:B5064,""en"",""fr"")"),"probable")</f>
        <v>probable</v>
      </c>
    </row>
    <row r="2756" ht="19.5" customHeight="1">
      <c r="A2756" s="26" t="s">
        <v>7444</v>
      </c>
      <c r="B2756" s="27" t="s">
        <v>7445</v>
      </c>
      <c r="C2756" s="28" t="s">
        <v>178</v>
      </c>
      <c r="D2756" s="29">
        <v>91.0</v>
      </c>
      <c r="E2756" s="28" t="s">
        <v>7446</v>
      </c>
      <c r="F2756" s="7" t="str">
        <f>IFERROR(__xludf.DUMMYFUNCTION("GOOGLETRANSLATE(B2756:B5064,""en"",""fr"")"),"masque")</f>
        <v>masque</v>
      </c>
    </row>
    <row r="2757" ht="19.5" customHeight="1">
      <c r="A2757" s="26" t="s">
        <v>7447</v>
      </c>
      <c r="B2757" s="27" t="s">
        <v>7448</v>
      </c>
      <c r="C2757" s="28" t="s">
        <v>134</v>
      </c>
      <c r="D2757" s="29">
        <v>91.0</v>
      </c>
      <c r="E2757" s="28" t="s">
        <v>7449</v>
      </c>
      <c r="F2757" s="7" t="str">
        <f>IFERROR(__xludf.DUMMYFUNCTION("GOOGLETRANSLATE(B2757:B5064,""en"",""fr"")"),"méchant")</f>
        <v>méchant</v>
      </c>
    </row>
    <row r="2758" ht="19.5" customHeight="1">
      <c r="A2758" s="26" t="s">
        <v>7450</v>
      </c>
      <c r="B2758" s="27" t="s">
        <v>7451</v>
      </c>
      <c r="C2758" s="28" t="s">
        <v>728</v>
      </c>
      <c r="D2758" s="29">
        <v>91.0</v>
      </c>
      <c r="E2758" s="28" t="s">
        <v>7451</v>
      </c>
      <c r="F2758" s="7" t="str">
        <f>IFERROR(__xludf.DUMMYFUNCTION("GOOGLETRANSLATE(B2758:B5064,""en"",""fr"")"),"Jeux olympiques")</f>
        <v>Jeux olympiques</v>
      </c>
    </row>
    <row r="2759" ht="19.5" customHeight="1">
      <c r="A2759" s="26" t="s">
        <v>7452</v>
      </c>
      <c r="B2759" s="27" t="s">
        <v>7453</v>
      </c>
      <c r="C2759" s="28" t="s">
        <v>178</v>
      </c>
      <c r="D2759" s="29">
        <v>91.0</v>
      </c>
      <c r="E2759" s="28" t="s">
        <v>7453</v>
      </c>
      <c r="F2759" s="7" t="str">
        <f>IFERROR(__xludf.DUMMYFUNCTION("GOOGLETRANSLATE(B2759:B5064,""en"",""fr"")"),"culotte")</f>
        <v>culotte</v>
      </c>
    </row>
    <row r="2760" ht="19.5" customHeight="1">
      <c r="A2760" s="26" t="s">
        <v>7454</v>
      </c>
      <c r="B2760" s="27" t="s">
        <v>7455</v>
      </c>
      <c r="C2760" s="28" t="s">
        <v>178</v>
      </c>
      <c r="D2760" s="29">
        <v>91.0</v>
      </c>
      <c r="E2760" s="28" t="s">
        <v>7456</v>
      </c>
      <c r="F2760" s="7" t="str">
        <f>IFERROR(__xludf.DUMMYFUNCTION("GOOGLETRANSLATE(B2760:B5064,""en"",""fr"")"),"prêtre")</f>
        <v>prêtre</v>
      </c>
    </row>
    <row r="2761" ht="19.5" customHeight="1">
      <c r="A2761" s="26" t="s">
        <v>7457</v>
      </c>
      <c r="B2761" s="27" t="s">
        <v>2614</v>
      </c>
      <c r="C2761" s="28" t="s">
        <v>134</v>
      </c>
      <c r="D2761" s="29">
        <v>91.0</v>
      </c>
      <c r="E2761" s="28" t="s">
        <v>2614</v>
      </c>
      <c r="F2761" s="7" t="str">
        <f>IFERROR(__xludf.DUMMYFUNCTION("GOOGLETRANSLATE(B2761:B5064,""en"",""fr"")"),"rocher")</f>
        <v>rocher</v>
      </c>
    </row>
    <row r="2762" ht="19.5" customHeight="1">
      <c r="A2762" s="26" t="s">
        <v>7458</v>
      </c>
      <c r="B2762" s="27" t="s">
        <v>7459</v>
      </c>
      <c r="C2762" s="28" t="s">
        <v>32</v>
      </c>
      <c r="D2762" s="29">
        <v>91.0</v>
      </c>
      <c r="E2762" s="28" t="s">
        <v>7460</v>
      </c>
      <c r="F2762" s="7" t="str">
        <f>IFERROR(__xludf.DUMMYFUNCTION("GOOGLETRANSLATE(B2762:B5064,""en"",""fr"")"),"briller")</f>
        <v>briller</v>
      </c>
    </row>
    <row r="2763" ht="19.5" customHeight="1">
      <c r="A2763" s="26" t="s">
        <v>7461</v>
      </c>
      <c r="B2763" s="27" t="s">
        <v>2369</v>
      </c>
      <c r="C2763" s="28" t="s">
        <v>32</v>
      </c>
      <c r="D2763" s="29">
        <v>91.0</v>
      </c>
      <c r="E2763" s="28" t="s">
        <v>7462</v>
      </c>
      <c r="F2763" s="7" t="str">
        <f>IFERROR(__xludf.DUMMYFUNCTION("GOOGLETRANSLATE(B2763:B5064,""en"",""fr"")"),"douche")</f>
        <v>douche</v>
      </c>
    </row>
    <row r="2764" ht="19.5" customHeight="1">
      <c r="A2764" s="26" t="s">
        <v>7463</v>
      </c>
      <c r="B2764" s="27" t="s">
        <v>3441</v>
      </c>
      <c r="C2764" s="28" t="s">
        <v>100</v>
      </c>
      <c r="D2764" s="29">
        <v>91.0</v>
      </c>
      <c r="E2764" s="28" t="s">
        <v>3441</v>
      </c>
      <c r="F2764" s="7" t="str">
        <f>IFERROR(__xludf.DUMMYFUNCTION("GOOGLETRANSLATE(B2764:B5064,""en"",""fr"")"),"gauche")</f>
        <v>gauche</v>
      </c>
    </row>
    <row r="2765" ht="19.5" customHeight="1">
      <c r="A2765" s="26" t="s">
        <v>7464</v>
      </c>
      <c r="B2765" s="27" t="s">
        <v>7465</v>
      </c>
      <c r="C2765" s="28" t="s">
        <v>134</v>
      </c>
      <c r="D2765" s="29">
        <v>90.0</v>
      </c>
      <c r="E2765" s="28" t="s">
        <v>7465</v>
      </c>
      <c r="F2765" s="7" t="str">
        <f>IFERROR(__xludf.DUMMYFUNCTION("GOOGLETRANSLATE(B2765:B5064,""en"",""fr"")"),"capable")</f>
        <v>capable</v>
      </c>
    </row>
    <row r="2766" ht="19.5" customHeight="1">
      <c r="A2766" s="26" t="s">
        <v>7466</v>
      </c>
      <c r="B2766" s="27" t="s">
        <v>7467</v>
      </c>
      <c r="C2766" s="28" t="s">
        <v>178</v>
      </c>
      <c r="D2766" s="29">
        <v>90.0</v>
      </c>
      <c r="E2766" s="28" t="s">
        <v>7468</v>
      </c>
      <c r="F2766" s="7" t="str">
        <f>IFERROR(__xludf.DUMMYFUNCTION("GOOGLETRANSLATE(B2766:B5064,""en"",""fr"")"),"société")</f>
        <v>société</v>
      </c>
    </row>
    <row r="2767" ht="19.5" customHeight="1">
      <c r="A2767" s="26" t="s">
        <v>7469</v>
      </c>
      <c r="B2767" s="27" t="s">
        <v>7470</v>
      </c>
      <c r="C2767" s="28" t="s">
        <v>32</v>
      </c>
      <c r="D2767" s="29">
        <v>90.0</v>
      </c>
      <c r="E2767" s="28" t="s">
        <v>7471</v>
      </c>
      <c r="F2767" s="7" t="str">
        <f>IFERROR(__xludf.DUMMYFUNCTION("GOOGLETRANSLATE(B2767:B5064,""en"",""fr"")"),"supprimer")</f>
        <v>supprimer</v>
      </c>
    </row>
    <row r="2768" ht="19.5" customHeight="1">
      <c r="A2768" s="26" t="s">
        <v>7472</v>
      </c>
      <c r="B2768" s="27" t="s">
        <v>7473</v>
      </c>
      <c r="C2768" s="28" t="s">
        <v>134</v>
      </c>
      <c r="D2768" s="29">
        <v>90.0</v>
      </c>
      <c r="E2768" s="28" t="s">
        <v>7473</v>
      </c>
      <c r="F2768" s="7" t="str">
        <f>IFERROR(__xludf.DUMMYFUNCTION("GOOGLETRANSLATE(B2768:B5064,""en"",""fr"")"),"dentaire")</f>
        <v>dentaire</v>
      </c>
    </row>
    <row r="2769" ht="19.5" customHeight="1">
      <c r="A2769" s="26" t="s">
        <v>7474</v>
      </c>
      <c r="B2769" s="27" t="s">
        <v>7475</v>
      </c>
      <c r="C2769" s="28" t="s">
        <v>178</v>
      </c>
      <c r="D2769" s="29">
        <v>90.0</v>
      </c>
      <c r="E2769" s="28" t="s">
        <v>7476</v>
      </c>
      <c r="F2769" s="7" t="str">
        <f>IFERROR(__xludf.DUMMYFUNCTION("GOOGLETRANSLATE(B2769:B5064,""en"",""fr"")"),"fiançailles")</f>
        <v>fiançailles</v>
      </c>
    </row>
    <row r="2770" ht="19.5" customHeight="1">
      <c r="A2770" s="26" t="s">
        <v>7477</v>
      </c>
      <c r="B2770" s="27" t="s">
        <v>7478</v>
      </c>
      <c r="C2770" s="28" t="s">
        <v>32</v>
      </c>
      <c r="D2770" s="29">
        <v>90.0</v>
      </c>
      <c r="E2770" s="28" t="s">
        <v>7479</v>
      </c>
      <c r="F2770" s="7" t="str">
        <f>IFERROR(__xludf.DUMMYFUNCTION("GOOGLETRANSLATE(B2770:B5064,""en"",""fr"")"),"apporter")</f>
        <v>apporter</v>
      </c>
    </row>
    <row r="2771" ht="19.5" customHeight="1">
      <c r="A2771" s="26" t="s">
        <v>7480</v>
      </c>
      <c r="B2771" s="27" t="s">
        <v>7481</v>
      </c>
      <c r="C2771" s="28" t="s">
        <v>85</v>
      </c>
      <c r="D2771" s="29">
        <v>90.0</v>
      </c>
      <c r="E2771" s="28" t="s">
        <v>7481</v>
      </c>
      <c r="F2771" s="7" t="str">
        <f>IFERROR(__xludf.DUMMYFUNCTION("GOOGLETRANSLATE(B2771:B5064,""en"",""fr"")"),"salut")</f>
        <v>salut</v>
      </c>
    </row>
    <row r="2772" ht="19.5" customHeight="1">
      <c r="A2772" s="26" t="s">
        <v>7482</v>
      </c>
      <c r="B2772" s="27" t="s">
        <v>7483</v>
      </c>
      <c r="C2772" s="28" t="s">
        <v>134</v>
      </c>
      <c r="D2772" s="29">
        <v>90.0</v>
      </c>
      <c r="E2772" s="28" t="s">
        <v>7483</v>
      </c>
      <c r="F2772" s="7" t="str">
        <f>IFERROR(__xludf.DUMMYFUNCTION("GOOGLETRANSLATE(B2772:B5064,""en"",""fr"")"),"ironique")</f>
        <v>ironique</v>
      </c>
    </row>
    <row r="2773" ht="19.5" customHeight="1">
      <c r="A2773" s="26" t="s">
        <v>7484</v>
      </c>
      <c r="B2773" s="27" t="s">
        <v>7485</v>
      </c>
      <c r="C2773" s="28" t="s">
        <v>178</v>
      </c>
      <c r="D2773" s="29">
        <v>90.0</v>
      </c>
      <c r="E2773" s="28" t="s">
        <v>7486</v>
      </c>
      <c r="F2773" s="7" t="str">
        <f>IFERROR(__xludf.DUMMYFUNCTION("GOOGLETRANSLATE(B2773:B5064,""en"",""fr"")"),"mouvement")</f>
        <v>mouvement</v>
      </c>
    </row>
    <row r="2774" ht="19.5" customHeight="1">
      <c r="A2774" s="26" t="s">
        <v>7487</v>
      </c>
      <c r="B2774" s="27" t="s">
        <v>7488</v>
      </c>
      <c r="C2774" s="28" t="s">
        <v>178</v>
      </c>
      <c r="D2774" s="29">
        <v>90.0</v>
      </c>
      <c r="E2774" s="28" t="s">
        <v>7489</v>
      </c>
      <c r="F2774" s="7" t="str">
        <f>IFERROR(__xludf.DUMMYFUNCTION("GOOGLETRANSLATE(B2774:B5064,""en"",""fr"")"),"piano")</f>
        <v>piano</v>
      </c>
    </row>
    <row r="2775" ht="19.5" customHeight="1">
      <c r="A2775" s="26" t="s">
        <v>7490</v>
      </c>
      <c r="B2775" s="27" t="s">
        <v>7491</v>
      </c>
      <c r="C2775" s="28" t="s">
        <v>178</v>
      </c>
      <c r="D2775" s="29">
        <v>90.0</v>
      </c>
      <c r="E2775" s="28" t="s">
        <v>7492</v>
      </c>
      <c r="F2775" s="7" t="str">
        <f>IFERROR(__xludf.DUMMYFUNCTION("GOOGLETRANSLATE(B2775:B5064,""en"",""fr"")"),"scooter")</f>
        <v>scooter</v>
      </c>
    </row>
    <row r="2776" ht="19.5" customHeight="1">
      <c r="A2776" s="26" t="s">
        <v>7493</v>
      </c>
      <c r="B2776" s="27" t="s">
        <v>7494</v>
      </c>
      <c r="C2776" s="28" t="s">
        <v>178</v>
      </c>
      <c r="D2776" s="29">
        <v>90.0</v>
      </c>
      <c r="E2776" s="28" t="s">
        <v>7495</v>
      </c>
      <c r="F2776" s="7" t="str">
        <f>IFERROR(__xludf.DUMMYFUNCTION("GOOGLETRANSLATE(B2776:B5064,""en"",""fr"")"),"argent")</f>
        <v>argent</v>
      </c>
    </row>
    <row r="2777" ht="19.5" customHeight="1">
      <c r="A2777" s="26" t="s">
        <v>7496</v>
      </c>
      <c r="B2777" s="27" t="s">
        <v>7497</v>
      </c>
      <c r="C2777" s="28" t="s">
        <v>100</v>
      </c>
      <c r="D2777" s="29">
        <v>90.0</v>
      </c>
      <c r="E2777" s="28" t="s">
        <v>7497</v>
      </c>
      <c r="F2777" s="7" t="str">
        <f>IFERROR(__xludf.DUMMYFUNCTION("GOOGLETRANSLATE(B2777:B5064,""en"",""fr"")"),"légèrement")</f>
        <v>légèrement</v>
      </c>
    </row>
    <row r="2778" ht="19.5" customHeight="1">
      <c r="A2778" s="26" t="s">
        <v>7498</v>
      </c>
      <c r="B2778" s="27" t="s">
        <v>1850</v>
      </c>
      <c r="C2778" s="28" t="s">
        <v>32</v>
      </c>
      <c r="D2778" s="29">
        <v>90.0</v>
      </c>
      <c r="E2778" s="28" t="s">
        <v>7499</v>
      </c>
      <c r="F2778" s="7" t="str">
        <f>IFERROR(__xludf.DUMMYFUNCTION("GOOGLETRANSLATE(B2778:B5064,""en"",""fr"")"),"trier")</f>
        <v>trier</v>
      </c>
    </row>
    <row r="2779" ht="19.5" customHeight="1">
      <c r="A2779" s="26" t="s">
        <v>7500</v>
      </c>
      <c r="B2779" s="27" t="s">
        <v>7501</v>
      </c>
      <c r="C2779" s="28" t="s">
        <v>134</v>
      </c>
      <c r="D2779" s="29">
        <v>90.0</v>
      </c>
      <c r="E2779" s="28" t="s">
        <v>7501</v>
      </c>
      <c r="F2779" s="7" t="str">
        <f>IFERROR(__xludf.DUMMYFUNCTION("GOOGLETRANSLATE(B2779:B5064,""en"",""fr"")"),"tragique")</f>
        <v>tragique</v>
      </c>
    </row>
    <row r="2780" ht="19.5" customHeight="1">
      <c r="A2780" s="26" t="s">
        <v>7502</v>
      </c>
      <c r="B2780" s="27" t="s">
        <v>7503</v>
      </c>
      <c r="C2780" s="28" t="s">
        <v>178</v>
      </c>
      <c r="D2780" s="29">
        <v>90.0</v>
      </c>
      <c r="E2780" s="28" t="s">
        <v>7503</v>
      </c>
      <c r="F2780" s="7" t="str">
        <f>IFERROR(__xludf.DUMMYFUNCTION("GOOGLETRANSLATE(B2780:B5064,""en"",""fr"")"),"slip")</f>
        <v>slip</v>
      </c>
    </row>
    <row r="2781" ht="19.5" customHeight="1">
      <c r="A2781" s="26" t="s">
        <v>7504</v>
      </c>
      <c r="B2781" s="27" t="s">
        <v>7505</v>
      </c>
      <c r="C2781" s="28" t="s">
        <v>178</v>
      </c>
      <c r="D2781" s="29">
        <v>89.0</v>
      </c>
      <c r="E2781" s="28" t="s">
        <v>7506</v>
      </c>
      <c r="F2781" s="7" t="str">
        <f>IFERROR(__xludf.DUMMYFUNCTION("GOOGLETRANSLATE(B2781:B5064,""en"",""fr"")"),"armoire")</f>
        <v>armoire</v>
      </c>
    </row>
    <row r="2782" ht="19.5" customHeight="1">
      <c r="A2782" s="26" t="s">
        <v>7507</v>
      </c>
      <c r="B2782" s="27" t="s">
        <v>7508</v>
      </c>
      <c r="C2782" s="28" t="s">
        <v>178</v>
      </c>
      <c r="D2782" s="29">
        <v>89.0</v>
      </c>
      <c r="E2782" s="28" t="s">
        <v>7509</v>
      </c>
      <c r="F2782" s="7" t="str">
        <f>IFERROR(__xludf.DUMMYFUNCTION("GOOGLETRANSLATE(B2782:B5064,""en"",""fr"")"),"dette")</f>
        <v>dette</v>
      </c>
    </row>
    <row r="2783" ht="19.5" customHeight="1">
      <c r="A2783" s="26" t="s">
        <v>7510</v>
      </c>
      <c r="B2783" s="27" t="s">
        <v>7511</v>
      </c>
      <c r="C2783" s="28" t="s">
        <v>134</v>
      </c>
      <c r="D2783" s="29">
        <v>89.0</v>
      </c>
      <c r="E2783" s="28" t="s">
        <v>7511</v>
      </c>
      <c r="F2783" s="7" t="str">
        <f>IFERROR(__xludf.DUMMYFUNCTION("GOOGLETRANSLATE(B2783:B5064,""en"",""fr"")"),"mondial")</f>
        <v>mondial</v>
      </c>
    </row>
    <row r="2784" ht="19.5" customHeight="1">
      <c r="A2784" s="26" t="s">
        <v>7512</v>
      </c>
      <c r="B2784" s="27" t="s">
        <v>7513</v>
      </c>
      <c r="C2784" s="28" t="s">
        <v>100</v>
      </c>
      <c r="D2784" s="29">
        <v>89.0</v>
      </c>
      <c r="E2784" s="28" t="s">
        <v>7513</v>
      </c>
      <c r="F2784" s="7" t="str">
        <f>IFERROR(__xludf.DUMMYFUNCTION("GOOGLETRANSLATE(B2784:B5064,""en"",""fr"")"),"par la présente")</f>
        <v>par la présente</v>
      </c>
    </row>
    <row r="2785" ht="19.5" customHeight="1">
      <c r="A2785" s="26" t="s">
        <v>7514</v>
      </c>
      <c r="B2785" s="27" t="s">
        <v>7515</v>
      </c>
      <c r="C2785" s="28" t="s">
        <v>178</v>
      </c>
      <c r="D2785" s="29">
        <v>89.0</v>
      </c>
      <c r="E2785" s="28" t="s">
        <v>7516</v>
      </c>
      <c r="F2785" s="7" t="str">
        <f>IFERROR(__xludf.DUMMYFUNCTION("GOOGLETRANSLATE(B2785:B5064,""en"",""fr"")"),"Jardin d'enfants")</f>
        <v>Jardin d'enfants</v>
      </c>
    </row>
    <row r="2786" ht="19.5" customHeight="1">
      <c r="A2786" s="26" t="s">
        <v>7517</v>
      </c>
      <c r="B2786" s="27" t="s">
        <v>7518</v>
      </c>
      <c r="C2786" s="28" t="s">
        <v>178</v>
      </c>
      <c r="D2786" s="29">
        <v>89.0</v>
      </c>
      <c r="E2786" s="28" t="s">
        <v>7518</v>
      </c>
      <c r="F2786" s="7" t="str">
        <f>IFERROR(__xludf.DUMMYFUNCTION("GOOGLETRANSLATE(B2786:B5064,""en"",""fr"")"),"moutarde")</f>
        <v>moutarde</v>
      </c>
    </row>
    <row r="2787" ht="19.5" customHeight="1">
      <c r="A2787" s="26" t="s">
        <v>7519</v>
      </c>
      <c r="B2787" s="27" t="s">
        <v>7520</v>
      </c>
      <c r="C2787" s="28" t="s">
        <v>134</v>
      </c>
      <c r="D2787" s="29">
        <v>89.0</v>
      </c>
      <c r="E2787" s="28" t="s">
        <v>7520</v>
      </c>
      <c r="F2787" s="7" t="str">
        <f>IFERROR(__xludf.DUMMYFUNCTION("GOOGLETRANSLATE(B2787:B5064,""en"",""fr"")"),"démodé")</f>
        <v>démodé</v>
      </c>
    </row>
    <row r="2788" ht="19.5" customHeight="1">
      <c r="A2788" s="26" t="s">
        <v>7521</v>
      </c>
      <c r="B2788" s="27" t="s">
        <v>7522</v>
      </c>
      <c r="C2788" s="28" t="s">
        <v>178</v>
      </c>
      <c r="D2788" s="29">
        <v>89.0</v>
      </c>
      <c r="E2788" s="28" t="s">
        <v>7523</v>
      </c>
      <c r="F2788" s="7" t="str">
        <f>IFERROR(__xludf.DUMMYFUNCTION("GOOGLETRANSLATE(B2788:B5064,""en"",""fr"")"),"procédure")</f>
        <v>procédure</v>
      </c>
    </row>
    <row r="2789" ht="19.5" customHeight="1">
      <c r="A2789" s="26" t="s">
        <v>7524</v>
      </c>
      <c r="B2789" s="27" t="s">
        <v>7525</v>
      </c>
      <c r="C2789" s="28" t="s">
        <v>178</v>
      </c>
      <c r="D2789" s="29">
        <v>89.0</v>
      </c>
      <c r="E2789" s="28" t="s">
        <v>7526</v>
      </c>
      <c r="F2789" s="7" t="str">
        <f>IFERROR(__xludf.DUMMYFUNCTION("GOOGLETRANSLATE(B2789:B5064,""en"",""fr"")"),"progrès")</f>
        <v>progrès</v>
      </c>
    </row>
    <row r="2790" ht="19.5" customHeight="1">
      <c r="A2790" s="26" t="s">
        <v>7527</v>
      </c>
      <c r="B2790" s="27" t="s">
        <v>7528</v>
      </c>
      <c r="C2790" s="28" t="s">
        <v>178</v>
      </c>
      <c r="D2790" s="29">
        <v>89.0</v>
      </c>
      <c r="E2790" s="28" t="s">
        <v>7529</v>
      </c>
      <c r="F2790" s="7" t="str">
        <f>IFERROR(__xludf.DUMMYFUNCTION("GOOGLETRANSLATE(B2790:B5064,""en"",""fr"")"),"échelle")</f>
        <v>échelle</v>
      </c>
    </row>
    <row r="2791" ht="19.5" customHeight="1">
      <c r="A2791" s="26" t="s">
        <v>7530</v>
      </c>
      <c r="B2791" s="27" t="s">
        <v>7531</v>
      </c>
      <c r="C2791" s="28" t="s">
        <v>32</v>
      </c>
      <c r="D2791" s="29">
        <v>89.0</v>
      </c>
      <c r="E2791" s="28" t="s">
        <v>7532</v>
      </c>
      <c r="F2791" s="7" t="str">
        <f>IFERROR(__xludf.DUMMYFUNCTION("GOOGLETRANSLATE(B2791:B5064,""en"",""fr"")"),"sélectionner")</f>
        <v>sélectionner</v>
      </c>
    </row>
    <row r="2792" ht="19.5" customHeight="1">
      <c r="A2792" s="26" t="s">
        <v>7533</v>
      </c>
      <c r="B2792" s="27" t="s">
        <v>7534</v>
      </c>
      <c r="C2792" s="28" t="s">
        <v>178</v>
      </c>
      <c r="D2792" s="29">
        <v>89.0</v>
      </c>
      <c r="E2792" s="28" t="s">
        <v>7535</v>
      </c>
      <c r="F2792" s="7" t="str">
        <f>IFERROR(__xludf.DUMMYFUNCTION("GOOGLETRANSLATE(B2792:B5064,""en"",""fr"")"),"côte")</f>
        <v>côte</v>
      </c>
    </row>
    <row r="2793" ht="19.5" customHeight="1">
      <c r="A2793" s="26" t="s">
        <v>7536</v>
      </c>
      <c r="B2793" s="27" t="s">
        <v>7537</v>
      </c>
      <c r="C2793" s="28" t="s">
        <v>134</v>
      </c>
      <c r="D2793" s="29">
        <v>88.0</v>
      </c>
      <c r="E2793" s="28" t="s">
        <v>7537</v>
      </c>
      <c r="F2793" s="7" t="str">
        <f>IFERROR(__xludf.DUMMYFUNCTION("GOOGLETRANSLATE(B2793:B5064,""en"",""fr"")"),"armé")</f>
        <v>armé</v>
      </c>
    </row>
    <row r="2794" ht="19.5" customHeight="1">
      <c r="A2794" s="26" t="s">
        <v>7538</v>
      </c>
      <c r="B2794" s="27" t="s">
        <v>7539</v>
      </c>
      <c r="C2794" s="28" t="s">
        <v>178</v>
      </c>
      <c r="D2794" s="29">
        <v>88.0</v>
      </c>
      <c r="E2794" s="28" t="s">
        <v>7540</v>
      </c>
      <c r="F2794" s="7" t="str">
        <f>IFERROR(__xludf.DUMMYFUNCTION("GOOGLETRANSLATE(B2794:B5064,""en"",""fr"")"),"astronaute")</f>
        <v>astronaute</v>
      </c>
    </row>
    <row r="2795" ht="19.5" customHeight="1">
      <c r="A2795" s="26" t="s">
        <v>7541</v>
      </c>
      <c r="B2795" s="27" t="s">
        <v>7542</v>
      </c>
      <c r="C2795" s="28" t="s">
        <v>178</v>
      </c>
      <c r="D2795" s="29">
        <v>88.0</v>
      </c>
      <c r="E2795" s="28" t="s">
        <v>7543</v>
      </c>
      <c r="F2795" s="7" t="str">
        <f>IFERROR(__xludf.DUMMYFUNCTION("GOOGLETRANSLATE(B2795:B5064,""en"",""fr"")"),"arrière-cour")</f>
        <v>arrière-cour</v>
      </c>
    </row>
    <row r="2796" ht="19.5" customHeight="1">
      <c r="A2796" s="26" t="s">
        <v>7544</v>
      </c>
      <c r="B2796" s="27" t="s">
        <v>3418</v>
      </c>
      <c r="C2796" s="28" t="s">
        <v>32</v>
      </c>
      <c r="D2796" s="29">
        <v>88.0</v>
      </c>
      <c r="E2796" s="28" t="s">
        <v>7545</v>
      </c>
      <c r="F2796" s="7" t="str">
        <f>IFERROR(__xludf.DUMMYFUNCTION("GOOGLETRANSLATE(B2796:B5064,""en"",""fr"")"),"camp")</f>
        <v>camp</v>
      </c>
    </row>
    <row r="2797" ht="19.5" customHeight="1">
      <c r="A2797" s="26" t="s">
        <v>7546</v>
      </c>
      <c r="B2797" s="27" t="s">
        <v>7547</v>
      </c>
      <c r="C2797" s="28" t="s">
        <v>32</v>
      </c>
      <c r="D2797" s="29">
        <v>88.0</v>
      </c>
      <c r="E2797" s="28" t="s">
        <v>7548</v>
      </c>
      <c r="F2797" s="7" t="str">
        <f>IFERROR(__xludf.DUMMYFUNCTION("GOOGLETRANSLATE(B2797:B5064,""en"",""fr"")"),"capturer")</f>
        <v>capturer</v>
      </c>
    </row>
    <row r="2798" ht="19.5" customHeight="1">
      <c r="A2798" s="26" t="s">
        <v>7549</v>
      </c>
      <c r="B2798" s="27" t="s">
        <v>7550</v>
      </c>
      <c r="C2798" s="28" t="s">
        <v>178</v>
      </c>
      <c r="D2798" s="29">
        <v>88.0</v>
      </c>
      <c r="E2798" s="28" t="s">
        <v>7551</v>
      </c>
      <c r="F2798" s="7" t="str">
        <f>IFERROR(__xludf.DUMMYFUNCTION("GOOGLETRANSLATE(B2798:B5064,""en"",""fr"")"),"Chariot")</f>
        <v>Chariot</v>
      </c>
    </row>
    <row r="2799" ht="19.5" customHeight="1">
      <c r="A2799" s="26" t="s">
        <v>7552</v>
      </c>
      <c r="B2799" s="27" t="s">
        <v>7553</v>
      </c>
      <c r="C2799" s="28" t="s">
        <v>178</v>
      </c>
      <c r="D2799" s="29">
        <v>88.0</v>
      </c>
      <c r="E2799" s="28" t="s">
        <v>7554</v>
      </c>
      <c r="F2799" s="7" t="str">
        <f>IFERROR(__xludf.DUMMYFUNCTION("GOOGLETRANSLATE(B2799:B5064,""en"",""fr"")"),"casino")</f>
        <v>casino</v>
      </c>
    </row>
    <row r="2800" ht="19.5" customHeight="1">
      <c r="A2800" s="26" t="s">
        <v>7555</v>
      </c>
      <c r="B2800" s="27" t="s">
        <v>7556</v>
      </c>
      <c r="C2800" s="28" t="s">
        <v>728</v>
      </c>
      <c r="D2800" s="29">
        <v>88.0</v>
      </c>
      <c r="E2800" s="28" t="s">
        <v>7556</v>
      </c>
      <c r="F2800" s="7" t="str">
        <f>IFERROR(__xludf.DUMMYFUNCTION("GOOGLETRANSLATE(B2800:B5064,""en"",""fr"")"),"catholique")</f>
        <v>catholique</v>
      </c>
    </row>
    <row r="2801" ht="19.5" customHeight="1">
      <c r="A2801" s="26" t="s">
        <v>7557</v>
      </c>
      <c r="B2801" s="27" t="s">
        <v>7021</v>
      </c>
      <c r="C2801" s="28" t="s">
        <v>32</v>
      </c>
      <c r="D2801" s="29">
        <v>88.0</v>
      </c>
      <c r="E2801" s="28" t="s">
        <v>7558</v>
      </c>
      <c r="F2801" s="7" t="str">
        <f>IFERROR(__xludf.DUMMYFUNCTION("GOOGLETRANSLATE(B2801:B5064,""en"",""fr"")"),"hacher")</f>
        <v>hacher</v>
      </c>
    </row>
    <row r="2802" ht="19.5" customHeight="1">
      <c r="A2802" s="26" t="s">
        <v>7559</v>
      </c>
      <c r="B2802" s="27" t="s">
        <v>7560</v>
      </c>
      <c r="C2802" s="28" t="s">
        <v>178</v>
      </c>
      <c r="D2802" s="29">
        <v>88.0</v>
      </c>
      <c r="E2802" s="28" t="s">
        <v>7561</v>
      </c>
      <c r="F2802" s="7" t="str">
        <f>IFERROR(__xludf.DUMMYFUNCTION("GOOGLETRANSLATE(B2802:B5064,""en"",""fr"")"),"nettoyeur")</f>
        <v>nettoyeur</v>
      </c>
    </row>
    <row r="2803" ht="19.5" customHeight="1">
      <c r="A2803" s="26" t="s">
        <v>7562</v>
      </c>
      <c r="B2803" s="27" t="s">
        <v>7563</v>
      </c>
      <c r="C2803" s="28" t="s">
        <v>178</v>
      </c>
      <c r="D2803" s="29">
        <v>88.0</v>
      </c>
      <c r="E2803" s="28" t="s">
        <v>7564</v>
      </c>
      <c r="F2803" s="7" t="str">
        <f>IFERROR(__xludf.DUMMYFUNCTION("GOOGLETRANSLATE(B2803:B5064,""en"",""fr"")"),"désert")</f>
        <v>désert</v>
      </c>
    </row>
    <row r="2804" ht="19.5" customHeight="1">
      <c r="A2804" s="26" t="s">
        <v>7565</v>
      </c>
      <c r="B2804" s="27" t="s">
        <v>7566</v>
      </c>
      <c r="C2804" s="28" t="s">
        <v>178</v>
      </c>
      <c r="D2804" s="29">
        <v>88.0</v>
      </c>
      <c r="E2804" s="28" t="s">
        <v>7567</v>
      </c>
      <c r="F2804" s="7" t="str">
        <f>IFERROR(__xludf.DUMMYFUNCTION("GOOGLETRANSLATE(B2804:B5064,""en"",""fr"")"),"ex petit ami")</f>
        <v>ex petit ami</v>
      </c>
    </row>
    <row r="2805" ht="19.5" customHeight="1">
      <c r="A2805" s="26" t="s">
        <v>7568</v>
      </c>
      <c r="B2805" s="27" t="s">
        <v>7569</v>
      </c>
      <c r="C2805" s="28" t="s">
        <v>178</v>
      </c>
      <c r="D2805" s="29">
        <v>88.0</v>
      </c>
      <c r="E2805" s="28" t="s">
        <v>7570</v>
      </c>
      <c r="F2805" s="7" t="str">
        <f>IFERROR(__xludf.DUMMYFUNCTION("GOOGLETRANSLATE(B2805:B5064,""en"",""fr"")"),"exécutif")</f>
        <v>exécutif</v>
      </c>
    </row>
    <row r="2806" ht="19.5" customHeight="1">
      <c r="A2806" s="26" t="s">
        <v>7571</v>
      </c>
      <c r="B2806" s="27" t="s">
        <v>7572</v>
      </c>
      <c r="C2806" s="28" t="s">
        <v>134</v>
      </c>
      <c r="D2806" s="29">
        <v>88.0</v>
      </c>
      <c r="E2806" s="28" t="s">
        <v>7572</v>
      </c>
      <c r="F2806" s="7" t="str">
        <f>IFERROR(__xludf.DUMMYFUNCTION("GOOGLETRANSLATE(B2806:B5064,""en"",""fr"")"),"étranger")</f>
        <v>étranger</v>
      </c>
    </row>
    <row r="2807" ht="19.5" customHeight="1">
      <c r="A2807" s="26" t="s">
        <v>7573</v>
      </c>
      <c r="B2807" s="27" t="s">
        <v>7574</v>
      </c>
      <c r="C2807" s="28" t="s">
        <v>100</v>
      </c>
      <c r="D2807" s="29">
        <v>88.0</v>
      </c>
      <c r="E2807" s="28" t="s">
        <v>7574</v>
      </c>
      <c r="F2807" s="7" t="str">
        <f>IFERROR(__xludf.DUMMYFUNCTION("GOOGLETRANSLATE(B2807:B5064,""en"",""fr"")"),"pleinement")</f>
        <v>pleinement</v>
      </c>
    </row>
    <row r="2808" ht="19.5" customHeight="1">
      <c r="A2808" s="26" t="s">
        <v>7575</v>
      </c>
      <c r="B2808" s="27" t="s">
        <v>3759</v>
      </c>
      <c r="C2808" s="28" t="s">
        <v>32</v>
      </c>
      <c r="D2808" s="29">
        <v>88.0</v>
      </c>
      <c r="E2808" s="28" t="s">
        <v>7576</v>
      </c>
      <c r="F2808" s="7" t="str">
        <f>IFERROR(__xludf.DUMMYFUNCTION("GOOGLETRANSLATE(B2808:B5064,""en"",""fr"")"),"entretien")</f>
        <v>entretien</v>
      </c>
    </row>
    <row r="2809" ht="19.5" customHeight="1">
      <c r="A2809" s="26" t="s">
        <v>7577</v>
      </c>
      <c r="B2809" s="27" t="s">
        <v>7578</v>
      </c>
      <c r="C2809" s="28" t="s">
        <v>32</v>
      </c>
      <c r="D2809" s="29">
        <v>88.0</v>
      </c>
      <c r="E2809" s="28" t="s">
        <v>7579</v>
      </c>
      <c r="F2809" s="7" t="str">
        <f>IFERROR(__xludf.DUMMYFUNCTION("GOOGLETRANSLATE(B2809:B5064,""en"",""fr"")"),"maigre")</f>
        <v>maigre</v>
      </c>
    </row>
    <row r="2810" ht="19.5" customHeight="1">
      <c r="A2810" s="26" t="s">
        <v>7580</v>
      </c>
      <c r="B2810" s="27" t="s">
        <v>7581</v>
      </c>
      <c r="C2810" s="28" t="s">
        <v>178</v>
      </c>
      <c r="D2810" s="29">
        <v>88.0</v>
      </c>
      <c r="E2810" s="28" t="s">
        <v>7582</v>
      </c>
      <c r="F2810" s="7" t="str">
        <f>IFERROR(__xludf.DUMMYFUNCTION("GOOGLETRANSLATE(B2810:B5064,""en"",""fr"")"),"pou")</f>
        <v>pou</v>
      </c>
    </row>
    <row r="2811" ht="19.5" customHeight="1">
      <c r="A2811" s="26" t="s">
        <v>7583</v>
      </c>
      <c r="B2811" s="27" t="s">
        <v>7584</v>
      </c>
      <c r="C2811" s="28" t="s">
        <v>32</v>
      </c>
      <c r="D2811" s="29">
        <v>88.0</v>
      </c>
      <c r="E2811" s="28" t="s">
        <v>7585</v>
      </c>
      <c r="F2811" s="7" t="str">
        <f>IFERROR(__xludf.DUMMYFUNCTION("GOOGLETRANSLATE(B2811:B5064,""en"",""fr"")"),"mars")</f>
        <v>mars</v>
      </c>
    </row>
    <row r="2812" ht="19.5" customHeight="1">
      <c r="A2812" s="26" t="s">
        <v>7586</v>
      </c>
      <c r="B2812" s="27" t="s">
        <v>7587</v>
      </c>
      <c r="C2812" s="28" t="s">
        <v>178</v>
      </c>
      <c r="D2812" s="29">
        <v>88.0</v>
      </c>
      <c r="E2812" s="28" t="s">
        <v>7588</v>
      </c>
      <c r="F2812" s="7" t="str">
        <f>IFERROR(__xludf.DUMMYFUNCTION("GOOGLETRANSLATE(B2812:B5064,""en"",""fr"")"),"roman")</f>
        <v>roman</v>
      </c>
    </row>
    <row r="2813" ht="19.5" customHeight="1">
      <c r="A2813" s="26" t="s">
        <v>7589</v>
      </c>
      <c r="B2813" s="27" t="s">
        <v>7590</v>
      </c>
      <c r="C2813" s="28" t="s">
        <v>150</v>
      </c>
      <c r="D2813" s="29">
        <v>88.0</v>
      </c>
      <c r="E2813" s="28" t="s">
        <v>7590</v>
      </c>
      <c r="F2813" s="7" t="str">
        <f>IFERROR(__xludf.DUMMYFUNCTION("GOOGLETRANSLATE(B2813:B5064,""en"",""fr"")"),"mille")</f>
        <v>mille</v>
      </c>
    </row>
    <row r="2814" ht="19.5" customHeight="1">
      <c r="A2814" s="26" t="s">
        <v>7591</v>
      </c>
      <c r="B2814" s="27" t="s">
        <v>6945</v>
      </c>
      <c r="C2814" s="28" t="s">
        <v>178</v>
      </c>
      <c r="D2814" s="29">
        <v>88.0</v>
      </c>
      <c r="E2814" s="28" t="s">
        <v>7592</v>
      </c>
      <c r="F2814" s="7" t="str">
        <f>IFERROR(__xludf.DUMMYFUNCTION("GOOGLETRANSLATE(B2814:B5064,""en"",""fr"")"),"orange")</f>
        <v>orange</v>
      </c>
    </row>
    <row r="2815" ht="19.5" customHeight="1">
      <c r="A2815" s="26" t="s">
        <v>7593</v>
      </c>
      <c r="B2815" s="27" t="s">
        <v>1617</v>
      </c>
      <c r="C2815" s="28" t="s">
        <v>32</v>
      </c>
      <c r="D2815" s="29">
        <v>88.0</v>
      </c>
      <c r="E2815" s="28" t="s">
        <v>7594</v>
      </c>
      <c r="F2815" s="7" t="str">
        <f>IFERROR(__xludf.DUMMYFUNCTION("GOOGLETRANSLATE(B2815:B5064,""en"",""fr"")"),"sens")</f>
        <v>sens</v>
      </c>
    </row>
    <row r="2816" ht="19.5" customHeight="1">
      <c r="A2816" s="26" t="s">
        <v>7595</v>
      </c>
      <c r="B2816" s="27" t="s">
        <v>7596</v>
      </c>
      <c r="C2816" s="28" t="s">
        <v>178</v>
      </c>
      <c r="D2816" s="29">
        <v>88.0</v>
      </c>
      <c r="E2816" s="28" t="s">
        <v>7597</v>
      </c>
      <c r="F2816" s="7" t="str">
        <f>IFERROR(__xludf.DUMMYFUNCTION("GOOGLETRANSLATE(B2816:B5064,""en"",""fr"")"),"tranche")</f>
        <v>tranche</v>
      </c>
    </row>
    <row r="2817" ht="19.5" customHeight="1">
      <c r="A2817" s="26" t="s">
        <v>7598</v>
      </c>
      <c r="B2817" s="27" t="s">
        <v>7599</v>
      </c>
      <c r="C2817" s="28" t="s">
        <v>178</v>
      </c>
      <c r="D2817" s="29">
        <v>88.0</v>
      </c>
      <c r="E2817" s="28" t="s">
        <v>7599</v>
      </c>
      <c r="F2817" s="7" t="str">
        <f>IFERROR(__xludf.DUMMYFUNCTION("GOOGLETRANSLATE(B2817:B5064,""en"",""fr"")"),"espèces")</f>
        <v>espèces</v>
      </c>
    </row>
    <row r="2818" ht="19.5" customHeight="1">
      <c r="A2818" s="26" t="s">
        <v>7600</v>
      </c>
      <c r="B2818" s="27" t="s">
        <v>7601</v>
      </c>
      <c r="C2818" s="28" t="s">
        <v>178</v>
      </c>
      <c r="D2818" s="29">
        <v>88.0</v>
      </c>
      <c r="E2818" s="28" t="s">
        <v>7601</v>
      </c>
      <c r="F2818" s="7" t="str">
        <f>IFERROR(__xludf.DUMMYFUNCTION("GOOGLETRANSLATE(B2818:B5064,""en"",""fr"")"),"club de bandes")</f>
        <v>club de bandes</v>
      </c>
    </row>
    <row r="2819" ht="19.5" customHeight="1">
      <c r="A2819" s="26" t="s">
        <v>7602</v>
      </c>
      <c r="B2819" s="27" t="s">
        <v>7603</v>
      </c>
      <c r="C2819" s="28" t="s">
        <v>32</v>
      </c>
      <c r="D2819" s="29">
        <v>88.0</v>
      </c>
      <c r="E2819" s="28" t="s">
        <v>7604</v>
      </c>
      <c r="F2819" s="7" t="str">
        <f>IFERROR(__xludf.DUMMYFUNCTION("GOOGLETRANSLATE(B2819:B5064,""en"",""fr"")"),"peser")</f>
        <v>peser</v>
      </c>
    </row>
    <row r="2820" ht="19.5" customHeight="1">
      <c r="A2820" s="26" t="s">
        <v>7605</v>
      </c>
      <c r="B2820" s="27" t="s">
        <v>7606</v>
      </c>
      <c r="C2820" s="28" t="s">
        <v>178</v>
      </c>
      <c r="D2820" s="29">
        <v>88.0</v>
      </c>
      <c r="E2820" s="28" t="s">
        <v>7607</v>
      </c>
      <c r="F2820" s="7" t="str">
        <f>IFERROR(__xludf.DUMMYFUNCTION("GOOGLETRANSLATE(B2820:B5064,""en"",""fr"")"),"bizarre")</f>
        <v>bizarre</v>
      </c>
    </row>
    <row r="2821" ht="19.5" customHeight="1">
      <c r="A2821" s="26" t="s">
        <v>7608</v>
      </c>
      <c r="B2821" s="27" t="s">
        <v>7609</v>
      </c>
      <c r="C2821" s="28" t="s">
        <v>178</v>
      </c>
      <c r="D2821" s="29">
        <v>88.0</v>
      </c>
      <c r="E2821" s="28" t="s">
        <v>7610</v>
      </c>
      <c r="F2821" s="7" t="str">
        <f>IFERROR(__xludf.DUMMYFUNCTION("GOOGLETRANSLATE(B2821:B5064,""en"",""fr"")"),"ombre")</f>
        <v>ombre</v>
      </c>
    </row>
    <row r="2822" ht="19.5" customHeight="1">
      <c r="A2822" s="26" t="s">
        <v>7611</v>
      </c>
      <c r="B2822" s="27" t="s">
        <v>7612</v>
      </c>
      <c r="C2822" s="28" t="s">
        <v>32</v>
      </c>
      <c r="D2822" s="29">
        <v>87.0</v>
      </c>
      <c r="E2822" s="28" t="s">
        <v>7613</v>
      </c>
      <c r="F2822" s="7" t="str">
        <f>IFERROR(__xludf.DUMMYFUNCTION("GOOGLETRANSLATE(B2822:B5064,""en"",""fr"")"),"accomplir")</f>
        <v>accomplir</v>
      </c>
    </row>
    <row r="2823" ht="19.5" customHeight="1">
      <c r="A2823" s="26" t="s">
        <v>7614</v>
      </c>
      <c r="B2823" s="27" t="s">
        <v>7615</v>
      </c>
      <c r="C2823" s="28" t="s">
        <v>178</v>
      </c>
      <c r="D2823" s="29">
        <v>87.0</v>
      </c>
      <c r="E2823" s="28" t="s">
        <v>7616</v>
      </c>
      <c r="F2823" s="7" t="str">
        <f>IFERROR(__xludf.DUMMYFUNCTION("GOOGLETRANSLATE(B2823:B5064,""en"",""fr"")"),"barbecue")</f>
        <v>barbecue</v>
      </c>
    </row>
    <row r="2824" ht="19.5" customHeight="1">
      <c r="A2824" s="26" t="s">
        <v>7617</v>
      </c>
      <c r="B2824" s="27" t="s">
        <v>7618</v>
      </c>
      <c r="C2824" s="28" t="s">
        <v>32</v>
      </c>
      <c r="D2824" s="29">
        <v>87.0</v>
      </c>
      <c r="E2824" s="28" t="s">
        <v>7619</v>
      </c>
      <c r="F2824" s="7" t="str">
        <f>IFERROR(__xludf.DUMMYFUNCTION("GOOGLETRANSLATE(B2824:B5064,""en"",""fr"")"),"casting")</f>
        <v>casting</v>
      </c>
    </row>
    <row r="2825" ht="19.5" customHeight="1">
      <c r="A2825" s="26" t="s">
        <v>7620</v>
      </c>
      <c r="B2825" s="27" t="s">
        <v>7621</v>
      </c>
      <c r="C2825" s="28" t="s">
        <v>178</v>
      </c>
      <c r="D2825" s="29">
        <v>87.0</v>
      </c>
      <c r="E2825" s="28" t="s">
        <v>7622</v>
      </c>
      <c r="F2825" s="7" t="str">
        <f>IFERROR(__xludf.DUMMYFUNCTION("GOOGLETRANSLATE(B2825:B5064,""en"",""fr"")"),"malédiction")</f>
        <v>malédiction</v>
      </c>
    </row>
    <row r="2826" ht="19.5" customHeight="1">
      <c r="A2826" s="26" t="s">
        <v>7623</v>
      </c>
      <c r="B2826" s="27" t="s">
        <v>7624</v>
      </c>
      <c r="C2826" s="28" t="s">
        <v>32</v>
      </c>
      <c r="D2826" s="29">
        <v>87.0</v>
      </c>
      <c r="E2826" s="28" t="s">
        <v>7625</v>
      </c>
      <c r="F2826" s="7" t="str">
        <f>IFERROR(__xludf.DUMMYFUNCTION("GOOGLETRANSLATE(B2826:B5064,""en"",""fr"")"),"définir")</f>
        <v>définir</v>
      </c>
    </row>
    <row r="2827" ht="19.5" customHeight="1">
      <c r="A2827" s="26" t="s">
        <v>7626</v>
      </c>
      <c r="B2827" s="27" t="s">
        <v>3809</v>
      </c>
      <c r="C2827" s="28" t="s">
        <v>32</v>
      </c>
      <c r="D2827" s="29">
        <v>87.0</v>
      </c>
      <c r="E2827" s="28" t="s">
        <v>7627</v>
      </c>
      <c r="F2827" s="7" t="str">
        <f>IFERROR(__xludf.DUMMYFUNCTION("GOOGLETRANSLATE(B2827:B5064,""en"",""fr"")"),"double")</f>
        <v>double</v>
      </c>
    </row>
    <row r="2828" ht="19.5" customHeight="1">
      <c r="A2828" s="26" t="s">
        <v>7628</v>
      </c>
      <c r="B2828" s="27" t="s">
        <v>7629</v>
      </c>
      <c r="C2828" s="28" t="s">
        <v>178</v>
      </c>
      <c r="D2828" s="29">
        <v>87.0</v>
      </c>
      <c r="E2828" s="28" t="s">
        <v>7629</v>
      </c>
      <c r="F2828" s="7" t="str">
        <f>IFERROR(__xludf.DUMMYFUNCTION("GOOGLETRANSLATE(B2828:B5064,""en"",""fr"")"),"équipement")</f>
        <v>équipement</v>
      </c>
    </row>
    <row r="2829" ht="19.5" customHeight="1">
      <c r="A2829" s="26" t="s">
        <v>7630</v>
      </c>
      <c r="B2829" s="27" t="s">
        <v>7631</v>
      </c>
      <c r="C2829" s="28" t="s">
        <v>178</v>
      </c>
      <c r="D2829" s="29">
        <v>87.0</v>
      </c>
      <c r="E2829" s="28" t="s">
        <v>7632</v>
      </c>
      <c r="F2829" s="7" t="str">
        <f>IFERROR(__xludf.DUMMYFUNCTION("GOOGLETRANSLATE(B2829:B5064,""en"",""fr"")"),"fièvre")</f>
        <v>fièvre</v>
      </c>
    </row>
    <row r="2830" ht="19.5" customHeight="1">
      <c r="A2830" s="26" t="s">
        <v>7633</v>
      </c>
      <c r="B2830" s="27" t="s">
        <v>1287</v>
      </c>
      <c r="C2830" s="28" t="s">
        <v>134</v>
      </c>
      <c r="D2830" s="29">
        <v>87.0</v>
      </c>
      <c r="E2830" s="28" t="s">
        <v>1287</v>
      </c>
      <c r="F2830" s="7" t="str">
        <f>IFERROR(__xludf.DUMMYFUNCTION("GOOGLETRANSLATE(B2830:B5064,""en"",""fr"")"),"devant")</f>
        <v>devant</v>
      </c>
    </row>
    <row r="2831" ht="19.5" customHeight="1">
      <c r="A2831" s="26" t="s">
        <v>7634</v>
      </c>
      <c r="B2831" s="27" t="s">
        <v>7635</v>
      </c>
      <c r="C2831" s="28" t="s">
        <v>178</v>
      </c>
      <c r="D2831" s="29">
        <v>87.0</v>
      </c>
      <c r="E2831" s="28" t="s">
        <v>7636</v>
      </c>
      <c r="F2831" s="7" t="str">
        <f>IFERROR(__xludf.DUMMYFUNCTION("GOOGLETRANSLATE(B2831:B5064,""en"",""fr"")"),"concert")</f>
        <v>concert</v>
      </c>
    </row>
    <row r="2832" ht="19.5" customHeight="1">
      <c r="A2832" s="26" t="s">
        <v>7637</v>
      </c>
      <c r="B2832" s="27" t="s">
        <v>7638</v>
      </c>
      <c r="C2832" s="28" t="s">
        <v>178</v>
      </c>
      <c r="D2832" s="29">
        <v>87.0</v>
      </c>
      <c r="E2832" s="28" t="s">
        <v>7639</v>
      </c>
      <c r="F2832" s="7" t="str">
        <f>IFERROR(__xludf.DUMMYFUNCTION("GOOGLETRANSLATE(B2832:B5064,""en"",""fr"")"),"harcèlement")</f>
        <v>harcèlement</v>
      </c>
    </row>
    <row r="2833" ht="19.5" customHeight="1">
      <c r="A2833" s="26" t="s">
        <v>7640</v>
      </c>
      <c r="B2833" s="27" t="s">
        <v>7641</v>
      </c>
      <c r="C2833" s="28" t="s">
        <v>134</v>
      </c>
      <c r="D2833" s="29">
        <v>87.0</v>
      </c>
      <c r="E2833" s="28" t="s">
        <v>7641</v>
      </c>
      <c r="F2833" s="7" t="str">
        <f>IFERROR(__xludf.DUMMYFUNCTION("GOOGLETRANSLATE(B2833:B5064,""en"",""fr"")"),"intelligent")</f>
        <v>intelligent</v>
      </c>
    </row>
    <row r="2834" ht="19.5" customHeight="1">
      <c r="A2834" s="26" t="s">
        <v>7642</v>
      </c>
      <c r="B2834" s="27" t="s">
        <v>7643</v>
      </c>
      <c r="C2834" s="28" t="s">
        <v>178</v>
      </c>
      <c r="D2834" s="29">
        <v>87.0</v>
      </c>
      <c r="E2834" s="28" t="s">
        <v>7643</v>
      </c>
      <c r="F2834" s="7" t="str">
        <f>IFERROR(__xludf.DUMMYFUNCTION("GOOGLETRANSLATE(B2834:B5064,""en"",""fr"")"),"karaté")</f>
        <v>karaté</v>
      </c>
    </row>
    <row r="2835" ht="19.5" customHeight="1">
      <c r="A2835" s="26" t="s">
        <v>7644</v>
      </c>
      <c r="B2835" s="27" t="s">
        <v>7645</v>
      </c>
      <c r="C2835" s="28" t="s">
        <v>178</v>
      </c>
      <c r="D2835" s="29">
        <v>87.0</v>
      </c>
      <c r="E2835" s="28" t="s">
        <v>7646</v>
      </c>
      <c r="F2835" s="7" t="str">
        <f>IFERROR(__xludf.DUMMYFUNCTION("GOOGLETRANSLATE(B2835:B5064,""en"",""fr"")"),"manière")</f>
        <v>manière</v>
      </c>
    </row>
    <row r="2836" ht="19.5" customHeight="1">
      <c r="A2836" s="26" t="s">
        <v>7647</v>
      </c>
      <c r="B2836" s="27" t="s">
        <v>7648</v>
      </c>
      <c r="C2836" s="28" t="s">
        <v>178</v>
      </c>
      <c r="D2836" s="29">
        <v>87.0</v>
      </c>
      <c r="E2836" s="28" t="s">
        <v>7649</v>
      </c>
      <c r="F2836" s="7" t="str">
        <f>IFERROR(__xludf.DUMMYFUNCTION("GOOGLETRANSLATE(B2836:B5064,""en"",""fr"")"),"marijuana")</f>
        <v>marijuana</v>
      </c>
    </row>
    <row r="2837" ht="19.5" customHeight="1">
      <c r="A2837" s="26" t="s">
        <v>7650</v>
      </c>
      <c r="B2837" s="27" t="s">
        <v>7651</v>
      </c>
      <c r="C2837" s="28" t="s">
        <v>32</v>
      </c>
      <c r="D2837" s="29">
        <v>87.0</v>
      </c>
      <c r="E2837" s="28" t="s">
        <v>7652</v>
      </c>
      <c r="F2837" s="7" t="str">
        <f>IFERROR(__xludf.DUMMYFUNCTION("GOOGLETRANSLATE(B2837:B5064,""en"",""fr"")"),"fonctionner")</f>
        <v>fonctionner</v>
      </c>
    </row>
    <row r="2838" ht="19.5" customHeight="1">
      <c r="A2838" s="26" t="s">
        <v>7653</v>
      </c>
      <c r="B2838" s="27" t="s">
        <v>7654</v>
      </c>
      <c r="C2838" s="28" t="s">
        <v>32</v>
      </c>
      <c r="D2838" s="29">
        <v>87.0</v>
      </c>
      <c r="E2838" s="28" t="s">
        <v>7655</v>
      </c>
      <c r="F2838" s="7" t="str">
        <f>IFERROR(__xludf.DUMMYFUNCTION("GOOGLETRANSLATE(B2838:B5064,""en"",""fr"")"),"poste")</f>
        <v>poste</v>
      </c>
    </row>
    <row r="2839" ht="19.5" customHeight="1">
      <c r="A2839" s="26" t="s">
        <v>7656</v>
      </c>
      <c r="B2839" s="27" t="s">
        <v>7657</v>
      </c>
      <c r="C2839" s="28" t="s">
        <v>178</v>
      </c>
      <c r="D2839" s="29">
        <v>87.0</v>
      </c>
      <c r="E2839" s="28" t="s">
        <v>7658</v>
      </c>
      <c r="F2839" s="7" t="str">
        <f>IFERROR(__xludf.DUMMYFUNCTION("GOOGLETRANSLATE(B2839:B5064,""en"",""fr"")"),"quête")</f>
        <v>quête</v>
      </c>
    </row>
    <row r="2840" ht="19.5" customHeight="1">
      <c r="A2840" s="26" t="s">
        <v>7659</v>
      </c>
      <c r="B2840" s="27" t="s">
        <v>1963</v>
      </c>
      <c r="C2840" s="28" t="s">
        <v>178</v>
      </c>
      <c r="D2840" s="29">
        <v>87.0</v>
      </c>
      <c r="E2840" s="28" t="s">
        <v>7660</v>
      </c>
      <c r="F2840" s="7" t="str">
        <f>IFERROR(__xludf.DUMMYFUNCTION("GOOGLETRANSLATE(B2840:B5064,""en"",""fr"")"),"augmenter")</f>
        <v>augmenter</v>
      </c>
    </row>
    <row r="2841" ht="19.5" customHeight="1">
      <c r="A2841" s="26" t="s">
        <v>7661</v>
      </c>
      <c r="B2841" s="27" t="s">
        <v>7662</v>
      </c>
      <c r="C2841" s="28" t="s">
        <v>178</v>
      </c>
      <c r="D2841" s="29">
        <v>87.0</v>
      </c>
      <c r="E2841" s="28" t="s">
        <v>7663</v>
      </c>
      <c r="F2841" s="7" t="str">
        <f>IFERROR(__xludf.DUMMYFUNCTION("GOOGLETRANSLATE(B2841:B5064,""en"",""fr"")"),"raisin")</f>
        <v>raisin</v>
      </c>
    </row>
    <row r="2842" ht="19.5" customHeight="1">
      <c r="A2842" s="26" t="s">
        <v>7664</v>
      </c>
      <c r="B2842" s="27" t="s">
        <v>2149</v>
      </c>
      <c r="C2842" s="28" t="s">
        <v>32</v>
      </c>
      <c r="D2842" s="29">
        <v>87.0</v>
      </c>
      <c r="E2842" s="28" t="s">
        <v>7665</v>
      </c>
      <c r="F2842" s="7" t="str">
        <f>IFERROR(__xludf.DUMMYFUNCTION("GOOGLETRANSLATE(B2842:B5064,""en"",""fr"")"),"enregistrer")</f>
        <v>enregistrer</v>
      </c>
    </row>
    <row r="2843" ht="19.5" customHeight="1">
      <c r="A2843" s="26" t="s">
        <v>7666</v>
      </c>
      <c r="B2843" s="27" t="s">
        <v>7667</v>
      </c>
      <c r="C2843" s="28" t="s">
        <v>134</v>
      </c>
      <c r="D2843" s="29">
        <v>87.0</v>
      </c>
      <c r="E2843" s="28" t="s">
        <v>7667</v>
      </c>
      <c r="F2843" s="7" t="str">
        <f>IFERROR(__xludf.DUMMYFUNCTION("GOOGLETRANSLATE(B2843:B5064,""en"",""fr"")"),"religieux")</f>
        <v>religieux</v>
      </c>
    </row>
    <row r="2844" ht="19.5" customHeight="1">
      <c r="A2844" s="26" t="s">
        <v>7668</v>
      </c>
      <c r="B2844" s="27" t="s">
        <v>7669</v>
      </c>
      <c r="C2844" s="28" t="s">
        <v>134</v>
      </c>
      <c r="D2844" s="29">
        <v>87.0</v>
      </c>
      <c r="E2844" s="28" t="s">
        <v>7670</v>
      </c>
      <c r="F2844" s="7" t="str">
        <f>IFERROR(__xludf.DUMMYFUNCTION("GOOGLETRANSLATE(B2844:B5064,""en"",""fr"")"),"maigre")</f>
        <v>maigre</v>
      </c>
    </row>
    <row r="2845" ht="19.5" customHeight="1">
      <c r="A2845" s="26" t="s">
        <v>7671</v>
      </c>
      <c r="B2845" s="27" t="s">
        <v>6417</v>
      </c>
      <c r="C2845" s="28" t="s">
        <v>178</v>
      </c>
      <c r="D2845" s="29">
        <v>87.0</v>
      </c>
      <c r="E2845" s="28" t="s">
        <v>7672</v>
      </c>
      <c r="F2845" s="7" t="str">
        <f>IFERROR(__xludf.DUMMYFUNCTION("GOOGLETRANSLATE(B2845:B5064,""en"",""fr"")"),"glisser")</f>
        <v>glisser</v>
      </c>
    </row>
    <row r="2846" ht="19.5" customHeight="1">
      <c r="A2846" s="26" t="s">
        <v>7673</v>
      </c>
      <c r="B2846" s="27" t="s">
        <v>7674</v>
      </c>
      <c r="C2846" s="28" t="s">
        <v>134</v>
      </c>
      <c r="D2846" s="29">
        <v>87.0</v>
      </c>
      <c r="E2846" s="28" t="s">
        <v>7675</v>
      </c>
      <c r="F2846" s="7" t="str">
        <f>IFERROR(__xludf.DUMMYFUNCTION("GOOGLETRANSLATE(B2846:B5064,""en"",""fr"")"),"puant")</f>
        <v>puant</v>
      </c>
    </row>
    <row r="2847" ht="19.5" customHeight="1">
      <c r="A2847" s="26" t="s">
        <v>7676</v>
      </c>
      <c r="B2847" s="27" t="s">
        <v>7677</v>
      </c>
      <c r="C2847" s="28" t="s">
        <v>178</v>
      </c>
      <c r="D2847" s="29">
        <v>87.0</v>
      </c>
      <c r="E2847" s="28" t="s">
        <v>7677</v>
      </c>
      <c r="F2847" s="7" t="str">
        <f>IFERROR(__xludf.DUMMYFUNCTION("GOOGLETRANSLATE(B2847:B5064,""en"",""fr"")"),"Sushi")</f>
        <v>Sushi</v>
      </c>
    </row>
    <row r="2848" ht="19.5" customHeight="1">
      <c r="A2848" s="26" t="s">
        <v>7678</v>
      </c>
      <c r="B2848" s="27" t="s">
        <v>7679</v>
      </c>
      <c r="C2848" s="28" t="s">
        <v>36</v>
      </c>
      <c r="D2848" s="29">
        <v>87.0</v>
      </c>
      <c r="E2848" s="28" t="s">
        <v>7680</v>
      </c>
      <c r="F2848" s="7" t="str">
        <f>IFERROR(__xludf.DUMMYFUNCTION("GOOGLETRANSLATE(B2848:B5064,""en"",""fr"")"),"tes")</f>
        <v>tes</v>
      </c>
    </row>
    <row r="2849" ht="19.5" customHeight="1">
      <c r="A2849" s="26" t="s">
        <v>7681</v>
      </c>
      <c r="B2849" s="27" t="s">
        <v>7682</v>
      </c>
      <c r="C2849" s="28" t="s">
        <v>85</v>
      </c>
      <c r="D2849" s="29">
        <v>87.0</v>
      </c>
      <c r="E2849" s="28" t="s">
        <v>7682</v>
      </c>
      <c r="F2849" s="7" t="str">
        <f>IFERROR(__xludf.DUMMYFUNCTION("GOOGLETRANSLATE(B2849:B5064,""en"",""fr"")"),"ouf")</f>
        <v>ouf</v>
      </c>
    </row>
    <row r="2850" ht="19.5" customHeight="1">
      <c r="A2850" s="26" t="s">
        <v>7683</v>
      </c>
      <c r="B2850" s="27" t="s">
        <v>3244</v>
      </c>
      <c r="C2850" s="28" t="s">
        <v>134</v>
      </c>
      <c r="D2850" s="29">
        <v>86.0</v>
      </c>
      <c r="E2850" s="28" t="s">
        <v>3244</v>
      </c>
      <c r="F2850" s="7" t="str">
        <f>IFERROR(__xludf.DUMMYFUNCTION("GOOGLETRANSLATE(B2850:B5064,""en"",""fr"")"),"adulte")</f>
        <v>adulte</v>
      </c>
    </row>
    <row r="2851" ht="19.5" customHeight="1">
      <c r="A2851" s="26" t="s">
        <v>7684</v>
      </c>
      <c r="B2851" s="27" t="s">
        <v>7685</v>
      </c>
      <c r="C2851" s="28" t="s">
        <v>134</v>
      </c>
      <c r="D2851" s="29">
        <v>86.0</v>
      </c>
      <c r="E2851" s="28" t="s">
        <v>7685</v>
      </c>
      <c r="F2851" s="7" t="str">
        <f>IFERROR(__xludf.DUMMYFUNCTION("GOOGLETRANSLATE(B2851:B5064,""en"",""fr"")"),"allergique")</f>
        <v>allergique</v>
      </c>
    </row>
    <row r="2852" ht="19.5" customHeight="1">
      <c r="A2852" s="26" t="s">
        <v>7686</v>
      </c>
      <c r="B2852" s="27" t="s">
        <v>7687</v>
      </c>
      <c r="C2852" s="28" t="s">
        <v>178</v>
      </c>
      <c r="D2852" s="29">
        <v>86.0</v>
      </c>
      <c r="E2852" s="28" t="s">
        <v>7688</v>
      </c>
      <c r="F2852" s="7" t="str">
        <f>IFERROR(__xludf.DUMMYFUNCTION("GOOGLETRANSLATE(B2852:B5064,""en"",""fr"")"),"apparence")</f>
        <v>apparence</v>
      </c>
    </row>
    <row r="2853" ht="19.5" customHeight="1">
      <c r="A2853" s="26" t="s">
        <v>7689</v>
      </c>
      <c r="B2853" s="27" t="s">
        <v>7690</v>
      </c>
      <c r="C2853" s="28" t="s">
        <v>178</v>
      </c>
      <c r="D2853" s="29">
        <v>86.0</v>
      </c>
      <c r="E2853" s="28" t="s">
        <v>7691</v>
      </c>
      <c r="F2853" s="7" t="str">
        <f>IFERROR(__xludf.DUMMYFUNCTION("GOOGLETRANSLATE(B2853:B5064,""en"",""fr"")"),"grotte")</f>
        <v>grotte</v>
      </c>
    </row>
    <row r="2854" ht="19.5" customHeight="1">
      <c r="A2854" s="26" t="s">
        <v>7692</v>
      </c>
      <c r="B2854" s="27" t="s">
        <v>7693</v>
      </c>
      <c r="C2854" s="28" t="s">
        <v>134</v>
      </c>
      <c r="D2854" s="29">
        <v>86.0</v>
      </c>
      <c r="E2854" s="28" t="s">
        <v>7693</v>
      </c>
      <c r="F2854" s="7" t="str">
        <f>IFERROR(__xludf.DUMMYFUNCTION("GOOGLETRANSLATE(B2854:B5064,""en"",""fr"")"),"ivre")</f>
        <v>ivre</v>
      </c>
    </row>
    <row r="2855" ht="19.5" customHeight="1">
      <c r="A2855" s="26" t="s">
        <v>7694</v>
      </c>
      <c r="B2855" s="27" t="s">
        <v>7695</v>
      </c>
      <c r="C2855" s="28" t="s">
        <v>178</v>
      </c>
      <c r="D2855" s="29">
        <v>86.0</v>
      </c>
      <c r="E2855" s="28" t="s">
        <v>7696</v>
      </c>
      <c r="F2855" s="7" t="str">
        <f>IFERROR(__xludf.DUMMYFUNCTION("GOOGLETRANSLATE(B2855:B5064,""en"",""fr"")"),"pompier")</f>
        <v>pompier</v>
      </c>
    </row>
    <row r="2856" ht="19.5" customHeight="1">
      <c r="A2856" s="26" t="s">
        <v>7697</v>
      </c>
      <c r="B2856" s="27" t="s">
        <v>7698</v>
      </c>
      <c r="C2856" s="28" t="s">
        <v>178</v>
      </c>
      <c r="D2856" s="29">
        <v>86.0</v>
      </c>
      <c r="E2856" s="28" t="s">
        <v>7699</v>
      </c>
      <c r="F2856" s="7" t="str">
        <f>IFERROR(__xludf.DUMMYFUNCTION("GOOGLETRANSLATE(B2856:B5064,""en"",""fr"")"),"cadre")</f>
        <v>cadre</v>
      </c>
    </row>
    <row r="2857" ht="19.5" customHeight="1">
      <c r="A2857" s="26" t="s">
        <v>7700</v>
      </c>
      <c r="B2857" s="27" t="s">
        <v>7701</v>
      </c>
      <c r="C2857" s="28" t="s">
        <v>32</v>
      </c>
      <c r="D2857" s="29">
        <v>86.0</v>
      </c>
      <c r="E2857" s="28" t="s">
        <v>7702</v>
      </c>
      <c r="F2857" s="7" t="str">
        <f>IFERROR(__xludf.DUMMYFUNCTION("GOOGLETRANSLATE(B2857:B5064,""en"",""fr"")"),"diplômé")</f>
        <v>diplômé</v>
      </c>
    </row>
    <row r="2858" ht="19.5" customHeight="1">
      <c r="A2858" s="26" t="s">
        <v>7703</v>
      </c>
      <c r="B2858" s="27" t="s">
        <v>7704</v>
      </c>
      <c r="C2858" s="28" t="s">
        <v>178</v>
      </c>
      <c r="D2858" s="29">
        <v>86.0</v>
      </c>
      <c r="E2858" s="28" t="s">
        <v>7705</v>
      </c>
      <c r="F2858" s="7" t="str">
        <f>IFERROR(__xludf.DUMMYFUNCTION("GOOGLETRANSLATE(B2858:B5064,""en"",""fr"")"),"marteau")</f>
        <v>marteau</v>
      </c>
    </row>
    <row r="2859" ht="19.5" customHeight="1">
      <c r="A2859" s="26" t="s">
        <v>7706</v>
      </c>
      <c r="B2859" s="27" t="s">
        <v>7707</v>
      </c>
      <c r="C2859" s="28" t="s">
        <v>134</v>
      </c>
      <c r="D2859" s="29">
        <v>86.0</v>
      </c>
      <c r="E2859" s="28" t="s">
        <v>7708</v>
      </c>
      <c r="F2859" s="7" t="str">
        <f>IFERROR(__xludf.DUMMYFUNCTION("GOOGLETRANSLATE(B2859:B5064,""en"",""fr"")"),"vilain")</f>
        <v>vilain</v>
      </c>
    </row>
    <row r="2860" ht="19.5" customHeight="1">
      <c r="A2860" s="26" t="s">
        <v>7709</v>
      </c>
      <c r="B2860" s="27" t="s">
        <v>7710</v>
      </c>
      <c r="C2860" s="28" t="s">
        <v>150</v>
      </c>
      <c r="D2860" s="29">
        <v>86.0</v>
      </c>
      <c r="E2860" s="28" t="s">
        <v>7710</v>
      </c>
      <c r="F2860" s="7" t="str">
        <f>IFERROR(__xludf.DUMMYFUNCTION("GOOGLETRANSLATE(B2860:B5064,""en"",""fr"")"),"neuf cent")</f>
        <v>neuf cent</v>
      </c>
    </row>
    <row r="2861" ht="19.5" customHeight="1">
      <c r="A2861" s="26" t="s">
        <v>7711</v>
      </c>
      <c r="B2861" s="27" t="s">
        <v>7712</v>
      </c>
      <c r="C2861" s="28" t="s">
        <v>178</v>
      </c>
      <c r="D2861" s="29">
        <v>86.0</v>
      </c>
      <c r="E2861" s="28" t="s">
        <v>7713</v>
      </c>
      <c r="F2861" s="7" t="str">
        <f>IFERROR(__xludf.DUMMYFUNCTION("GOOGLETRANSLATE(B2861:B5064,""en"",""fr"")"),"salaire")</f>
        <v>salaire</v>
      </c>
    </row>
    <row r="2862" ht="19.5" customHeight="1">
      <c r="A2862" s="26" t="s">
        <v>7714</v>
      </c>
      <c r="B2862" s="27" t="s">
        <v>7715</v>
      </c>
      <c r="C2862" s="28" t="s">
        <v>178</v>
      </c>
      <c r="D2862" s="29">
        <v>86.0</v>
      </c>
      <c r="E2862" s="28" t="s">
        <v>7716</v>
      </c>
      <c r="F2862" s="7" t="str">
        <f>IFERROR(__xludf.DUMMYFUNCTION("GOOGLETRANSLATE(B2862:B5064,""en"",""fr"")"),"signature")</f>
        <v>signature</v>
      </c>
    </row>
    <row r="2863" ht="19.5" customHeight="1">
      <c r="A2863" s="26" t="s">
        <v>7717</v>
      </c>
      <c r="B2863" s="27" t="s">
        <v>4039</v>
      </c>
      <c r="C2863" s="28" t="s">
        <v>178</v>
      </c>
      <c r="D2863" s="29">
        <v>86.0</v>
      </c>
      <c r="E2863" s="28" t="s">
        <v>7718</v>
      </c>
      <c r="F2863" s="7" t="str">
        <f>IFERROR(__xludf.DUMMYFUNCTION("GOOGLETRANSLATE(B2863:B5064,""en"",""fr"")"),"gifler")</f>
        <v>gifler</v>
      </c>
    </row>
    <row r="2864" ht="19.5" customHeight="1">
      <c r="A2864" s="26" t="s">
        <v>7719</v>
      </c>
      <c r="B2864" s="27" t="s">
        <v>1151</v>
      </c>
      <c r="C2864" s="28" t="s">
        <v>178</v>
      </c>
      <c r="D2864" s="29">
        <v>86.0</v>
      </c>
      <c r="E2864" s="28" t="s">
        <v>7720</v>
      </c>
      <c r="F2864" s="7" t="str">
        <f>IFERROR(__xludf.DUMMYFUNCTION("GOOGLETRANSLATE(B2864:B5064,""en"",""fr"")"),"spécial")</f>
        <v>spécial</v>
      </c>
    </row>
    <row r="2865" ht="19.5" customHeight="1">
      <c r="A2865" s="26" t="s">
        <v>7721</v>
      </c>
      <c r="B2865" s="27" t="s">
        <v>2654</v>
      </c>
      <c r="C2865" s="28" t="s">
        <v>32</v>
      </c>
      <c r="D2865" s="29">
        <v>86.0</v>
      </c>
      <c r="E2865" s="28" t="s">
        <v>7722</v>
      </c>
      <c r="F2865" s="7" t="str">
        <f>IFERROR(__xludf.DUMMYFUNCTION("GOOGLETRANSLATE(B2865:B5064,""en"",""fr"")"),"bol")</f>
        <v>bol</v>
      </c>
    </row>
    <row r="2866" ht="19.5" customHeight="1">
      <c r="A2866" s="26" t="s">
        <v>7723</v>
      </c>
      <c r="B2866" s="27" t="s">
        <v>7724</v>
      </c>
      <c r="C2866" s="28" t="s">
        <v>178</v>
      </c>
      <c r="D2866" s="29">
        <v>86.0</v>
      </c>
      <c r="E2866" s="28" t="s">
        <v>7725</v>
      </c>
      <c r="F2866" s="7" t="str">
        <f>IFERROR(__xludf.DUMMYFUNCTION("GOOGLETRANSLATE(B2866:B5064,""en"",""fr"")"),"frontière")</f>
        <v>frontière</v>
      </c>
    </row>
    <row r="2867" ht="19.5" customHeight="1">
      <c r="A2867" s="26" t="s">
        <v>7726</v>
      </c>
      <c r="B2867" s="27" t="s">
        <v>7727</v>
      </c>
      <c r="C2867" s="28" t="s">
        <v>100</v>
      </c>
      <c r="D2867" s="29">
        <v>85.0</v>
      </c>
      <c r="E2867" s="28" t="s">
        <v>7727</v>
      </c>
      <c r="F2867" s="7" t="str">
        <f>IFERROR(__xludf.DUMMYFUNCTION("GOOGLETRANSLATE(B2867:B5064,""en"",""fr"")"),"après")</f>
        <v>après</v>
      </c>
    </row>
    <row r="2868" ht="19.5" customHeight="1">
      <c r="A2868" s="26" t="s">
        <v>7728</v>
      </c>
      <c r="B2868" s="27" t="s">
        <v>7729</v>
      </c>
      <c r="C2868" s="28" t="s">
        <v>178</v>
      </c>
      <c r="D2868" s="29">
        <v>85.0</v>
      </c>
      <c r="E2868" s="28" t="s">
        <v>7730</v>
      </c>
      <c r="F2868" s="7" t="str">
        <f>IFERROR(__xludf.DUMMYFUNCTION("GOOGLETRANSLATE(B2868:B5064,""en"",""fr"")"),"rideau")</f>
        <v>rideau</v>
      </c>
    </row>
    <row r="2869" ht="19.5" customHeight="1">
      <c r="A2869" s="26" t="s">
        <v>7731</v>
      </c>
      <c r="B2869" s="27" t="s">
        <v>7732</v>
      </c>
      <c r="C2869" s="28" t="s">
        <v>32</v>
      </c>
      <c r="D2869" s="29">
        <v>85.0</v>
      </c>
      <c r="E2869" s="28" t="s">
        <v>7733</v>
      </c>
      <c r="F2869" s="7" t="str">
        <f>IFERROR(__xludf.DUMMYFUNCTION("GOOGLETRANSLATE(B2869:B5064,""en"",""fr"")"),"défaite")</f>
        <v>défaite</v>
      </c>
    </row>
    <row r="2870" ht="19.5" customHeight="1">
      <c r="A2870" s="26" t="s">
        <v>7734</v>
      </c>
      <c r="B2870" s="27" t="s">
        <v>7735</v>
      </c>
      <c r="C2870" s="28" t="s">
        <v>178</v>
      </c>
      <c r="D2870" s="29">
        <v>85.0</v>
      </c>
      <c r="E2870" s="28" t="s">
        <v>7736</v>
      </c>
      <c r="F2870" s="7" t="str">
        <f>IFERROR(__xludf.DUMMYFUNCTION("GOOGLETRANSLATE(B2870:B5064,""en"",""fr"")"),"désir")</f>
        <v>désir</v>
      </c>
    </row>
    <row r="2871" ht="19.5" customHeight="1">
      <c r="A2871" s="26" t="s">
        <v>7737</v>
      </c>
      <c r="B2871" s="27" t="s">
        <v>7738</v>
      </c>
      <c r="C2871" s="28" t="s">
        <v>178</v>
      </c>
      <c r="D2871" s="29">
        <v>85.0</v>
      </c>
      <c r="E2871" s="28" t="s">
        <v>7739</v>
      </c>
      <c r="F2871" s="7" t="str">
        <f>IFERROR(__xludf.DUMMYFUNCTION("GOOGLETRANSLATE(B2871:B5064,""en"",""fr"")"),"ex-femme")</f>
        <v>ex-femme</v>
      </c>
    </row>
    <row r="2872" ht="19.5" customHeight="1">
      <c r="A2872" s="26" t="s">
        <v>7740</v>
      </c>
      <c r="B2872" s="27" t="s">
        <v>7741</v>
      </c>
      <c r="C2872" s="28" t="s">
        <v>178</v>
      </c>
      <c r="D2872" s="29">
        <v>85.0</v>
      </c>
      <c r="E2872" s="28" t="s">
        <v>7742</v>
      </c>
      <c r="F2872" s="7" t="str">
        <f>IFERROR(__xludf.DUMMYFUNCTION("GOOGLETRANSLATE(B2872:B5064,""en"",""fr"")"),"feu d'artifice")</f>
        <v>feu d'artifice</v>
      </c>
    </row>
    <row r="2873" ht="19.5" customHeight="1">
      <c r="A2873" s="26" t="s">
        <v>7743</v>
      </c>
      <c r="B2873" s="27" t="s">
        <v>7744</v>
      </c>
      <c r="C2873" s="28" t="s">
        <v>178</v>
      </c>
      <c r="D2873" s="29">
        <v>85.0</v>
      </c>
      <c r="E2873" s="28" t="s">
        <v>7745</v>
      </c>
      <c r="F2873" s="7" t="str">
        <f>IFERROR(__xludf.DUMMYFUNCTION("GOOGLETRANSLATE(B2873:B5064,""en"",""fr"")"),"habitude")</f>
        <v>habitude</v>
      </c>
    </row>
    <row r="2874" ht="19.5" customHeight="1">
      <c r="A2874" s="26" t="s">
        <v>7746</v>
      </c>
      <c r="B2874" s="27" t="s">
        <v>7747</v>
      </c>
      <c r="C2874" s="28" t="s">
        <v>178</v>
      </c>
      <c r="D2874" s="29">
        <v>85.0</v>
      </c>
      <c r="E2874" s="28" t="s">
        <v>7748</v>
      </c>
      <c r="F2874" s="7" t="str">
        <f>IFERROR(__xludf.DUMMYFUNCTION("GOOGLETRANSLATE(B2874:B5064,""en"",""fr"")"),"voie")</f>
        <v>voie</v>
      </c>
    </row>
    <row r="2875" ht="19.5" customHeight="1">
      <c r="A2875" s="26" t="s">
        <v>7749</v>
      </c>
      <c r="B2875" s="27" t="s">
        <v>560</v>
      </c>
      <c r="C2875" s="28" t="s">
        <v>100</v>
      </c>
      <c r="D2875" s="29">
        <v>85.0</v>
      </c>
      <c r="E2875" s="28" t="s">
        <v>561</v>
      </c>
      <c r="F2875" s="7" t="str">
        <f>IFERROR(__xludf.DUMMYFUNCTION("GOOGLETRANSLATE(B2875:B5064,""en"",""fr"")"),"en retard")</f>
        <v>en retard</v>
      </c>
    </row>
    <row r="2876" ht="19.5" customHeight="1">
      <c r="A2876" s="26" t="s">
        <v>7750</v>
      </c>
      <c r="B2876" s="27" t="s">
        <v>7751</v>
      </c>
      <c r="C2876" s="28" t="s">
        <v>178</v>
      </c>
      <c r="D2876" s="29">
        <v>85.0</v>
      </c>
      <c r="E2876" s="28" t="s">
        <v>7752</v>
      </c>
      <c r="F2876" s="7" t="str">
        <f>IFERROR(__xludf.DUMMYFUNCTION("GOOGLETRANSLATE(B2876:B5064,""en"",""fr"")"),"gestion")</f>
        <v>gestion</v>
      </c>
    </row>
    <row r="2877" ht="19.5" customHeight="1">
      <c r="A2877" s="26" t="s">
        <v>7753</v>
      </c>
      <c r="B2877" s="27" t="s">
        <v>7754</v>
      </c>
      <c r="C2877" s="28" t="s">
        <v>134</v>
      </c>
      <c r="D2877" s="29">
        <v>85.0</v>
      </c>
      <c r="E2877" s="28" t="s">
        <v>7755</v>
      </c>
      <c r="F2877" s="7" t="str">
        <f>IFERROR(__xludf.DUMMYFUNCTION("GOOGLETRANSLATE(B2877:B5064,""en"",""fr"")"),"puissant")</f>
        <v>puissant</v>
      </c>
    </row>
    <row r="2878" ht="19.5" customHeight="1">
      <c r="A2878" s="26" t="s">
        <v>7756</v>
      </c>
      <c r="B2878" s="27" t="s">
        <v>7757</v>
      </c>
      <c r="C2878" s="28" t="s">
        <v>728</v>
      </c>
      <c r="D2878" s="29">
        <v>85.0</v>
      </c>
      <c r="E2878" s="28" t="s">
        <v>7758</v>
      </c>
      <c r="F2878" s="7" t="str">
        <f>IFERROR(__xludf.DUMMYFUNCTION("GOOGLETRANSLATE(B2878:B5064,""en"",""fr"")"),"musulman")</f>
        <v>musulman</v>
      </c>
    </row>
    <row r="2879" ht="19.5" customHeight="1">
      <c r="A2879" s="26" t="s">
        <v>7759</v>
      </c>
      <c r="B2879" s="27" t="s">
        <v>7760</v>
      </c>
      <c r="C2879" s="28" t="s">
        <v>178</v>
      </c>
      <c r="D2879" s="29">
        <v>85.0</v>
      </c>
      <c r="E2879" s="28" t="s">
        <v>7761</v>
      </c>
      <c r="F2879" s="7" t="str">
        <f>IFERROR(__xludf.DUMMYFUNCTION("GOOGLETRANSLATE(B2879:B5064,""en"",""fr"")"),"nounou")</f>
        <v>nounou</v>
      </c>
    </row>
    <row r="2880" ht="19.5" customHeight="1">
      <c r="A2880" s="26" t="s">
        <v>7762</v>
      </c>
      <c r="B2880" s="27" t="s">
        <v>7763</v>
      </c>
      <c r="C2880" s="28" t="s">
        <v>100</v>
      </c>
      <c r="D2880" s="29">
        <v>85.0</v>
      </c>
      <c r="E2880" s="28" t="s">
        <v>7763</v>
      </c>
      <c r="F2880" s="7" t="str">
        <f>IFERROR(__xludf.DUMMYFUNCTION("GOOGLETRANSLATE(B2880:B5064,""en"",""fr"")"),"bien")</f>
        <v>bien</v>
      </c>
    </row>
    <row r="2881" ht="19.5" customHeight="1">
      <c r="A2881" s="26" t="s">
        <v>7764</v>
      </c>
      <c r="B2881" s="27" t="s">
        <v>7765</v>
      </c>
      <c r="C2881" s="28" t="s">
        <v>134</v>
      </c>
      <c r="D2881" s="29">
        <v>85.0</v>
      </c>
      <c r="E2881" s="28" t="s">
        <v>7766</v>
      </c>
      <c r="F2881" s="7" t="str">
        <f>IFERROR(__xludf.DUMMYFUNCTION("GOOGLETRANSLATE(B2881:B5064,""en"",""fr"")"),"poli")</f>
        <v>poli</v>
      </c>
    </row>
    <row r="2882" ht="19.5" customHeight="1">
      <c r="A2882" s="26" t="s">
        <v>7767</v>
      </c>
      <c r="B2882" s="27" t="s">
        <v>7768</v>
      </c>
      <c r="C2882" s="28" t="s">
        <v>134</v>
      </c>
      <c r="D2882" s="29">
        <v>85.0</v>
      </c>
      <c r="E2882" s="28" t="s">
        <v>7769</v>
      </c>
      <c r="F2882" s="7" t="str">
        <f>IFERROR(__xludf.DUMMYFUNCTION("GOOGLETRANSLATE(B2882:B5064,""en"",""fr"")"),"politique")</f>
        <v>politique</v>
      </c>
    </row>
    <row r="2883" ht="19.5" customHeight="1">
      <c r="A2883" s="26" t="s">
        <v>7770</v>
      </c>
      <c r="B2883" s="27" t="s">
        <v>7771</v>
      </c>
      <c r="C2883" s="28" t="s">
        <v>178</v>
      </c>
      <c r="D2883" s="29">
        <v>85.0</v>
      </c>
      <c r="E2883" s="28" t="s">
        <v>7772</v>
      </c>
      <c r="F2883" s="7" t="str">
        <f>IFERROR(__xludf.DUMMYFUNCTION("GOOGLETRANSLATE(B2883:B5064,""en"",""fr"")"),"rage")</f>
        <v>rage</v>
      </c>
    </row>
    <row r="2884" ht="19.5" customHeight="1">
      <c r="A2884" s="26" t="s">
        <v>7773</v>
      </c>
      <c r="B2884" s="27" t="s">
        <v>7774</v>
      </c>
      <c r="C2884" s="28" t="s">
        <v>178</v>
      </c>
      <c r="D2884" s="29">
        <v>85.0</v>
      </c>
      <c r="E2884" s="28" t="s">
        <v>7775</v>
      </c>
      <c r="F2884" s="7" t="str">
        <f>IFERROR(__xludf.DUMMYFUNCTION("GOOGLETRANSLATE(B2884:B5064,""en"",""fr"")"),"arc-en-ciel")</f>
        <v>arc-en-ciel</v>
      </c>
    </row>
    <row r="2885" ht="19.5" customHeight="1">
      <c r="A2885" s="26" t="s">
        <v>7776</v>
      </c>
      <c r="B2885" s="27" t="s">
        <v>7777</v>
      </c>
      <c r="C2885" s="28" t="s">
        <v>134</v>
      </c>
      <c r="D2885" s="29">
        <v>85.0</v>
      </c>
      <c r="E2885" s="28" t="s">
        <v>7778</v>
      </c>
      <c r="F2885" s="7" t="str">
        <f>IFERROR(__xludf.DUMMYFUNCTION("GOOGLETRANSLATE(B2885:B5064,""en"",""fr"")"),"malodorant")</f>
        <v>malodorant</v>
      </c>
    </row>
    <row r="2886" ht="19.5" customHeight="1">
      <c r="A2886" s="26" t="s">
        <v>7779</v>
      </c>
      <c r="B2886" s="27" t="s">
        <v>7780</v>
      </c>
      <c r="C2886" s="28" t="s">
        <v>178</v>
      </c>
      <c r="D2886" s="29">
        <v>85.0</v>
      </c>
      <c r="E2886" s="28" t="s">
        <v>7781</v>
      </c>
      <c r="F2886" s="7" t="str">
        <f>IFERROR(__xludf.DUMMYFUNCTION("GOOGLETRANSLATE(B2886:B5064,""en"",""fr"")"),"tissu")</f>
        <v>tissu</v>
      </c>
    </row>
    <row r="2887" ht="19.5" customHeight="1">
      <c r="A2887" s="26" t="s">
        <v>7782</v>
      </c>
      <c r="B2887" s="27" t="s">
        <v>7783</v>
      </c>
      <c r="C2887" s="28" t="s">
        <v>178</v>
      </c>
      <c r="D2887" s="29">
        <v>85.0</v>
      </c>
      <c r="E2887" s="28" t="s">
        <v>7784</v>
      </c>
      <c r="F2887" s="7" t="str">
        <f>IFERROR(__xludf.DUMMYFUNCTION("GOOGLETRANSLATE(B2887:B5064,""en"",""fr"")"),"Triangle")</f>
        <v>Triangle</v>
      </c>
    </row>
    <row r="2888" ht="19.5" customHeight="1">
      <c r="A2888" s="26" t="s">
        <v>7785</v>
      </c>
      <c r="B2888" s="27" t="s">
        <v>7786</v>
      </c>
      <c r="C2888" s="28" t="s">
        <v>134</v>
      </c>
      <c r="D2888" s="29">
        <v>85.0</v>
      </c>
      <c r="E2888" s="28" t="s">
        <v>7786</v>
      </c>
      <c r="F2888" s="7" t="str">
        <f>IFERROR(__xludf.DUMMYFUNCTION("GOOGLETRANSLATE(B2888:B5064,""en"",""fr"")"),"inutile")</f>
        <v>inutile</v>
      </c>
    </row>
    <row r="2889" ht="19.5" customHeight="1">
      <c r="A2889" s="26" t="s">
        <v>7787</v>
      </c>
      <c r="B2889" s="27" t="s">
        <v>7788</v>
      </c>
      <c r="C2889" s="28" t="s">
        <v>178</v>
      </c>
      <c r="D2889" s="29">
        <v>85.0</v>
      </c>
      <c r="E2889" s="28" t="s">
        <v>7789</v>
      </c>
      <c r="F2889" s="7" t="str">
        <f>IFERROR(__xludf.DUMMYFUNCTION("GOOGLETRANSLATE(B2889:B5064,""en"",""fr"")"),"visiteur")</f>
        <v>visiteur</v>
      </c>
    </row>
    <row r="2890" ht="19.5" customHeight="1">
      <c r="A2890" s="26" t="s">
        <v>7790</v>
      </c>
      <c r="B2890" s="27" t="s">
        <v>7791</v>
      </c>
      <c r="C2890" s="28" t="s">
        <v>178</v>
      </c>
      <c r="D2890" s="29">
        <v>85.0</v>
      </c>
      <c r="E2890" s="28" t="s">
        <v>7792</v>
      </c>
      <c r="F2890" s="7" t="str">
        <f>IFERROR(__xludf.DUMMYFUNCTION("GOOGLETRANSLATE(B2890:B5064,""en"",""fr"")"),"vodka")</f>
        <v>vodka</v>
      </c>
    </row>
    <row r="2891" ht="19.5" customHeight="1">
      <c r="A2891" s="26" t="s">
        <v>7793</v>
      </c>
      <c r="B2891" s="27" t="s">
        <v>7794</v>
      </c>
      <c r="C2891" s="28" t="s">
        <v>178</v>
      </c>
      <c r="D2891" s="29">
        <v>84.0</v>
      </c>
      <c r="E2891" s="28" t="s">
        <v>7795</v>
      </c>
      <c r="F2891" s="7" t="str">
        <f>IFERROR(__xludf.DUMMYFUNCTION("GOOGLETRANSLATE(B2891:B5064,""en"",""fr"")"),"angle")</f>
        <v>angle</v>
      </c>
    </row>
    <row r="2892" ht="19.5" customHeight="1">
      <c r="A2892" s="26" t="s">
        <v>7796</v>
      </c>
      <c r="B2892" s="27" t="s">
        <v>7797</v>
      </c>
      <c r="C2892" s="28" t="s">
        <v>134</v>
      </c>
      <c r="D2892" s="29">
        <v>84.0</v>
      </c>
      <c r="E2892" s="28" t="s">
        <v>7797</v>
      </c>
      <c r="F2892" s="7" t="str">
        <f>IFERROR(__xludf.DUMMYFUNCTION("GOOGLETRANSLATE(B2892:B5064,""en"",""fr"")"),"anonyme")</f>
        <v>anonyme</v>
      </c>
    </row>
    <row r="2893" ht="19.5" customHeight="1">
      <c r="A2893" s="26" t="s">
        <v>7798</v>
      </c>
      <c r="B2893" s="27" t="s">
        <v>7799</v>
      </c>
      <c r="C2893" s="28" t="s">
        <v>178</v>
      </c>
      <c r="D2893" s="29">
        <v>84.0</v>
      </c>
      <c r="E2893" s="28" t="s">
        <v>7800</v>
      </c>
      <c r="F2893" s="7" t="str">
        <f>IFERROR(__xludf.DUMMYFUNCTION("GOOGLETRANSLATE(B2893:B5064,""en"",""fr"")"),"calendrier")</f>
        <v>calendrier</v>
      </c>
    </row>
    <row r="2894" ht="19.5" customHeight="1">
      <c r="A2894" s="26" t="s">
        <v>7801</v>
      </c>
      <c r="B2894" s="27" t="s">
        <v>3860</v>
      </c>
      <c r="C2894" s="28" t="s">
        <v>178</v>
      </c>
      <c r="D2894" s="29">
        <v>84.0</v>
      </c>
      <c r="E2894" s="28" t="s">
        <v>7802</v>
      </c>
      <c r="F2894" s="7" t="str">
        <f>IFERROR(__xludf.DUMMYFUNCTION("GOOGLETRANSLATE(B2894:B5064,""en"",""fr"")"),"bande dessinée")</f>
        <v>bande dessinée</v>
      </c>
    </row>
    <row r="2895" ht="19.5" customHeight="1">
      <c r="A2895" s="26" t="s">
        <v>7803</v>
      </c>
      <c r="B2895" s="27" t="s">
        <v>7804</v>
      </c>
      <c r="C2895" s="28" t="s">
        <v>178</v>
      </c>
      <c r="D2895" s="29">
        <v>84.0</v>
      </c>
      <c r="E2895" s="28" t="s">
        <v>7804</v>
      </c>
      <c r="F2895" s="7" t="str">
        <f>IFERROR(__xludf.DUMMYFUNCTION("GOOGLETRANSLATE(B2895:B5064,""en"",""fr"")"),"dibs")</f>
        <v>dibs</v>
      </c>
    </row>
    <row r="2896" ht="19.5" customHeight="1">
      <c r="A2896" s="26" t="s">
        <v>7805</v>
      </c>
      <c r="B2896" s="27" t="s">
        <v>7806</v>
      </c>
      <c r="C2896" s="28" t="s">
        <v>178</v>
      </c>
      <c r="D2896" s="29">
        <v>84.0</v>
      </c>
      <c r="E2896" s="28" t="s">
        <v>7807</v>
      </c>
      <c r="F2896" s="7" t="str">
        <f>IFERROR(__xludf.DUMMYFUNCTION("GOOGLETRANSLATE(B2896:B5064,""en"",""fr"")"),"tremper")</f>
        <v>tremper</v>
      </c>
    </row>
    <row r="2897" ht="19.5" customHeight="1">
      <c r="A2897" s="26" t="s">
        <v>7808</v>
      </c>
      <c r="B2897" s="27" t="s">
        <v>7809</v>
      </c>
      <c r="C2897" s="28" t="s">
        <v>134</v>
      </c>
      <c r="D2897" s="29">
        <v>84.0</v>
      </c>
      <c r="E2897" s="28" t="s">
        <v>7809</v>
      </c>
      <c r="F2897" s="7" t="str">
        <f>IFERROR(__xludf.DUMMYFUNCTION("GOOGLETRANSLATE(B2897:B5064,""en"",""fr"")"),"financier")</f>
        <v>financier</v>
      </c>
    </row>
    <row r="2898" ht="19.5" customHeight="1">
      <c r="A2898" s="26" t="s">
        <v>7810</v>
      </c>
      <c r="B2898" s="27" t="s">
        <v>7811</v>
      </c>
      <c r="C2898" s="28" t="s">
        <v>134</v>
      </c>
      <c r="D2898" s="29">
        <v>84.0</v>
      </c>
      <c r="E2898" s="28" t="s">
        <v>7812</v>
      </c>
      <c r="F2898" s="7" t="str">
        <f>IFERROR(__xludf.DUMMYFUNCTION("GOOGLETRANSLATE(B2898:B5064,""en"",""fr"")"),"plat")</f>
        <v>plat</v>
      </c>
    </row>
    <row r="2899" ht="19.5" customHeight="1">
      <c r="A2899" s="26" t="s">
        <v>7813</v>
      </c>
      <c r="B2899" s="27" t="s">
        <v>6599</v>
      </c>
      <c r="C2899" s="28" t="s">
        <v>178</v>
      </c>
      <c r="D2899" s="29">
        <v>84.0</v>
      </c>
      <c r="E2899" s="28" t="s">
        <v>7814</v>
      </c>
      <c r="F2899" s="7" t="str">
        <f>IFERROR(__xludf.DUMMYFUNCTION("GOOGLETRANSLATE(B2899:B5064,""en"",""fr"")"),"grandiose")</f>
        <v>grandiose</v>
      </c>
    </row>
    <row r="2900" ht="19.5" customHeight="1">
      <c r="A2900" s="26" t="s">
        <v>7815</v>
      </c>
      <c r="B2900" s="27" t="s">
        <v>7816</v>
      </c>
      <c r="C2900" s="28" t="s">
        <v>178</v>
      </c>
      <c r="D2900" s="29">
        <v>84.0</v>
      </c>
      <c r="E2900" s="28" t="s">
        <v>7817</v>
      </c>
      <c r="F2900" s="7" t="str">
        <f>IFERROR(__xludf.DUMMYFUNCTION("GOOGLETRANSLATE(B2900:B5064,""en"",""fr"")"),"identité")</f>
        <v>identité</v>
      </c>
    </row>
    <row r="2901" ht="19.5" customHeight="1">
      <c r="A2901" s="26" t="s">
        <v>7818</v>
      </c>
      <c r="B2901" s="27" t="s">
        <v>1609</v>
      </c>
      <c r="C2901" s="28" t="s">
        <v>134</v>
      </c>
      <c r="D2901" s="29">
        <v>84.0</v>
      </c>
      <c r="E2901" s="28" t="s">
        <v>7819</v>
      </c>
      <c r="F2901" s="7" t="str">
        <f>IFERROR(__xludf.DUMMYFUNCTION("GOOGLETRANSLATE(B2901:B5064,""en"",""fr"")"),"lumière")</f>
        <v>lumière</v>
      </c>
    </row>
    <row r="2902" ht="19.5" customHeight="1">
      <c r="A2902" s="26" t="s">
        <v>7820</v>
      </c>
      <c r="B2902" s="27" t="s">
        <v>7821</v>
      </c>
      <c r="C2902" s="28" t="s">
        <v>134</v>
      </c>
      <c r="D2902" s="29">
        <v>84.0</v>
      </c>
      <c r="E2902" s="28" t="s">
        <v>7821</v>
      </c>
      <c r="F2902" s="7" t="str">
        <f>IFERROR(__xludf.DUMMYFUNCTION("GOOGLETRANSLATE(B2902:B5064,""en"",""fr"")"),"vie")</f>
        <v>vie</v>
      </c>
    </row>
    <row r="2903" ht="19.5" customHeight="1">
      <c r="A2903" s="26" t="s">
        <v>7822</v>
      </c>
      <c r="B2903" s="27" t="s">
        <v>7823</v>
      </c>
      <c r="C2903" s="28" t="s">
        <v>32</v>
      </c>
      <c r="D2903" s="29">
        <v>84.0</v>
      </c>
      <c r="E2903" s="28" t="s">
        <v>7824</v>
      </c>
      <c r="F2903" s="7" t="str">
        <f>IFERROR(__xludf.DUMMYFUNCTION("GOOGLETRANSLATE(B2903:B5064,""en"",""fr"")"),"registre")</f>
        <v>registre</v>
      </c>
    </row>
    <row r="2904" ht="19.5" customHeight="1">
      <c r="A2904" s="26" t="s">
        <v>7825</v>
      </c>
      <c r="B2904" s="27" t="s">
        <v>7826</v>
      </c>
      <c r="C2904" s="28" t="s">
        <v>134</v>
      </c>
      <c r="D2904" s="29">
        <v>84.0</v>
      </c>
      <c r="E2904" s="28" t="s">
        <v>7826</v>
      </c>
      <c r="F2904" s="7" t="str">
        <f>IFERROR(__xludf.DUMMYFUNCTION("GOOGLETRANSLATE(B2904:B5064,""en"",""fr"")"),"choquant")</f>
        <v>choquant</v>
      </c>
    </row>
    <row r="2905" ht="19.5" customHeight="1">
      <c r="A2905" s="26" t="s">
        <v>7827</v>
      </c>
      <c r="B2905" s="27" t="s">
        <v>7828</v>
      </c>
      <c r="C2905" s="28" t="s">
        <v>178</v>
      </c>
      <c r="D2905" s="29">
        <v>84.0</v>
      </c>
      <c r="E2905" s="28" t="s">
        <v>7828</v>
      </c>
      <c r="F2905" s="7" t="str">
        <f>IFERROR(__xludf.DUMMYFUNCTION("GOOGLETRANSLATE(B2905:B5064,""en"",""fr"")"),"achats")</f>
        <v>achats</v>
      </c>
    </row>
    <row r="2906" ht="19.5" customHeight="1">
      <c r="A2906" s="26" t="s">
        <v>7829</v>
      </c>
      <c r="B2906" s="27" t="s">
        <v>7830</v>
      </c>
      <c r="C2906" s="28" t="s">
        <v>150</v>
      </c>
      <c r="D2906" s="29">
        <v>84.0</v>
      </c>
      <c r="E2906" s="28" t="s">
        <v>7831</v>
      </c>
      <c r="F2906" s="7" t="str">
        <f>IFERROR(__xludf.DUMMYFUNCTION("GOOGLETRANSLATE(B2906:B5064,""en"",""fr"")"),"sixième")</f>
        <v>sixième</v>
      </c>
    </row>
    <row r="2907" ht="19.5" customHeight="1">
      <c r="A2907" s="26" t="s">
        <v>7832</v>
      </c>
      <c r="B2907" s="27" t="s">
        <v>7833</v>
      </c>
      <c r="C2907" s="28" t="s">
        <v>178</v>
      </c>
      <c r="D2907" s="29">
        <v>84.0</v>
      </c>
      <c r="E2907" s="28" t="s">
        <v>7834</v>
      </c>
      <c r="F2907" s="7" t="str">
        <f>IFERROR(__xludf.DUMMYFUNCTION("GOOGLETRANSLATE(B2907:B5064,""en"",""fr"")"),"cuillère")</f>
        <v>cuillère</v>
      </c>
    </row>
    <row r="2908" ht="19.5" customHeight="1">
      <c r="A2908" s="26" t="s">
        <v>7835</v>
      </c>
      <c r="B2908" s="27" t="s">
        <v>362</v>
      </c>
      <c r="C2908" s="28" t="s">
        <v>178</v>
      </c>
      <c r="D2908" s="29">
        <v>84.0</v>
      </c>
      <c r="E2908" s="28" t="s">
        <v>7836</v>
      </c>
      <c r="F2908" s="7" t="str">
        <f>IFERROR(__xludf.DUMMYFUNCTION("GOOGLETRANSLATE(B2908:B5064,""en"",""fr"")"),"arrêt")</f>
        <v>arrêt</v>
      </c>
    </row>
    <row r="2909" ht="19.5" customHeight="1">
      <c r="A2909" s="26" t="s">
        <v>7837</v>
      </c>
      <c r="B2909" s="27" t="s">
        <v>7838</v>
      </c>
      <c r="C2909" s="28" t="s">
        <v>178</v>
      </c>
      <c r="D2909" s="29">
        <v>84.0</v>
      </c>
      <c r="E2909" s="28" t="s">
        <v>7839</v>
      </c>
      <c r="F2909" s="7" t="str">
        <f>IFERROR(__xludf.DUMMYFUNCTION("GOOGLETRANSLATE(B2909:B5064,""en"",""fr"")"),"fraise")</f>
        <v>fraise</v>
      </c>
    </row>
    <row r="2910" ht="19.5" customHeight="1">
      <c r="A2910" s="26" t="s">
        <v>7840</v>
      </c>
      <c r="B2910" s="27" t="s">
        <v>7841</v>
      </c>
      <c r="C2910" s="28" t="s">
        <v>178</v>
      </c>
      <c r="D2910" s="29">
        <v>84.0</v>
      </c>
      <c r="E2910" s="28" t="s">
        <v>7842</v>
      </c>
      <c r="F2910" s="7" t="str">
        <f>IFERROR(__xludf.DUMMYFUNCTION("GOOGLETRANSLATE(B2910:B5064,""en"",""fr"")"),"cible")</f>
        <v>cible</v>
      </c>
    </row>
    <row r="2911" ht="19.5" customHeight="1">
      <c r="A2911" s="26" t="s">
        <v>7843</v>
      </c>
      <c r="B2911" s="27" t="s">
        <v>7844</v>
      </c>
      <c r="C2911" s="28" t="s">
        <v>134</v>
      </c>
      <c r="D2911" s="29">
        <v>84.0</v>
      </c>
      <c r="E2911" s="28" t="s">
        <v>7844</v>
      </c>
      <c r="F2911" s="7" t="str">
        <f>IFERROR(__xludf.DUMMYFUNCTION("GOOGLETRANSLATE(B2911:B5064,""en"",""fr"")"),"adolescent")</f>
        <v>adolescent</v>
      </c>
    </row>
    <row r="2912" ht="19.5" customHeight="1">
      <c r="A2912" s="26" t="s">
        <v>7845</v>
      </c>
      <c r="B2912" s="27" t="s">
        <v>7846</v>
      </c>
      <c r="C2912" s="28" t="s">
        <v>134</v>
      </c>
      <c r="D2912" s="29">
        <v>84.0</v>
      </c>
      <c r="E2912" s="28" t="s">
        <v>7847</v>
      </c>
      <c r="F2912" s="7" t="str">
        <f>IFERROR(__xludf.DUMMYFUNCTION("GOOGLETRANSLATE(B2912:B5064,""en"",""fr"")"),"épais")</f>
        <v>épais</v>
      </c>
    </row>
    <row r="2913" ht="19.5" customHeight="1">
      <c r="A2913" s="26" t="s">
        <v>7848</v>
      </c>
      <c r="B2913" s="27" t="s">
        <v>7849</v>
      </c>
      <c r="C2913" s="28" t="s">
        <v>728</v>
      </c>
      <c r="D2913" s="29">
        <v>84.0</v>
      </c>
      <c r="E2913" s="28" t="s">
        <v>7849</v>
      </c>
      <c r="F2913" s="7" t="str">
        <f>IFERROR(__xludf.DUMMYFUNCTION("GOOGLETRANSLATE(B2913:B5064,""en"",""fr"")"),"la toile")</f>
        <v>la toile</v>
      </c>
    </row>
    <row r="2914" ht="19.5" customHeight="1">
      <c r="A2914" s="26" t="s">
        <v>7850</v>
      </c>
      <c r="B2914" s="27" t="s">
        <v>7851</v>
      </c>
      <c r="C2914" s="28" t="s">
        <v>85</v>
      </c>
      <c r="D2914" s="29">
        <v>84.0</v>
      </c>
      <c r="E2914" s="28" t="s">
        <v>7851</v>
      </c>
      <c r="F2914" s="7" t="str">
        <f>IFERROR(__xludf.DUMMYFUNCTION("GOOGLETRANSLATE(B2914:B5064,""en"",""fr"")"),"coqueluche")</f>
        <v>coqueluche</v>
      </c>
    </row>
    <row r="2915" ht="19.5" customHeight="1">
      <c r="A2915" s="26" t="s">
        <v>7852</v>
      </c>
      <c r="B2915" s="27" t="s">
        <v>7853</v>
      </c>
      <c r="C2915" s="28" t="s">
        <v>178</v>
      </c>
      <c r="D2915" s="29">
        <v>84.0</v>
      </c>
      <c r="E2915" s="28" t="s">
        <v>7854</v>
      </c>
      <c r="F2915" s="7" t="str">
        <f>IFERROR(__xludf.DUMMYFUNCTION("GOOGLETRANSLATE(B2915:B5064,""en"",""fr"")"),"comptoir")</f>
        <v>comptoir</v>
      </c>
    </row>
    <row r="2916" ht="19.5" customHeight="1">
      <c r="A2916" s="26" t="s">
        <v>7855</v>
      </c>
      <c r="B2916" s="27" t="s">
        <v>7856</v>
      </c>
      <c r="C2916" s="28" t="s">
        <v>178</v>
      </c>
      <c r="D2916" s="29">
        <v>83.0</v>
      </c>
      <c r="E2916" s="28" t="s">
        <v>7857</v>
      </c>
      <c r="F2916" s="7" t="str">
        <f>IFERROR(__xludf.DUMMYFUNCTION("GOOGLETRANSLATE(B2916:B5064,""en"",""fr"")"),"agence")</f>
        <v>agence</v>
      </c>
    </row>
    <row r="2917" ht="19.5" customHeight="1">
      <c r="A2917" s="26" t="s">
        <v>7858</v>
      </c>
      <c r="B2917" s="27" t="s">
        <v>7859</v>
      </c>
      <c r="C2917" s="28" t="s">
        <v>178</v>
      </c>
      <c r="D2917" s="29">
        <v>83.0</v>
      </c>
      <c r="E2917" s="28" t="s">
        <v>7860</v>
      </c>
      <c r="F2917" s="7" t="str">
        <f>IFERROR(__xludf.DUMMYFUNCTION("GOOGLETRANSLATE(B2917:B5064,""en"",""fr"")"),"carnaval")</f>
        <v>carnaval</v>
      </c>
    </row>
    <row r="2918" ht="19.5" customHeight="1">
      <c r="A2918" s="26" t="s">
        <v>7861</v>
      </c>
      <c r="B2918" s="27" t="s">
        <v>7862</v>
      </c>
      <c r="C2918" s="28" t="s">
        <v>32</v>
      </c>
      <c r="D2918" s="29">
        <v>83.0</v>
      </c>
      <c r="E2918" s="28" t="s">
        <v>7863</v>
      </c>
      <c r="F2918" s="7" t="str">
        <f>IFERROR(__xludf.DUMMYFUNCTION("GOOGLETRANSLATE(B2918:B5064,""en"",""fr"")"),"confirmer")</f>
        <v>confirmer</v>
      </c>
    </row>
    <row r="2919" ht="19.5" customHeight="1">
      <c r="A2919" s="26" t="s">
        <v>7864</v>
      </c>
      <c r="B2919" s="27" t="s">
        <v>7865</v>
      </c>
      <c r="C2919" s="28" t="s">
        <v>178</v>
      </c>
      <c r="D2919" s="29">
        <v>83.0</v>
      </c>
      <c r="E2919" s="28" t="s">
        <v>7866</v>
      </c>
      <c r="F2919" s="7" t="str">
        <f>IFERROR(__xludf.DUMMYFUNCTION("GOOGLETRANSLATE(B2919:B5064,""en"",""fr"")"),"corps")</f>
        <v>corps</v>
      </c>
    </row>
    <row r="2920" ht="19.5" customHeight="1">
      <c r="A2920" s="26" t="s">
        <v>7867</v>
      </c>
      <c r="B2920" s="27" t="s">
        <v>7868</v>
      </c>
      <c r="C2920" s="28" t="s">
        <v>32</v>
      </c>
      <c r="D2920" s="29">
        <v>83.0</v>
      </c>
      <c r="E2920" s="28" t="s">
        <v>7869</v>
      </c>
      <c r="F2920" s="7" t="str">
        <f>IFERROR(__xludf.DUMMYFUNCTION("GOOGLETRANSLATE(B2920:B5064,""en"",""fr"")"),"être en désaccord")</f>
        <v>être en désaccord</v>
      </c>
    </row>
    <row r="2921" ht="19.5" customHeight="1">
      <c r="A2921" s="26" t="s">
        <v>7870</v>
      </c>
      <c r="B2921" s="27" t="s">
        <v>7871</v>
      </c>
      <c r="C2921" s="28" t="s">
        <v>178</v>
      </c>
      <c r="D2921" s="29">
        <v>83.0</v>
      </c>
      <c r="E2921" s="28" t="s">
        <v>7872</v>
      </c>
      <c r="F2921" s="7" t="str">
        <f>IFERROR(__xludf.DUMMYFUNCTION("GOOGLETRANSLATE(B2921:B5064,""en"",""fr"")"),"fonctionnalité")</f>
        <v>fonctionnalité</v>
      </c>
    </row>
    <row r="2922" ht="19.5" customHeight="1">
      <c r="A2922" s="26" t="s">
        <v>7873</v>
      </c>
      <c r="B2922" s="27" t="s">
        <v>7874</v>
      </c>
      <c r="C2922" s="28" t="s">
        <v>178</v>
      </c>
      <c r="D2922" s="29">
        <v>83.0</v>
      </c>
      <c r="E2922" s="28" t="s">
        <v>7875</v>
      </c>
      <c r="F2922" s="7" t="str">
        <f>IFERROR(__xludf.DUMMYFUNCTION("GOOGLETRANSLATE(B2922:B5064,""en"",""fr"")"),"ferme")</f>
        <v>ferme</v>
      </c>
    </row>
    <row r="2923" ht="19.5" customHeight="1">
      <c r="A2923" s="26" t="s">
        <v>7876</v>
      </c>
      <c r="B2923" s="27" t="s">
        <v>2611</v>
      </c>
      <c r="C2923" s="28" t="s">
        <v>178</v>
      </c>
      <c r="D2923" s="29">
        <v>83.0</v>
      </c>
      <c r="E2923" s="28" t="s">
        <v>7877</v>
      </c>
      <c r="F2923" s="7" t="str">
        <f>IFERROR(__xludf.DUMMYFUNCTION("GOOGLETRANSLATE(B2923:B5064,""en"",""fr"")"),"ajuster")</f>
        <v>ajuster</v>
      </c>
    </row>
    <row r="2924" ht="19.5" customHeight="1">
      <c r="A2924" s="26" t="s">
        <v>7878</v>
      </c>
      <c r="B2924" s="27" t="s">
        <v>7879</v>
      </c>
      <c r="C2924" s="28" t="s">
        <v>178</v>
      </c>
      <c r="D2924" s="29">
        <v>83.0</v>
      </c>
      <c r="E2924" s="28" t="s">
        <v>7880</v>
      </c>
      <c r="F2924" s="7" t="str">
        <f>IFERROR(__xludf.DUMMYFUNCTION("GOOGLETRANSLATE(B2924:B5064,""en"",""fr"")"),"colline")</f>
        <v>colline</v>
      </c>
    </row>
    <row r="2925" ht="19.5" customHeight="1">
      <c r="A2925" s="26" t="s">
        <v>7881</v>
      </c>
      <c r="B2925" s="27" t="s">
        <v>7882</v>
      </c>
      <c r="C2925" s="28" t="s">
        <v>100</v>
      </c>
      <c r="D2925" s="29">
        <v>83.0</v>
      </c>
      <c r="E2925" s="28" t="s">
        <v>7882</v>
      </c>
      <c r="F2925" s="7" t="str">
        <f>IFERROR(__xludf.DUMMYFUNCTION("GOOGLETRANSLATE(B2925:B5064,""en"",""fr"")"),"avec un peu de chance")</f>
        <v>avec un peu de chance</v>
      </c>
    </row>
    <row r="2926" ht="19.5" customHeight="1">
      <c r="A2926" s="26" t="s">
        <v>7883</v>
      </c>
      <c r="B2926" s="27" t="s">
        <v>7884</v>
      </c>
      <c r="C2926" s="28" t="s">
        <v>178</v>
      </c>
      <c r="D2926" s="29">
        <v>83.0</v>
      </c>
      <c r="E2926" s="28" t="s">
        <v>7885</v>
      </c>
      <c r="F2926" s="7" t="str">
        <f>IFERROR(__xludf.DUMMYFUNCTION("GOOGLETRANSLATE(B2926:B5064,""en"",""fr"")"),"Confiture")</f>
        <v>Confiture</v>
      </c>
    </row>
    <row r="2927" ht="19.5" customHeight="1">
      <c r="A2927" s="26" t="s">
        <v>7886</v>
      </c>
      <c r="B2927" s="27" t="s">
        <v>7887</v>
      </c>
      <c r="C2927" s="28" t="s">
        <v>178</v>
      </c>
      <c r="D2927" s="29">
        <v>83.0</v>
      </c>
      <c r="E2927" s="28" t="s">
        <v>7888</v>
      </c>
      <c r="F2927" s="7" t="str">
        <f>IFERROR(__xludf.DUMMYFUNCTION("GOOGLETRANSLATE(B2927:B5064,""en"",""fr"")"),"agneau")</f>
        <v>agneau</v>
      </c>
    </row>
    <row r="2928" ht="19.5" customHeight="1">
      <c r="A2928" s="26" t="s">
        <v>7889</v>
      </c>
      <c r="B2928" s="27" t="s">
        <v>3865</v>
      </c>
      <c r="C2928" s="28" t="s">
        <v>178</v>
      </c>
      <c r="D2928" s="29">
        <v>83.0</v>
      </c>
      <c r="E2928" s="28" t="s">
        <v>7890</v>
      </c>
      <c r="F2928" s="7" t="str">
        <f>IFERROR(__xludf.DUMMYFUNCTION("GOOGLETRANSLATE(B2928:B5064,""en"",""fr"")"),"locale")</f>
        <v>locale</v>
      </c>
    </row>
    <row r="2929" ht="19.5" customHeight="1">
      <c r="A2929" s="26" t="s">
        <v>7891</v>
      </c>
      <c r="B2929" s="27" t="s">
        <v>7892</v>
      </c>
      <c r="C2929" s="28" t="s">
        <v>178</v>
      </c>
      <c r="D2929" s="29">
        <v>83.0</v>
      </c>
      <c r="E2929" s="28" t="s">
        <v>7893</v>
      </c>
      <c r="F2929" s="7" t="str">
        <f>IFERROR(__xludf.DUMMYFUNCTION("GOOGLETRANSLATE(B2929:B5064,""en"",""fr"")"),"enregistrer")</f>
        <v>enregistrer</v>
      </c>
    </row>
    <row r="2930" ht="19.5" customHeight="1">
      <c r="A2930" s="26" t="s">
        <v>7894</v>
      </c>
      <c r="B2930" s="27" t="s">
        <v>615</v>
      </c>
      <c r="C2930" s="28" t="s">
        <v>32</v>
      </c>
      <c r="D2930" s="29">
        <v>83.0</v>
      </c>
      <c r="E2930" s="28" t="s">
        <v>7895</v>
      </c>
      <c r="F2930" s="7" t="str">
        <f>IFERROR(__xludf.DUMMYFUNCTION("GOOGLETRANSLATE(B2930:B5064,""en"",""fr"")"),"faire la fête")</f>
        <v>faire la fête</v>
      </c>
    </row>
    <row r="2931" ht="19.5" customHeight="1">
      <c r="A2931" s="26" t="s">
        <v>7896</v>
      </c>
      <c r="B2931" s="27" t="s">
        <v>7897</v>
      </c>
      <c r="C2931" s="28" t="s">
        <v>178</v>
      </c>
      <c r="D2931" s="29">
        <v>83.0</v>
      </c>
      <c r="E2931" s="28" t="s">
        <v>7898</v>
      </c>
      <c r="F2931" s="7" t="str">
        <f>IFERROR(__xludf.DUMMYFUNCTION("GOOGLETRANSLATE(B2931:B5064,""en"",""fr"")"),"imprimante")</f>
        <v>imprimante</v>
      </c>
    </row>
    <row r="2932" ht="19.5" customHeight="1">
      <c r="A2932" s="26" t="s">
        <v>7899</v>
      </c>
      <c r="B2932" s="27" t="s">
        <v>7900</v>
      </c>
      <c r="C2932" s="28" t="s">
        <v>178</v>
      </c>
      <c r="D2932" s="29">
        <v>83.0</v>
      </c>
      <c r="E2932" s="28" t="s">
        <v>7901</v>
      </c>
      <c r="F2932" s="7" t="str">
        <f>IFERROR(__xludf.DUMMYFUNCTION("GOOGLETRANSLATE(B2932:B5064,""en"",""fr"")"),"esquisser")</f>
        <v>esquisser</v>
      </c>
    </row>
    <row r="2933" ht="19.5" customHeight="1">
      <c r="A2933" s="26" t="s">
        <v>7902</v>
      </c>
      <c r="B2933" s="27" t="s">
        <v>7331</v>
      </c>
      <c r="C2933" s="28" t="s">
        <v>178</v>
      </c>
      <c r="D2933" s="29">
        <v>83.0</v>
      </c>
      <c r="E2933" s="28" t="s">
        <v>7903</v>
      </c>
      <c r="F2933" s="7" t="str">
        <f>IFERROR(__xludf.DUMMYFUNCTION("GOOGLETRANSLATE(B2933:B5064,""en"",""fr"")"),"ski")</f>
        <v>ski</v>
      </c>
    </row>
    <row r="2934" ht="19.5" customHeight="1">
      <c r="A2934" s="26" t="s">
        <v>7904</v>
      </c>
      <c r="B2934" s="27" t="s">
        <v>7905</v>
      </c>
      <c r="C2934" s="28" t="s">
        <v>178</v>
      </c>
      <c r="D2934" s="29">
        <v>83.0</v>
      </c>
      <c r="E2934" s="28" t="s">
        <v>7906</v>
      </c>
      <c r="F2934" s="7" t="str">
        <f>IFERROR(__xludf.DUMMYFUNCTION("GOOGLETRANSLATE(B2934:B5064,""en"",""fr"")"),"vapeur")</f>
        <v>vapeur</v>
      </c>
    </row>
    <row r="2935" ht="19.5" customHeight="1">
      <c r="A2935" s="26" t="s">
        <v>7907</v>
      </c>
      <c r="B2935" s="27" t="s">
        <v>7908</v>
      </c>
      <c r="C2935" s="28" t="s">
        <v>178</v>
      </c>
      <c r="D2935" s="29">
        <v>83.0</v>
      </c>
      <c r="E2935" s="28" t="s">
        <v>7909</v>
      </c>
      <c r="F2935" s="7" t="str">
        <f>IFERROR(__xludf.DUMMYFUNCTION("GOOGLETRANSLATE(B2935:B5064,""en"",""fr"")"),"super-héros")</f>
        <v>super-héros</v>
      </c>
    </row>
    <row r="2936" ht="19.5" customHeight="1">
      <c r="A2936" s="26" t="s">
        <v>7910</v>
      </c>
      <c r="B2936" s="27" t="s">
        <v>7911</v>
      </c>
      <c r="C2936" s="28" t="s">
        <v>100</v>
      </c>
      <c r="D2936" s="29">
        <v>83.0</v>
      </c>
      <c r="E2936" s="28" t="s">
        <v>7911</v>
      </c>
      <c r="F2936" s="7" t="str">
        <f>IFERROR(__xludf.DUMMYFUNCTION("GOOGLETRANSLATE(B2936:B5064,""en"",""fr"")"),"terriblement")</f>
        <v>terriblement</v>
      </c>
    </row>
    <row r="2937" ht="19.5" customHeight="1">
      <c r="A2937" s="26" t="s">
        <v>7912</v>
      </c>
      <c r="B2937" s="27" t="s">
        <v>7913</v>
      </c>
      <c r="C2937" s="28" t="s">
        <v>178</v>
      </c>
      <c r="D2937" s="29">
        <v>83.0</v>
      </c>
      <c r="E2937" s="28" t="s">
        <v>7914</v>
      </c>
      <c r="F2937" s="7" t="str">
        <f>IFERROR(__xludf.DUMMYFUNCTION("GOOGLETRANSLATE(B2937:B5064,""en"",""fr"")"),"brosse à dents")</f>
        <v>brosse à dents</v>
      </c>
    </row>
    <row r="2938" ht="19.5" customHeight="1">
      <c r="A2938" s="26" t="s">
        <v>7915</v>
      </c>
      <c r="B2938" s="27" t="s">
        <v>1631</v>
      </c>
      <c r="C2938" s="28" t="s">
        <v>32</v>
      </c>
      <c r="D2938" s="29">
        <v>83.0</v>
      </c>
      <c r="E2938" s="28" t="s">
        <v>7916</v>
      </c>
      <c r="F2938" s="7" t="str">
        <f>IFERROR(__xludf.DUMMYFUNCTION("GOOGLETRANSLATE(B2938:B5064,""en"",""fr"")"),"haut")</f>
        <v>haut</v>
      </c>
    </row>
    <row r="2939" ht="19.5" customHeight="1">
      <c r="A2939" s="26" t="s">
        <v>7917</v>
      </c>
      <c r="B2939" s="27" t="s">
        <v>7918</v>
      </c>
      <c r="C2939" s="28" t="s">
        <v>178</v>
      </c>
      <c r="D2939" s="29">
        <v>82.0</v>
      </c>
      <c r="E2939" s="28" t="s">
        <v>7919</v>
      </c>
      <c r="F2939" s="7" t="str">
        <f>IFERROR(__xludf.DUMMYFUNCTION("GOOGLETRANSLATE(B2939:B5064,""en"",""fr"")"),"conseil")</f>
        <v>conseil</v>
      </c>
    </row>
    <row r="2940" ht="19.5" customHeight="1">
      <c r="A2940" s="26" t="s">
        <v>7920</v>
      </c>
      <c r="B2940" s="27" t="s">
        <v>7921</v>
      </c>
      <c r="C2940" s="28" t="s">
        <v>178</v>
      </c>
      <c r="D2940" s="29">
        <v>82.0</v>
      </c>
      <c r="E2940" s="28" t="s">
        <v>7922</v>
      </c>
      <c r="F2940" s="7" t="str">
        <f>IFERROR(__xludf.DUMMYFUNCTION("GOOGLETRANSLATE(B2940:B5064,""en"",""fr"")"),"pont")</f>
        <v>pont</v>
      </c>
    </row>
    <row r="2941" ht="19.5" customHeight="1">
      <c r="A2941" s="26" t="s">
        <v>7923</v>
      </c>
      <c r="B2941" s="27" t="s">
        <v>7924</v>
      </c>
      <c r="C2941" s="28" t="s">
        <v>178</v>
      </c>
      <c r="D2941" s="29">
        <v>82.0</v>
      </c>
      <c r="E2941" s="28" t="s">
        <v>7925</v>
      </c>
      <c r="F2941" s="7" t="str">
        <f>IFERROR(__xludf.DUMMYFUNCTION("GOOGLETRANSLATE(B2941:B5064,""en"",""fr"")"),"dragon")</f>
        <v>dragon</v>
      </c>
    </row>
    <row r="2942" ht="19.5" customHeight="1">
      <c r="A2942" s="26" t="s">
        <v>7926</v>
      </c>
      <c r="B2942" s="27" t="s">
        <v>7927</v>
      </c>
      <c r="C2942" s="28" t="s">
        <v>178</v>
      </c>
      <c r="D2942" s="29">
        <v>82.0</v>
      </c>
      <c r="E2942" s="28" t="s">
        <v>7928</v>
      </c>
      <c r="F2942" s="7" t="str">
        <f>IFERROR(__xludf.DUMMYFUNCTION("GOOGLETRANSLATE(B2942:B5064,""en"",""fr"")"),"élection")</f>
        <v>élection</v>
      </c>
    </row>
    <row r="2943" ht="19.5" customHeight="1">
      <c r="A2943" s="26" t="s">
        <v>7929</v>
      </c>
      <c r="B2943" s="27" t="s">
        <v>7930</v>
      </c>
      <c r="C2943" s="28" t="s">
        <v>85</v>
      </c>
      <c r="D2943" s="29">
        <v>82.0</v>
      </c>
      <c r="E2943" s="28" t="s">
        <v>7930</v>
      </c>
      <c r="F2943" s="7" t="str">
        <f>IFERROR(__xludf.DUMMYFUNCTION("GOOGLETRANSLATE(B2943:B5064,""en"",""fr"")"),"hah")</f>
        <v>hah</v>
      </c>
    </row>
    <row r="2944" ht="19.5" customHeight="1">
      <c r="A2944" s="26" t="s">
        <v>7931</v>
      </c>
      <c r="B2944" s="27" t="s">
        <v>7932</v>
      </c>
      <c r="C2944" s="28" t="s">
        <v>178</v>
      </c>
      <c r="D2944" s="29">
        <v>82.0</v>
      </c>
      <c r="E2944" s="28" t="s">
        <v>7933</v>
      </c>
      <c r="F2944" s="7" t="str">
        <f>IFERROR(__xludf.DUMMYFUNCTION("GOOGLETRANSLATE(B2944:B5064,""en"",""fr"")"),"manque")</f>
        <v>manque</v>
      </c>
    </row>
    <row r="2945" ht="19.5" customHeight="1">
      <c r="A2945" s="26" t="s">
        <v>7934</v>
      </c>
      <c r="B2945" s="27" t="s">
        <v>7935</v>
      </c>
      <c r="C2945" s="28" t="s">
        <v>178</v>
      </c>
      <c r="D2945" s="29">
        <v>82.0</v>
      </c>
      <c r="E2945" s="28" t="s">
        <v>7936</v>
      </c>
      <c r="F2945" s="7" t="str">
        <f>IFERROR(__xludf.DUMMYFUNCTION("GOOGLETRANSLATE(B2945:B5064,""en"",""fr"")"),"procès")</f>
        <v>procès</v>
      </c>
    </row>
    <row r="2946" ht="19.5" customHeight="1">
      <c r="A2946" s="26" t="s">
        <v>7937</v>
      </c>
      <c r="B2946" s="27" t="s">
        <v>7938</v>
      </c>
      <c r="C2946" s="28" t="s">
        <v>178</v>
      </c>
      <c r="D2946" s="29">
        <v>82.0</v>
      </c>
      <c r="E2946" s="28" t="s">
        <v>7939</v>
      </c>
      <c r="F2946" s="7" t="str">
        <f>IFERROR(__xludf.DUMMYFUNCTION("GOOGLETRANSLATE(B2946:B5064,""en"",""fr"")"),"conférence")</f>
        <v>conférence</v>
      </c>
    </row>
    <row r="2947" ht="19.5" customHeight="1">
      <c r="A2947" s="26" t="s">
        <v>7940</v>
      </c>
      <c r="B2947" s="27" t="s">
        <v>7941</v>
      </c>
      <c r="C2947" s="28" t="s">
        <v>134</v>
      </c>
      <c r="D2947" s="29">
        <v>82.0</v>
      </c>
      <c r="E2947" s="28" t="s">
        <v>7941</v>
      </c>
      <c r="F2947" s="7" t="str">
        <f>IFERROR(__xludf.DUMMYFUNCTION("GOOGLETRANSLATE(B2947:B5064,""en"",""fr"")"),"mystérieux")</f>
        <v>mystérieux</v>
      </c>
    </row>
    <row r="2948" ht="19.5" customHeight="1">
      <c r="A2948" s="26" t="s">
        <v>7942</v>
      </c>
      <c r="B2948" s="27" t="s">
        <v>7943</v>
      </c>
      <c r="C2948" s="28" t="s">
        <v>134</v>
      </c>
      <c r="D2948" s="29">
        <v>82.0</v>
      </c>
      <c r="E2948" s="28" t="s">
        <v>7944</v>
      </c>
      <c r="F2948" s="7" t="str">
        <f>IFERROR(__xludf.DUMMYFUNCTION("GOOGLETRANSLATE(B2948:B5064,""en"",""fr"")"),"agréable")</f>
        <v>agréable</v>
      </c>
    </row>
    <row r="2949" ht="19.5" customHeight="1">
      <c r="A2949" s="26" t="s">
        <v>7945</v>
      </c>
      <c r="B2949" s="27" t="s">
        <v>7946</v>
      </c>
      <c r="C2949" s="28" t="s">
        <v>178</v>
      </c>
      <c r="D2949" s="29">
        <v>82.0</v>
      </c>
      <c r="E2949" s="28" t="s">
        <v>7947</v>
      </c>
      <c r="F2949" s="7" t="str">
        <f>IFERROR(__xludf.DUMMYFUNCTION("GOOGLETRANSLATE(B2949:B5064,""en"",""fr"")"),"grossesse")</f>
        <v>grossesse</v>
      </c>
    </row>
    <row r="2950" ht="19.5" customHeight="1">
      <c r="A2950" s="26" t="s">
        <v>7948</v>
      </c>
      <c r="B2950" s="27" t="s">
        <v>4795</v>
      </c>
      <c r="C2950" s="28" t="s">
        <v>178</v>
      </c>
      <c r="D2950" s="29">
        <v>82.0</v>
      </c>
      <c r="E2950" s="28" t="s">
        <v>7949</v>
      </c>
      <c r="F2950" s="7" t="str">
        <f>IFERROR(__xludf.DUMMYFUNCTION("GOOGLETRANSLATE(B2950:B5064,""en"",""fr"")"),"professionnel")</f>
        <v>professionnel</v>
      </c>
    </row>
    <row r="2951" ht="19.5" customHeight="1">
      <c r="A2951" s="26" t="s">
        <v>7950</v>
      </c>
      <c r="B2951" s="27" t="s">
        <v>7951</v>
      </c>
      <c r="C2951" s="28" t="s">
        <v>178</v>
      </c>
      <c r="D2951" s="29">
        <v>82.0</v>
      </c>
      <c r="E2951" s="28" t="s">
        <v>7952</v>
      </c>
      <c r="F2951" s="7" t="str">
        <f>IFERROR(__xludf.DUMMYFUNCTION("GOOGLETRANSLATE(B2951:B5064,""en"",""fr"")"),"récompense")</f>
        <v>récompense</v>
      </c>
    </row>
    <row r="2952" ht="19.5" customHeight="1">
      <c r="A2952" s="26" t="s">
        <v>7953</v>
      </c>
      <c r="B2952" s="27" t="s">
        <v>5540</v>
      </c>
      <c r="C2952" s="28" t="s">
        <v>32</v>
      </c>
      <c r="D2952" s="29">
        <v>82.0</v>
      </c>
      <c r="E2952" s="28" t="s">
        <v>7954</v>
      </c>
      <c r="F2952" s="7" t="str">
        <f>IFERROR(__xludf.DUMMYFUNCTION("GOOGLETRANSLATE(B2952:B5064,""en"",""fr"")"),"risque")</f>
        <v>risque</v>
      </c>
    </row>
    <row r="2953" ht="19.5" customHeight="1">
      <c r="A2953" s="26" t="s">
        <v>7955</v>
      </c>
      <c r="B2953" s="27" t="s">
        <v>7956</v>
      </c>
      <c r="C2953" s="28" t="s">
        <v>178</v>
      </c>
      <c r="D2953" s="29">
        <v>82.0</v>
      </c>
      <c r="E2953" s="28" t="s">
        <v>7957</v>
      </c>
      <c r="F2953" s="7" t="str">
        <f>IFERROR(__xludf.DUMMYFUNCTION("GOOGLETRANSLATE(B2953:B5064,""en"",""fr"")"),"rose")</f>
        <v>rose</v>
      </c>
    </row>
    <row r="2954" ht="19.5" customHeight="1">
      <c r="A2954" s="26" t="s">
        <v>7958</v>
      </c>
      <c r="B2954" s="27" t="s">
        <v>7959</v>
      </c>
      <c r="C2954" s="28" t="s">
        <v>134</v>
      </c>
      <c r="D2954" s="29">
        <v>82.0</v>
      </c>
      <c r="E2954" s="28" t="s">
        <v>7959</v>
      </c>
      <c r="F2954" s="7" t="str">
        <f>IFERROR(__xludf.DUMMYFUNCTION("GOOGLETRANSLATE(B2954:B5064,""en"",""fr"")"),"scientifique")</f>
        <v>scientifique</v>
      </c>
    </row>
    <row r="2955" ht="19.5" customHeight="1">
      <c r="A2955" s="26" t="s">
        <v>7960</v>
      </c>
      <c r="B2955" s="27" t="s">
        <v>7961</v>
      </c>
      <c r="C2955" s="28" t="s">
        <v>100</v>
      </c>
      <c r="D2955" s="29">
        <v>82.0</v>
      </c>
      <c r="E2955" s="28" t="s">
        <v>7961</v>
      </c>
      <c r="F2955" s="7" t="str">
        <f>IFERROR(__xludf.DUMMYFUNCTION("GOOGLETRANSLATE(B2955:B5064,""en"",""fr"")"),"spécifiquement")</f>
        <v>spécifiquement</v>
      </c>
    </row>
    <row r="2956" ht="19.5" customHeight="1">
      <c r="A2956" s="26" t="s">
        <v>7962</v>
      </c>
      <c r="B2956" s="27" t="s">
        <v>7963</v>
      </c>
      <c r="C2956" s="28" t="s">
        <v>178</v>
      </c>
      <c r="D2956" s="29">
        <v>82.0</v>
      </c>
      <c r="E2956" s="28" t="s">
        <v>7964</v>
      </c>
      <c r="F2956" s="7" t="str">
        <f>IFERROR(__xludf.DUMMYFUNCTION("GOOGLETRANSLATE(B2956:B5064,""en"",""fr"")"),"régler")</f>
        <v>régler</v>
      </c>
    </row>
    <row r="2957" ht="19.5" customHeight="1">
      <c r="A2957" s="26" t="s">
        <v>7965</v>
      </c>
      <c r="B2957" s="27" t="s">
        <v>7966</v>
      </c>
      <c r="C2957" s="28" t="s">
        <v>178</v>
      </c>
      <c r="D2957" s="29">
        <v>81.0</v>
      </c>
      <c r="E2957" s="28" t="s">
        <v>7967</v>
      </c>
      <c r="F2957" s="7" t="str">
        <f>IFERROR(__xludf.DUMMYFUNCTION("GOOGLETRANSLATE(B2957:B5064,""en"",""fr"")"),"acide")</f>
        <v>acide</v>
      </c>
    </row>
    <row r="2958" ht="19.5" customHeight="1">
      <c r="A2958" s="26" t="s">
        <v>7968</v>
      </c>
      <c r="B2958" s="27" t="s">
        <v>7969</v>
      </c>
      <c r="C2958" s="28" t="s">
        <v>85</v>
      </c>
      <c r="D2958" s="29">
        <v>81.0</v>
      </c>
      <c r="E2958" s="28" t="s">
        <v>7969</v>
      </c>
      <c r="F2958" s="7" t="str">
        <f>IFERROR(__xludf.DUMMYFUNCTION("GOOGLETRANSLATE(B2958:B5064,""en"",""fr"")"),"arth")</f>
        <v>arth</v>
      </c>
    </row>
    <row r="2959" ht="19.5" customHeight="1">
      <c r="A2959" s="26" t="s">
        <v>7970</v>
      </c>
      <c r="B2959" s="27" t="s">
        <v>7971</v>
      </c>
      <c r="C2959" s="28" t="s">
        <v>178</v>
      </c>
      <c r="D2959" s="29">
        <v>81.0</v>
      </c>
      <c r="E2959" s="28" t="s">
        <v>7972</v>
      </c>
      <c r="F2959" s="7" t="str">
        <f>IFERROR(__xludf.DUMMYFUNCTION("GOOGLETRANSLATE(B2959:B5064,""en"",""fr"")"),"candidat")</f>
        <v>candidat</v>
      </c>
    </row>
    <row r="2960" ht="19.5" customHeight="1">
      <c r="A2960" s="26" t="s">
        <v>7973</v>
      </c>
      <c r="B2960" s="27" t="s">
        <v>7974</v>
      </c>
      <c r="C2960" s="28" t="s">
        <v>100</v>
      </c>
      <c r="D2960" s="29">
        <v>81.0</v>
      </c>
      <c r="E2960" s="28" t="s">
        <v>7974</v>
      </c>
      <c r="F2960" s="7" t="str">
        <f>IFERROR(__xludf.DUMMYFUNCTION("GOOGLETRANSLATE(B2960:B5064,""en"",""fr"")"),"différemment")</f>
        <v>différemment</v>
      </c>
    </row>
    <row r="2961" ht="19.5" customHeight="1">
      <c r="A2961" s="26" t="s">
        <v>7975</v>
      </c>
      <c r="B2961" s="27" t="s">
        <v>7976</v>
      </c>
      <c r="C2961" s="28" t="s">
        <v>178</v>
      </c>
      <c r="D2961" s="29">
        <v>81.0</v>
      </c>
      <c r="E2961" s="28" t="s">
        <v>7977</v>
      </c>
      <c r="F2961" s="7" t="str">
        <f>IFERROR(__xludf.DUMMYFUNCTION("GOOGLETRANSLATE(B2961:B5064,""en"",""fr"")"),"économie")</f>
        <v>économie</v>
      </c>
    </row>
    <row r="2962" ht="19.5" customHeight="1">
      <c r="A2962" s="26" t="s">
        <v>7978</v>
      </c>
      <c r="B2962" s="27" t="s">
        <v>7979</v>
      </c>
      <c r="C2962" s="28" t="s">
        <v>150</v>
      </c>
      <c r="D2962" s="29">
        <v>81.0</v>
      </c>
      <c r="E2962" s="28" t="s">
        <v>7980</v>
      </c>
      <c r="F2962" s="7" t="str">
        <f>IFERROR(__xludf.DUMMYFUNCTION("GOOGLETRANSLATE(B2962:B5064,""en"",""fr"")"),"quatre-vingts")</f>
        <v>quatre-vingts</v>
      </c>
    </row>
    <row r="2963" ht="19.5" customHeight="1">
      <c r="A2963" s="26" t="s">
        <v>7981</v>
      </c>
      <c r="B2963" s="27" t="s">
        <v>7982</v>
      </c>
      <c r="C2963" s="28" t="s">
        <v>178</v>
      </c>
      <c r="D2963" s="29">
        <v>81.0</v>
      </c>
      <c r="E2963" s="28" t="s">
        <v>7983</v>
      </c>
      <c r="F2963" s="7" t="str">
        <f>IFERROR(__xludf.DUMMYFUNCTION("GOOGLETRANSLATE(B2963:B5064,""en"",""fr"")"),"frais")</f>
        <v>frais</v>
      </c>
    </row>
    <row r="2964" ht="19.5" customHeight="1">
      <c r="A2964" s="26" t="s">
        <v>7984</v>
      </c>
      <c r="B2964" s="27" t="s">
        <v>7985</v>
      </c>
      <c r="C2964" s="28" t="s">
        <v>178</v>
      </c>
      <c r="D2964" s="29">
        <v>81.0</v>
      </c>
      <c r="E2964" s="28" t="s">
        <v>7986</v>
      </c>
      <c r="F2964" s="7" t="str">
        <f>IFERROR(__xludf.DUMMYFUNCTION("GOOGLETRANSLATE(B2964:B5064,""en"",""fr"")"),"flamme")</f>
        <v>flamme</v>
      </c>
    </row>
    <row r="2965" ht="19.5" customHeight="1">
      <c r="A2965" s="26" t="s">
        <v>7987</v>
      </c>
      <c r="B2965" s="27" t="s">
        <v>7988</v>
      </c>
      <c r="C2965" s="28" t="s">
        <v>178</v>
      </c>
      <c r="D2965" s="29">
        <v>81.0</v>
      </c>
      <c r="E2965" s="28" t="s">
        <v>7989</v>
      </c>
      <c r="F2965" s="7" t="str">
        <f>IFERROR(__xludf.DUMMYFUNCTION("GOOGLETRANSLATE(B2965:B5064,""en"",""fr"")"),"fondation")</f>
        <v>fondation</v>
      </c>
    </row>
    <row r="2966" ht="19.5" customHeight="1">
      <c r="A2966" s="26" t="s">
        <v>7990</v>
      </c>
      <c r="B2966" s="27" t="s">
        <v>7991</v>
      </c>
      <c r="C2966" s="28" t="s">
        <v>178</v>
      </c>
      <c r="D2966" s="29">
        <v>81.0</v>
      </c>
      <c r="E2966" s="28" t="s">
        <v>7992</v>
      </c>
      <c r="F2966" s="7" t="str">
        <f>IFERROR(__xludf.DUMMYFUNCTION("GOOGLETRANSLATE(B2966:B5064,""en"",""fr"")"),"articulation")</f>
        <v>articulation</v>
      </c>
    </row>
    <row r="2967" ht="19.5" customHeight="1">
      <c r="A2967" s="26" t="s">
        <v>7993</v>
      </c>
      <c r="B2967" s="27" t="s">
        <v>7994</v>
      </c>
      <c r="C2967" s="28" t="s">
        <v>85</v>
      </c>
      <c r="D2967" s="29">
        <v>81.0</v>
      </c>
      <c r="E2967" s="28" t="s">
        <v>7994</v>
      </c>
      <c r="F2967" s="7" t="str">
        <f>IFERROR(__xludf.DUMMYFUNCTION("GOOGLETRANSLATE(B2967:B5064,""en"",""fr"")"),"oy")</f>
        <v>oy</v>
      </c>
    </row>
    <row r="2968" ht="19.5" customHeight="1">
      <c r="A2968" s="26" t="s">
        <v>7995</v>
      </c>
      <c r="B2968" s="27" t="s">
        <v>7996</v>
      </c>
      <c r="C2968" s="28" t="s">
        <v>178</v>
      </c>
      <c r="D2968" s="29">
        <v>81.0</v>
      </c>
      <c r="E2968" s="28" t="s">
        <v>7997</v>
      </c>
      <c r="F2968" s="7" t="str">
        <f>IFERROR(__xludf.DUMMYFUNCTION("GOOGLETRANSLATE(B2968:B5064,""en"",""fr"")"),"Châtiment")</f>
        <v>Châtiment</v>
      </c>
    </row>
    <row r="2969" ht="19.5" customHeight="1">
      <c r="A2969" s="26" t="s">
        <v>7998</v>
      </c>
      <c r="B2969" s="27" t="s">
        <v>7999</v>
      </c>
      <c r="C2969" s="28" t="s">
        <v>178</v>
      </c>
      <c r="D2969" s="29">
        <v>81.0</v>
      </c>
      <c r="E2969" s="28" t="s">
        <v>8000</v>
      </c>
      <c r="F2969" s="7" t="str">
        <f>IFERROR(__xludf.DUMMYFUNCTION("GOOGLETRANSLATE(B2969:B5064,""en"",""fr"")"),"se rallier")</f>
        <v>se rallier</v>
      </c>
    </row>
    <row r="2970" ht="19.5" customHeight="1">
      <c r="A2970" s="26" t="s">
        <v>8001</v>
      </c>
      <c r="B2970" s="27" t="s">
        <v>8002</v>
      </c>
      <c r="C2970" s="28" t="s">
        <v>178</v>
      </c>
      <c r="D2970" s="29">
        <v>81.0</v>
      </c>
      <c r="E2970" s="28" t="s">
        <v>8003</v>
      </c>
      <c r="F2970" s="7" t="str">
        <f>IFERROR(__xludf.DUMMYFUNCTION("GOOGLETRANSLATE(B2970:B5064,""en"",""fr"")"),"réception")</f>
        <v>réception</v>
      </c>
    </row>
    <row r="2971" ht="19.5" customHeight="1">
      <c r="A2971" s="26" t="s">
        <v>8004</v>
      </c>
      <c r="B2971" s="27" t="s">
        <v>8005</v>
      </c>
      <c r="C2971" s="28" t="s">
        <v>178</v>
      </c>
      <c r="D2971" s="29">
        <v>81.0</v>
      </c>
      <c r="E2971" s="28" t="s">
        <v>8006</v>
      </c>
      <c r="F2971" s="7" t="str">
        <f>IFERROR(__xludf.DUMMYFUNCTION("GOOGLETRANSLATE(B2971:B5064,""en"",""fr"")"),"demande")</f>
        <v>demande</v>
      </c>
    </row>
    <row r="2972" ht="19.5" customHeight="1">
      <c r="A2972" s="26" t="s">
        <v>8007</v>
      </c>
      <c r="B2972" s="27" t="s">
        <v>8008</v>
      </c>
      <c r="C2972" s="28" t="s">
        <v>32</v>
      </c>
      <c r="D2972" s="29">
        <v>81.0</v>
      </c>
      <c r="E2972" s="28" t="s">
        <v>8009</v>
      </c>
      <c r="F2972" s="7" t="str">
        <f>IFERROR(__xludf.DUMMYFUNCTION("GOOGLETRANSLATE(B2972:B5064,""en"",""fr"")"),"résister")</f>
        <v>résister</v>
      </c>
    </row>
    <row r="2973" ht="19.5" customHeight="1">
      <c r="A2973" s="26" t="s">
        <v>8010</v>
      </c>
      <c r="B2973" s="27" t="s">
        <v>5388</v>
      </c>
      <c r="C2973" s="28" t="s">
        <v>32</v>
      </c>
      <c r="D2973" s="29">
        <v>81.0</v>
      </c>
      <c r="E2973" s="28" t="s">
        <v>8011</v>
      </c>
      <c r="F2973" s="7" t="str">
        <f>IFERROR(__xludf.DUMMYFUNCTION("GOOGLETRANSLATE(B2973:B5064,""en"",""fr"")"),"calendrier")</f>
        <v>calendrier</v>
      </c>
    </row>
    <row r="2974" ht="19.5" customHeight="1">
      <c r="A2974" s="26" t="s">
        <v>8012</v>
      </c>
      <c r="B2974" s="27" t="s">
        <v>8013</v>
      </c>
      <c r="C2974" s="28" t="s">
        <v>150</v>
      </c>
      <c r="D2974" s="29">
        <v>81.0</v>
      </c>
      <c r="E2974" s="28" t="s">
        <v>8013</v>
      </c>
      <c r="F2974" s="7" t="str">
        <f>IFERROR(__xludf.DUMMYFUNCTION("GOOGLETRANSLATE(B2974:B5064,""en"",""fr"")"),"sept cent")</f>
        <v>sept cent</v>
      </c>
    </row>
    <row r="2975" ht="19.5" customHeight="1">
      <c r="A2975" s="26" t="s">
        <v>8014</v>
      </c>
      <c r="B2975" s="27" t="s">
        <v>8015</v>
      </c>
      <c r="C2975" s="28" t="s">
        <v>178</v>
      </c>
      <c r="D2975" s="29">
        <v>81.0</v>
      </c>
      <c r="E2975" s="28" t="s">
        <v>8016</v>
      </c>
      <c r="F2975" s="7" t="str">
        <f>IFERROR(__xludf.DUMMYFUNCTION("GOOGLETRANSLATE(B2975:B5064,""en"",""fr"")"),"choc")</f>
        <v>choc</v>
      </c>
    </row>
    <row r="2976" ht="19.5" customHeight="1">
      <c r="A2976" s="26" t="s">
        <v>8017</v>
      </c>
      <c r="B2976" s="27" t="s">
        <v>8018</v>
      </c>
      <c r="C2976" s="28" t="s">
        <v>134</v>
      </c>
      <c r="D2976" s="29">
        <v>81.0</v>
      </c>
      <c r="E2976" s="28" t="s">
        <v>8019</v>
      </c>
      <c r="F2976" s="7" t="str">
        <f>IFERROR(__xludf.DUMMYFUNCTION("GOOGLETRANSLATE(B2976:B5064,""en"",""fr"")"),"douloureux")</f>
        <v>douloureux</v>
      </c>
    </row>
    <row r="2977" ht="19.5" customHeight="1">
      <c r="A2977" s="26" t="s">
        <v>8020</v>
      </c>
      <c r="B2977" s="27" t="s">
        <v>8021</v>
      </c>
      <c r="C2977" s="28" t="s">
        <v>32</v>
      </c>
      <c r="D2977" s="29">
        <v>81.0</v>
      </c>
      <c r="E2977" s="28" t="s">
        <v>8022</v>
      </c>
      <c r="F2977" s="7" t="str">
        <f>IFERROR(__xludf.DUMMYFUNCTION("GOOGLETRANSLATE(B2977:B5064,""en"",""fr"")"),"suspect")</f>
        <v>suspect</v>
      </c>
    </row>
    <row r="2978" ht="19.5" customHeight="1">
      <c r="A2978" s="26" t="s">
        <v>8023</v>
      </c>
      <c r="B2978" s="27" t="s">
        <v>8024</v>
      </c>
      <c r="C2978" s="28" t="s">
        <v>178</v>
      </c>
      <c r="D2978" s="29">
        <v>81.0</v>
      </c>
      <c r="E2978" s="28" t="s">
        <v>8025</v>
      </c>
      <c r="F2978" s="7" t="str">
        <f>IFERROR(__xludf.DUMMYFUNCTION("GOOGLETRANSLATE(B2978:B5064,""en"",""fr"")"),"syndicat")</f>
        <v>syndicat</v>
      </c>
    </row>
    <row r="2979" ht="19.5" customHeight="1">
      <c r="A2979" s="26" t="s">
        <v>8026</v>
      </c>
      <c r="B2979" s="27" t="s">
        <v>8027</v>
      </c>
      <c r="C2979" s="28" t="s">
        <v>178</v>
      </c>
      <c r="D2979" s="29">
        <v>81.0</v>
      </c>
      <c r="E2979" s="28" t="s">
        <v>8028</v>
      </c>
      <c r="F2979" s="7" t="str">
        <f>IFERROR(__xludf.DUMMYFUNCTION("GOOGLETRANSLATE(B2979:B5064,""en"",""fr"")"),"Téléphone")</f>
        <v>Téléphone</v>
      </c>
    </row>
    <row r="2980" ht="19.5" customHeight="1">
      <c r="A2980" s="26" t="s">
        <v>8029</v>
      </c>
      <c r="B2980" s="27" t="s">
        <v>2609</v>
      </c>
      <c r="C2980" s="28" t="s">
        <v>100</v>
      </c>
      <c r="D2980" s="29">
        <v>80.0</v>
      </c>
      <c r="E2980" s="28" t="s">
        <v>2609</v>
      </c>
      <c r="F2980" s="7" t="str">
        <f>IFERROR(__xludf.DUMMYFUNCTION("GOOGLETRANSLATE(B2980:B5064,""en"",""fr"")"),"supplémentaire")</f>
        <v>supplémentaire</v>
      </c>
    </row>
    <row r="2981" ht="19.5" customHeight="1">
      <c r="A2981" s="26" t="s">
        <v>8030</v>
      </c>
      <c r="B2981" s="27" t="s">
        <v>8031</v>
      </c>
      <c r="C2981" s="28" t="s">
        <v>32</v>
      </c>
      <c r="D2981" s="29">
        <v>80.0</v>
      </c>
      <c r="E2981" s="28" t="s">
        <v>8032</v>
      </c>
      <c r="F2981" s="7" t="str">
        <f>IFERROR(__xludf.DUMMYFUNCTION("GOOGLETRANSLATE(B2981:B5064,""en"",""fr"")"),"accuser")</f>
        <v>accuser</v>
      </c>
    </row>
    <row r="2982" ht="19.5" customHeight="1">
      <c r="A2982" s="26" t="s">
        <v>8033</v>
      </c>
      <c r="B2982" s="27" t="s">
        <v>8034</v>
      </c>
      <c r="C2982" s="28" t="s">
        <v>178</v>
      </c>
      <c r="D2982" s="29">
        <v>80.0</v>
      </c>
      <c r="E2982" s="28" t="s">
        <v>8035</v>
      </c>
      <c r="F2982" s="7" t="str">
        <f>IFERROR(__xludf.DUMMYFUNCTION("GOOGLETRANSLATE(B2982:B5064,""en"",""fr"")"),"singe")</f>
        <v>singe</v>
      </c>
    </row>
    <row r="2983" ht="19.5" customHeight="1">
      <c r="A2983" s="26" t="s">
        <v>8036</v>
      </c>
      <c r="B2983" s="27" t="s">
        <v>8037</v>
      </c>
      <c r="C2983" s="28" t="s">
        <v>178</v>
      </c>
      <c r="D2983" s="29">
        <v>80.0</v>
      </c>
      <c r="E2983" s="28" t="s">
        <v>8038</v>
      </c>
      <c r="F2983" s="7" t="str">
        <f>IFERROR(__xludf.DUMMYFUNCTION("GOOGLETRANSLATE(B2983:B5064,""en"",""fr"")"),"badge")</f>
        <v>badge</v>
      </c>
    </row>
    <row r="2984" ht="19.5" customHeight="1">
      <c r="A2984" s="26" t="s">
        <v>8039</v>
      </c>
      <c r="B2984" s="27" t="s">
        <v>8040</v>
      </c>
      <c r="C2984" s="28" t="s">
        <v>178</v>
      </c>
      <c r="D2984" s="29">
        <v>80.0</v>
      </c>
      <c r="E2984" s="28" t="s">
        <v>8041</v>
      </c>
      <c r="F2984" s="7" t="str">
        <f>IFERROR(__xludf.DUMMYFUNCTION("GOOGLETRANSLATE(B2984:B5064,""en"",""fr"")"),"Grange")</f>
        <v>Grange</v>
      </c>
    </row>
    <row r="2985" ht="19.5" customHeight="1">
      <c r="A2985" s="26" t="s">
        <v>8042</v>
      </c>
      <c r="B2985" s="27" t="s">
        <v>8043</v>
      </c>
      <c r="C2985" s="28" t="s">
        <v>178</v>
      </c>
      <c r="D2985" s="29">
        <v>80.0</v>
      </c>
      <c r="E2985" s="28" t="s">
        <v>8044</v>
      </c>
      <c r="F2985" s="7" t="str">
        <f>IFERROR(__xludf.DUMMYFUNCTION("GOOGLETRANSLATE(B2985:B5064,""en"",""fr"")"),"mâle")</f>
        <v>mâle</v>
      </c>
    </row>
    <row r="2986" ht="19.5" customHeight="1">
      <c r="A2986" s="26" t="s">
        <v>8045</v>
      </c>
      <c r="B2986" s="27" t="s">
        <v>1127</v>
      </c>
      <c r="C2986" s="28" t="s">
        <v>178</v>
      </c>
      <c r="D2986" s="29">
        <v>80.0</v>
      </c>
      <c r="E2986" s="28" t="s">
        <v>8046</v>
      </c>
      <c r="F2986" s="7" t="str">
        <f>IFERROR(__xludf.DUMMYFUNCTION("GOOGLETRANSLATE(B2986:B5064,""en"",""fr"")"),"attraper")</f>
        <v>attraper</v>
      </c>
    </row>
    <row r="2987" ht="19.5" customHeight="1">
      <c r="A2987" s="26" t="s">
        <v>8047</v>
      </c>
      <c r="B2987" s="27" t="s">
        <v>8048</v>
      </c>
      <c r="C2987" s="28" t="s">
        <v>32</v>
      </c>
      <c r="D2987" s="29">
        <v>80.0</v>
      </c>
      <c r="E2987" s="28" t="s">
        <v>8049</v>
      </c>
      <c r="F2987" s="7" t="str">
        <f>IFERROR(__xludf.DUMMYFUNCTION("GOOGLETRANSLATE(B2987:B5064,""en"",""fr"")"),"diviser")</f>
        <v>diviser</v>
      </c>
    </row>
    <row r="2988" ht="19.5" customHeight="1">
      <c r="A2988" s="26" t="s">
        <v>8050</v>
      </c>
      <c r="B2988" s="27" t="s">
        <v>8051</v>
      </c>
      <c r="C2988" s="28" t="s">
        <v>178</v>
      </c>
      <c r="D2988" s="29">
        <v>80.0</v>
      </c>
      <c r="E2988" s="28" t="s">
        <v>8052</v>
      </c>
      <c r="F2988" s="7" t="str">
        <f>IFERROR(__xludf.DUMMYFUNCTION("GOOGLETRANSLATE(B2988:B5064,""en"",""fr"")"),"éternité")</f>
        <v>éternité</v>
      </c>
    </row>
    <row r="2989" ht="19.5" customHeight="1">
      <c r="A2989" s="26" t="s">
        <v>8053</v>
      </c>
      <c r="B2989" s="27" t="s">
        <v>8054</v>
      </c>
      <c r="C2989" s="28" t="s">
        <v>134</v>
      </c>
      <c r="D2989" s="29">
        <v>80.0</v>
      </c>
      <c r="E2989" s="28" t="s">
        <v>8054</v>
      </c>
      <c r="F2989" s="7" t="str">
        <f>IFERROR(__xludf.DUMMYFUNCTION("GOOGLETRANSLATE(B2989:B5064,""en"",""fr"")"),"désespéré")</f>
        <v>désespéré</v>
      </c>
    </row>
    <row r="2990" ht="19.5" customHeight="1">
      <c r="A2990" s="26" t="s">
        <v>8055</v>
      </c>
      <c r="B2990" s="27" t="s">
        <v>8056</v>
      </c>
      <c r="C2990" s="28" t="s">
        <v>178</v>
      </c>
      <c r="D2990" s="29">
        <v>80.0</v>
      </c>
      <c r="E2990" s="28" t="s">
        <v>8057</v>
      </c>
      <c r="F2990" s="7" t="str">
        <f>IFERROR(__xludf.DUMMYFUNCTION("GOOGLETRANSLATE(B2990:B5064,""en"",""fr"")"),"intervention")</f>
        <v>intervention</v>
      </c>
    </row>
    <row r="2991" ht="19.5" customHeight="1">
      <c r="A2991" s="26" t="s">
        <v>8058</v>
      </c>
      <c r="B2991" s="27" t="s">
        <v>7884</v>
      </c>
      <c r="C2991" s="28" t="s">
        <v>32</v>
      </c>
      <c r="D2991" s="29">
        <v>80.0</v>
      </c>
      <c r="E2991" s="28" t="s">
        <v>8059</v>
      </c>
      <c r="F2991" s="7" t="str">
        <f>IFERROR(__xludf.DUMMYFUNCTION("GOOGLETRANSLATE(B2991:B5064,""en"",""fr"")"),"Confiture")</f>
        <v>Confiture</v>
      </c>
    </row>
    <row r="2992" ht="19.5" customHeight="1">
      <c r="A2992" s="26" t="s">
        <v>8060</v>
      </c>
      <c r="B2992" s="27" t="s">
        <v>2104</v>
      </c>
      <c r="C2992" s="28" t="s">
        <v>85</v>
      </c>
      <c r="D2992" s="29">
        <v>80.0</v>
      </c>
      <c r="E2992" s="28" t="s">
        <v>2104</v>
      </c>
      <c r="F2992" s="7" t="str">
        <f>IFERROR(__xludf.DUMMYFUNCTION("GOOGLETRANSLATE(B2992:B5064,""en"",""fr"")"),"frappe")</f>
        <v>frappe</v>
      </c>
    </row>
    <row r="2993" ht="19.5" customHeight="1">
      <c r="A2993" s="26" t="s">
        <v>8061</v>
      </c>
      <c r="B2993" s="27" t="s">
        <v>8062</v>
      </c>
      <c r="C2993" s="28" t="s">
        <v>178</v>
      </c>
      <c r="D2993" s="29">
        <v>80.0</v>
      </c>
      <c r="E2993" s="28" t="s">
        <v>8063</v>
      </c>
      <c r="F2993" s="7" t="str">
        <f>IFERROR(__xludf.DUMMYFUNCTION("GOOGLETRANSLATE(B2993:B5064,""en"",""fr"")"),"matelas")</f>
        <v>matelas</v>
      </c>
    </row>
    <row r="2994" ht="19.5" customHeight="1">
      <c r="A2994" s="26" t="s">
        <v>8064</v>
      </c>
      <c r="B2994" s="27" t="s">
        <v>8065</v>
      </c>
      <c r="C2994" s="28" t="s">
        <v>178</v>
      </c>
      <c r="D2994" s="29">
        <v>80.0</v>
      </c>
      <c r="E2994" s="28" t="s">
        <v>8066</v>
      </c>
      <c r="F2994" s="7" t="str">
        <f>IFERROR(__xludf.DUMMYFUNCTION("GOOGLETRANSLATE(B2994:B5064,""en"",""fr"")"),"millionnaire")</f>
        <v>millionnaire</v>
      </c>
    </row>
    <row r="2995" ht="19.5" customHeight="1">
      <c r="A2995" s="26" t="s">
        <v>8067</v>
      </c>
      <c r="B2995" s="27" t="s">
        <v>8068</v>
      </c>
      <c r="C2995" s="28" t="s">
        <v>32</v>
      </c>
      <c r="D2995" s="29">
        <v>80.0</v>
      </c>
      <c r="E2995" s="28" t="s">
        <v>8069</v>
      </c>
      <c r="F2995" s="7" t="str">
        <f>IFERROR(__xludf.DUMMYFUNCTION("GOOGLETRANSLATE(B2995:B5064,""en"",""fr"")"),"observer")</f>
        <v>observer</v>
      </c>
    </row>
    <row r="2996" ht="19.5" customHeight="1">
      <c r="A2996" s="26" t="s">
        <v>8070</v>
      </c>
      <c r="B2996" s="27" t="s">
        <v>8071</v>
      </c>
      <c r="C2996" s="28" t="s">
        <v>32</v>
      </c>
      <c r="D2996" s="29">
        <v>80.0</v>
      </c>
      <c r="E2996" s="28" t="s">
        <v>8072</v>
      </c>
      <c r="F2996" s="7" t="str">
        <f>IFERROR(__xludf.DUMMYFUNCTION("GOOGLETRANSLATE(B2996:B5064,""en"",""fr"")"),"réagir")</f>
        <v>réagir</v>
      </c>
    </row>
    <row r="2997" ht="19.5" customHeight="1">
      <c r="A2997" s="26" t="s">
        <v>8073</v>
      </c>
      <c r="B2997" s="27" t="s">
        <v>8074</v>
      </c>
      <c r="C2997" s="28" t="s">
        <v>178</v>
      </c>
      <c r="D2997" s="29">
        <v>80.0</v>
      </c>
      <c r="E2997" s="28" t="s">
        <v>8075</v>
      </c>
      <c r="F2997" s="7" t="str">
        <f>IFERROR(__xludf.DUMMYFUNCTION("GOOGLETRANSLATE(B2997:B5064,""en"",""fr"")"),"conférencier")</f>
        <v>conférencier</v>
      </c>
    </row>
    <row r="2998" ht="19.5" customHeight="1">
      <c r="A2998" s="26" t="s">
        <v>8076</v>
      </c>
      <c r="B2998" s="27" t="s">
        <v>8077</v>
      </c>
      <c r="C2998" s="28" t="s">
        <v>134</v>
      </c>
      <c r="D2998" s="29">
        <v>80.0</v>
      </c>
      <c r="E2998" s="28" t="s">
        <v>8078</v>
      </c>
      <c r="F2998" s="7" t="str">
        <f>IFERROR(__xludf.DUMMYFUNCTION("GOOGLETRANSLATE(B2998:B5064,""en"",""fr"")"),"épicé")</f>
        <v>épicé</v>
      </c>
    </row>
    <row r="2999" ht="19.5" customHeight="1">
      <c r="A2999" s="26" t="s">
        <v>8079</v>
      </c>
      <c r="B2999" s="27" t="s">
        <v>8080</v>
      </c>
      <c r="C2999" s="28" t="s">
        <v>178</v>
      </c>
      <c r="D2999" s="29">
        <v>80.0</v>
      </c>
      <c r="E2999" s="28" t="s">
        <v>8081</v>
      </c>
      <c r="F2999" s="7" t="str">
        <f>IFERROR(__xludf.DUMMYFUNCTION("GOOGLETRANSLATE(B2999:B5064,""en"",""fr"")"),"stade")</f>
        <v>stade</v>
      </c>
    </row>
    <row r="3000" ht="19.5" customHeight="1">
      <c r="A3000" s="26" t="s">
        <v>8082</v>
      </c>
      <c r="B3000" s="27" t="s">
        <v>8083</v>
      </c>
      <c r="C3000" s="28" t="s">
        <v>178</v>
      </c>
      <c r="D3000" s="29">
        <v>80.0</v>
      </c>
      <c r="E3000" s="28" t="s">
        <v>8084</v>
      </c>
      <c r="F3000" s="7" t="str">
        <f>IFERROR(__xludf.DUMMYFUNCTION("GOOGLETRANSLATE(B3000:B5064,""en"",""fr"")"),"standard")</f>
        <v>standard</v>
      </c>
    </row>
    <row r="3001" ht="19.5" customHeight="1">
      <c r="A3001" s="26" t="s">
        <v>8085</v>
      </c>
      <c r="B3001" s="27" t="s">
        <v>8086</v>
      </c>
      <c r="C3001" s="28" t="s">
        <v>178</v>
      </c>
      <c r="D3001" s="29">
        <v>80.0</v>
      </c>
      <c r="E3001" s="28" t="s">
        <v>8087</v>
      </c>
      <c r="F3001" s="7" t="str">
        <f>IFERROR(__xludf.DUMMYFUNCTION("GOOGLETRANSLATE(B3001:B5064,""en"",""fr"")"),"syndrome")</f>
        <v>syndrome</v>
      </c>
    </row>
    <row r="3002" ht="19.5" customHeight="1">
      <c r="A3002" s="26" t="s">
        <v>8088</v>
      </c>
      <c r="B3002" s="27" t="s">
        <v>8089</v>
      </c>
      <c r="C3002" s="28" t="s">
        <v>134</v>
      </c>
      <c r="D3002" s="29">
        <v>80.0</v>
      </c>
      <c r="E3002" s="28" t="s">
        <v>8090</v>
      </c>
      <c r="F3002" s="7" t="str">
        <f>IFERROR(__xludf.DUMMYFUNCTION("GOOGLETRANSLATE(B3002:B5064,""en"",""fr"")"),"malheureux")</f>
        <v>malheureux</v>
      </c>
    </row>
    <row r="3003" ht="19.5" customHeight="1">
      <c r="A3003" s="26" t="s">
        <v>8091</v>
      </c>
      <c r="B3003" s="27" t="s">
        <v>8092</v>
      </c>
      <c r="C3003" s="28" t="s">
        <v>178</v>
      </c>
      <c r="D3003" s="29">
        <v>80.0</v>
      </c>
      <c r="E3003" s="28" t="s">
        <v>8093</v>
      </c>
      <c r="F3003" s="7" t="str">
        <f>IFERROR(__xludf.DUMMYFUNCTION("GOOGLETRANSLATE(B3003:B5064,""en"",""fr"")"),"vœu")</f>
        <v>vœu</v>
      </c>
    </row>
    <row r="3004" ht="19.5" customHeight="1">
      <c r="A3004" s="26" t="s">
        <v>8094</v>
      </c>
      <c r="B3004" s="27" t="s">
        <v>215</v>
      </c>
      <c r="C3004" s="28" t="s">
        <v>178</v>
      </c>
      <c r="D3004" s="29">
        <v>80.0</v>
      </c>
      <c r="E3004" s="28" t="s">
        <v>8095</v>
      </c>
      <c r="F3004" s="7" t="str">
        <f>IFERROR(__xludf.DUMMYFUNCTION("GOOGLETRANSLATE(B3004:B5064,""en"",""fr"")"),"volonté")</f>
        <v>volonté</v>
      </c>
    </row>
    <row r="3005" ht="19.5" customHeight="1">
      <c r="A3005" s="26" t="s">
        <v>8096</v>
      </c>
      <c r="B3005" s="27" t="s">
        <v>8097</v>
      </c>
      <c r="C3005" s="28" t="s">
        <v>178</v>
      </c>
      <c r="D3005" s="29">
        <v>80.0</v>
      </c>
      <c r="E3005" s="28" t="s">
        <v>8098</v>
      </c>
      <c r="F3005" s="7" t="str">
        <f>IFERROR(__xludf.DUMMYFUNCTION("GOOGLETRANSLATE(B3005:B5064,""en"",""fr"")"),"jeunesse")</f>
        <v>jeunesse</v>
      </c>
    </row>
    <row r="3006" ht="19.5" customHeight="1">
      <c r="A3006" s="26" t="s">
        <v>8099</v>
      </c>
      <c r="B3006" s="27" t="s">
        <v>8100</v>
      </c>
      <c r="C3006" s="28" t="s">
        <v>32</v>
      </c>
      <c r="D3006" s="29">
        <v>79.0</v>
      </c>
      <c r="E3006" s="28" t="s">
        <v>8101</v>
      </c>
      <c r="F3006" s="7" t="str">
        <f>IFERROR(__xludf.DUMMYFUNCTION("GOOGLETRANSLATE(B3006:B5064,""en"",""fr"")"),"admirer")</f>
        <v>admirer</v>
      </c>
    </row>
    <row r="3007" ht="19.5" customHeight="1">
      <c r="A3007" s="26" t="s">
        <v>8102</v>
      </c>
      <c r="B3007" s="27" t="s">
        <v>8103</v>
      </c>
      <c r="C3007" s="28" t="s">
        <v>178</v>
      </c>
      <c r="D3007" s="29">
        <v>79.0</v>
      </c>
      <c r="E3007" s="28" t="s">
        <v>8104</v>
      </c>
      <c r="F3007" s="7" t="str">
        <f>IFERROR(__xludf.DUMMYFUNCTION("GOOGLETRANSLATE(B3007:B5064,""en"",""fr"")"),"ambulance")</f>
        <v>ambulance</v>
      </c>
    </row>
    <row r="3008" ht="19.5" customHeight="1">
      <c r="A3008" s="26" t="s">
        <v>8105</v>
      </c>
      <c r="B3008" s="27" t="s">
        <v>8106</v>
      </c>
      <c r="C3008" s="28" t="s">
        <v>178</v>
      </c>
      <c r="D3008" s="29">
        <v>79.0</v>
      </c>
      <c r="E3008" s="28" t="s">
        <v>8107</v>
      </c>
      <c r="F3008" s="7" t="str">
        <f>IFERROR(__xludf.DUMMYFUNCTION("GOOGLETRANSLATE(B3008:B5064,""en"",""fr"")"),"prime")</f>
        <v>prime</v>
      </c>
    </row>
    <row r="3009" ht="19.5" customHeight="1">
      <c r="A3009" s="26" t="s">
        <v>8108</v>
      </c>
      <c r="B3009" s="27" t="s">
        <v>8109</v>
      </c>
      <c r="C3009" s="28" t="s">
        <v>178</v>
      </c>
      <c r="D3009" s="29">
        <v>79.0</v>
      </c>
      <c r="E3009" s="28" t="s">
        <v>8110</v>
      </c>
      <c r="F3009" s="7" t="str">
        <f>IFERROR(__xludf.DUMMYFUNCTION("GOOGLETRANSLATE(B3009:B5064,""en"",""fr"")"),"commission")</f>
        <v>commission</v>
      </c>
    </row>
    <row r="3010" ht="19.5" customHeight="1">
      <c r="A3010" s="26" t="s">
        <v>8111</v>
      </c>
      <c r="B3010" s="27" t="s">
        <v>8112</v>
      </c>
      <c r="C3010" s="28" t="s">
        <v>178</v>
      </c>
      <c r="D3010" s="29">
        <v>79.0</v>
      </c>
      <c r="E3010" s="28" t="s">
        <v>8113</v>
      </c>
      <c r="F3010" s="7" t="str">
        <f>IFERROR(__xludf.DUMMYFUNCTION("GOOGLETRANSLATE(B3010:B5064,""en"",""fr"")"),"entrejambe")</f>
        <v>entrejambe</v>
      </c>
    </row>
    <row r="3011" ht="19.5" customHeight="1">
      <c r="A3011" s="26" t="s">
        <v>8114</v>
      </c>
      <c r="B3011" s="27" t="s">
        <v>8115</v>
      </c>
      <c r="C3011" s="28" t="s">
        <v>178</v>
      </c>
      <c r="D3011" s="29">
        <v>79.0</v>
      </c>
      <c r="E3011" s="28" t="s">
        <v>8116</v>
      </c>
      <c r="F3011" s="7" t="str">
        <f>IFERROR(__xludf.DUMMYFUNCTION("GOOGLETRANSLATE(B3011:B5064,""en"",""fr"")"),"cerf")</f>
        <v>cerf</v>
      </c>
    </row>
    <row r="3012" ht="19.5" customHeight="1">
      <c r="A3012" s="26" t="s">
        <v>8117</v>
      </c>
      <c r="B3012" s="27" t="s">
        <v>8118</v>
      </c>
      <c r="C3012" s="28" t="s">
        <v>178</v>
      </c>
      <c r="D3012" s="29">
        <v>79.0</v>
      </c>
      <c r="E3012" s="28" t="s">
        <v>8119</v>
      </c>
      <c r="F3012" s="7" t="str">
        <f>IFERROR(__xludf.DUMMYFUNCTION("GOOGLETRANSLATE(B3012:B5064,""en"",""fr"")"),"Fontaine")</f>
        <v>Fontaine</v>
      </c>
    </row>
    <row r="3013" ht="19.5" customHeight="1">
      <c r="A3013" s="26" t="s">
        <v>8120</v>
      </c>
      <c r="B3013" s="27" t="s">
        <v>8121</v>
      </c>
      <c r="C3013" s="28" t="s">
        <v>178</v>
      </c>
      <c r="D3013" s="29">
        <v>79.0</v>
      </c>
      <c r="E3013" s="28" t="s">
        <v>8122</v>
      </c>
      <c r="F3013" s="7" t="str">
        <f>IFERROR(__xludf.DUMMYFUNCTION("GOOGLETRANSLATE(B3013:B5064,""en"",""fr"")"),"graisse")</f>
        <v>graisse</v>
      </c>
    </row>
    <row r="3014" ht="19.5" customHeight="1">
      <c r="A3014" s="26" t="s">
        <v>8123</v>
      </c>
      <c r="B3014" s="27" t="s">
        <v>8124</v>
      </c>
      <c r="C3014" s="28" t="s">
        <v>178</v>
      </c>
      <c r="D3014" s="29">
        <v>79.0</v>
      </c>
      <c r="E3014" s="28" t="s">
        <v>8125</v>
      </c>
      <c r="F3014" s="7" t="str">
        <f>IFERROR(__xludf.DUMMYFUNCTION("GOOGLETRANSLATE(B3014:B5064,""en"",""fr"")"),"immigrant")</f>
        <v>immigrant</v>
      </c>
    </row>
    <row r="3015" ht="19.5" customHeight="1">
      <c r="A3015" s="26" t="s">
        <v>8126</v>
      </c>
      <c r="B3015" s="27" t="s">
        <v>8127</v>
      </c>
      <c r="C3015" s="28" t="s">
        <v>178</v>
      </c>
      <c r="D3015" s="29">
        <v>79.0</v>
      </c>
      <c r="E3015" s="28" t="s">
        <v>8128</v>
      </c>
      <c r="F3015" s="7" t="str">
        <f>IFERROR(__xludf.DUMMYFUNCTION("GOOGLETRANSLATE(B3015:B5064,""en"",""fr"")"),"blessure")</f>
        <v>blessure</v>
      </c>
    </row>
    <row r="3016" ht="19.5" customHeight="1">
      <c r="A3016" s="26" t="s">
        <v>8129</v>
      </c>
      <c r="B3016" s="27" t="s">
        <v>8130</v>
      </c>
      <c r="C3016" s="28" t="s">
        <v>134</v>
      </c>
      <c r="D3016" s="29">
        <v>79.0</v>
      </c>
      <c r="E3016" s="28" t="s">
        <v>8131</v>
      </c>
      <c r="F3016" s="7" t="str">
        <f>IFERROR(__xludf.DUMMYFUNCTION("GOOGLETRANSLATE(B3016:B5064,""en"",""fr"")"),"intense")</f>
        <v>intense</v>
      </c>
    </row>
    <row r="3017" ht="19.5" customHeight="1">
      <c r="A3017" s="26" t="s">
        <v>8132</v>
      </c>
      <c r="B3017" s="27" t="s">
        <v>8133</v>
      </c>
      <c r="C3017" s="28" t="s">
        <v>178</v>
      </c>
      <c r="D3017" s="29">
        <v>79.0</v>
      </c>
      <c r="E3017" s="28" t="s">
        <v>8134</v>
      </c>
      <c r="F3017" s="7" t="str">
        <f>IFERROR(__xludf.DUMMYFUNCTION("GOOGLETRANSLATE(B3017:B5064,""en"",""fr"")"),"journal")</f>
        <v>journal</v>
      </c>
    </row>
    <row r="3018" ht="19.5" customHeight="1">
      <c r="A3018" s="26" t="s">
        <v>8135</v>
      </c>
      <c r="B3018" s="27" t="s">
        <v>8136</v>
      </c>
      <c r="C3018" s="28" t="s">
        <v>32</v>
      </c>
      <c r="D3018" s="29">
        <v>79.0</v>
      </c>
      <c r="E3018" s="28" t="s">
        <v>8137</v>
      </c>
      <c r="F3018" s="7" t="str">
        <f>IFERROR(__xludf.DUMMYFUNCTION("GOOGLETRANSLATE(B3018:B5064,""en"",""fr"")"),"lancement")</f>
        <v>lancement</v>
      </c>
    </row>
    <row r="3019" ht="19.5" customHeight="1">
      <c r="A3019" s="26" t="s">
        <v>8138</v>
      </c>
      <c r="B3019" s="27" t="s">
        <v>8139</v>
      </c>
      <c r="C3019" s="28" t="s">
        <v>178</v>
      </c>
      <c r="D3019" s="29">
        <v>79.0</v>
      </c>
      <c r="E3019" s="28" t="s">
        <v>8140</v>
      </c>
      <c r="F3019" s="7" t="str">
        <f>IFERROR(__xludf.DUMMYFUNCTION("GOOGLETRANSLATE(B3019:B5064,""en"",""fr"")"),"médaille")</f>
        <v>médaille</v>
      </c>
    </row>
    <row r="3020" ht="19.5" customHeight="1">
      <c r="A3020" s="26" t="s">
        <v>8141</v>
      </c>
      <c r="B3020" s="27" t="s">
        <v>8142</v>
      </c>
      <c r="C3020" s="28" t="s">
        <v>178</v>
      </c>
      <c r="D3020" s="29">
        <v>79.0</v>
      </c>
      <c r="E3020" s="28" t="s">
        <v>8143</v>
      </c>
      <c r="F3020" s="7" t="str">
        <f>IFERROR(__xludf.DUMMYFUNCTION("GOOGLETRANSLATE(B3020:B5064,""en"",""fr"")"),"mile")</f>
        <v>mile</v>
      </c>
    </row>
    <row r="3021" ht="19.5" customHeight="1">
      <c r="A3021" s="26" t="s">
        <v>8144</v>
      </c>
      <c r="B3021" s="27" t="s">
        <v>3183</v>
      </c>
      <c r="C3021" s="28" t="s">
        <v>32</v>
      </c>
      <c r="D3021" s="29">
        <v>79.0</v>
      </c>
      <c r="E3021" s="28" t="s">
        <v>8145</v>
      </c>
      <c r="F3021" s="7" t="str">
        <f>IFERROR(__xludf.DUMMYFUNCTION("GOOGLETRANSLATE(B3021:B5064,""en"",""fr"")"),"usine")</f>
        <v>usine</v>
      </c>
    </row>
    <row r="3022" ht="19.5" customHeight="1">
      <c r="A3022" s="26" t="s">
        <v>8146</v>
      </c>
      <c r="B3022" s="27" t="s">
        <v>8147</v>
      </c>
      <c r="C3022" s="28" t="s">
        <v>32</v>
      </c>
      <c r="D3022" s="29">
        <v>79.0</v>
      </c>
      <c r="E3022" s="28" t="s">
        <v>8148</v>
      </c>
      <c r="F3022" s="7" t="str">
        <f>IFERROR(__xludf.DUMMYFUNCTION("GOOGLETRANSLATE(B3022:B5064,""en"",""fr"")"),"sauvetage")</f>
        <v>sauvetage</v>
      </c>
    </row>
    <row r="3023" ht="19.5" customHeight="1">
      <c r="A3023" s="26" t="s">
        <v>8149</v>
      </c>
      <c r="B3023" s="27" t="s">
        <v>8150</v>
      </c>
      <c r="C3023" s="28" t="s">
        <v>178</v>
      </c>
      <c r="D3023" s="29">
        <v>79.0</v>
      </c>
      <c r="E3023" s="28" t="s">
        <v>8151</v>
      </c>
      <c r="F3023" s="7" t="str">
        <f>IFERROR(__xludf.DUMMYFUNCTION("GOOGLETRANSLATE(B3023:B5064,""en"",""fr"")"),"semestre")</f>
        <v>semestre</v>
      </c>
    </row>
    <row r="3024" ht="19.5" customHeight="1">
      <c r="A3024" s="26" t="s">
        <v>8152</v>
      </c>
      <c r="B3024" s="27" t="s">
        <v>8153</v>
      </c>
      <c r="C3024" s="28" t="s">
        <v>178</v>
      </c>
      <c r="D3024" s="29">
        <v>79.0</v>
      </c>
      <c r="E3024" s="28" t="s">
        <v>8154</v>
      </c>
      <c r="F3024" s="7" t="str">
        <f>IFERROR(__xludf.DUMMYFUNCTION("GOOGLETRANSLATE(B3024:B5064,""en"",""fr"")"),"pneu")</f>
        <v>pneu</v>
      </c>
    </row>
    <row r="3025" ht="19.5" customHeight="1">
      <c r="A3025" s="26" t="s">
        <v>8155</v>
      </c>
      <c r="B3025" s="27" t="s">
        <v>8156</v>
      </c>
      <c r="C3025" s="28" t="s">
        <v>32</v>
      </c>
      <c r="D3025" s="29">
        <v>79.0</v>
      </c>
      <c r="E3025" s="28" t="s">
        <v>8157</v>
      </c>
      <c r="F3025" s="7" t="str">
        <f>IFERROR(__xludf.DUMMYFUNCTION("GOOGLETRANSLATE(B3025:B5064,""en"",""fr"")"),"culte")</f>
        <v>culte</v>
      </c>
    </row>
    <row r="3026" ht="19.5" customHeight="1">
      <c r="A3026" s="26" t="s">
        <v>8158</v>
      </c>
      <c r="B3026" s="27" t="s">
        <v>8159</v>
      </c>
      <c r="C3026" s="28" t="s">
        <v>178</v>
      </c>
      <c r="D3026" s="29">
        <v>79.0</v>
      </c>
      <c r="E3026" s="28" t="s">
        <v>8160</v>
      </c>
      <c r="F3026" s="7" t="str">
        <f>IFERROR(__xludf.DUMMYFUNCTION("GOOGLETRANSLATE(B3026:B5064,""en"",""fr"")"),"graine")</f>
        <v>graine</v>
      </c>
    </row>
    <row r="3027" ht="19.5" customHeight="1">
      <c r="A3027" s="26" t="s">
        <v>8161</v>
      </c>
      <c r="B3027" s="27" t="s">
        <v>8162</v>
      </c>
      <c r="C3027" s="28" t="s">
        <v>178</v>
      </c>
      <c r="D3027" s="29">
        <v>79.0</v>
      </c>
      <c r="E3027" s="28" t="s">
        <v>8163</v>
      </c>
      <c r="F3027" s="7" t="str">
        <f>IFERROR(__xludf.DUMMYFUNCTION("GOOGLETRANSLATE(B3027:B5064,""en"",""fr"")"),"point")</f>
        <v>point</v>
      </c>
    </row>
    <row r="3028" ht="19.5" customHeight="1">
      <c r="A3028" s="26" t="s">
        <v>8164</v>
      </c>
      <c r="B3028" s="27" t="s">
        <v>8165</v>
      </c>
      <c r="C3028" s="28" t="s">
        <v>4654</v>
      </c>
      <c r="D3028" s="29">
        <v>78.0</v>
      </c>
      <c r="E3028" s="28" t="s">
        <v>8166</v>
      </c>
      <c r="F3028" s="7" t="str">
        <f>IFERROR(__xludf.DUMMYFUNCTION("GOOGLETRANSLATE(B3028:B5064,""en"",""fr"")"),"suis.")</f>
        <v>suis.</v>
      </c>
    </row>
    <row r="3029" ht="19.5" customHeight="1">
      <c r="A3029" s="26" t="s">
        <v>8167</v>
      </c>
      <c r="B3029" s="27" t="s">
        <v>8168</v>
      </c>
      <c r="C3029" s="28" t="s">
        <v>178</v>
      </c>
      <c r="D3029" s="29">
        <v>78.0</v>
      </c>
      <c r="E3029" s="28" t="s">
        <v>8169</v>
      </c>
      <c r="F3029" s="7" t="str">
        <f>IFERROR(__xludf.DUMMYFUNCTION("GOOGLETRANSLATE(B3029:B5064,""en"",""fr"")"),"alerte")</f>
        <v>alerte</v>
      </c>
    </row>
    <row r="3030" ht="19.5" customHeight="1">
      <c r="A3030" s="26" t="s">
        <v>8170</v>
      </c>
      <c r="B3030" s="27" t="s">
        <v>8171</v>
      </c>
      <c r="C3030" s="28" t="s">
        <v>134</v>
      </c>
      <c r="D3030" s="29">
        <v>78.0</v>
      </c>
      <c r="E3030" s="28" t="s">
        <v>8171</v>
      </c>
      <c r="F3030" s="7" t="str">
        <f>IFERROR(__xludf.DUMMYFUNCTION("GOOGLETRANSLATE(B3030:B5064,""en"",""fr"")"),"confiant")</f>
        <v>confiant</v>
      </c>
    </row>
    <row r="3031" ht="19.5" customHeight="1">
      <c r="A3031" s="26" t="s">
        <v>8172</v>
      </c>
      <c r="B3031" s="27" t="s">
        <v>8173</v>
      </c>
      <c r="C3031" s="28" t="s">
        <v>100</v>
      </c>
      <c r="D3031" s="29">
        <v>78.0</v>
      </c>
      <c r="E3031" s="28" t="s">
        <v>8173</v>
      </c>
      <c r="F3031" s="7" t="str">
        <f>IFERROR(__xludf.DUMMYFUNCTION("GOOGLETRANSLATE(B3031:B5064,""en"",""fr"")"),"actuellement")</f>
        <v>actuellement</v>
      </c>
    </row>
    <row r="3032" ht="19.5" customHeight="1">
      <c r="A3032" s="26" t="s">
        <v>8174</v>
      </c>
      <c r="B3032" s="27" t="s">
        <v>8175</v>
      </c>
      <c r="C3032" s="28" t="s">
        <v>178</v>
      </c>
      <c r="D3032" s="29">
        <v>78.0</v>
      </c>
      <c r="E3032" s="28" t="s">
        <v>8176</v>
      </c>
      <c r="F3032" s="7" t="str">
        <f>IFERROR(__xludf.DUMMYFUNCTION("GOOGLETRANSLATE(B3032:B5064,""en"",""fr"")"),"disco")</f>
        <v>disco</v>
      </c>
    </row>
    <row r="3033" ht="19.5" customHeight="1">
      <c r="A3033" s="26" t="s">
        <v>8177</v>
      </c>
      <c r="B3033" s="27" t="s">
        <v>4702</v>
      </c>
      <c r="C3033" s="28" t="s">
        <v>178</v>
      </c>
      <c r="D3033" s="29">
        <v>78.0</v>
      </c>
      <c r="E3033" s="28" t="s">
        <v>8178</v>
      </c>
      <c r="F3033" s="7" t="str">
        <f>IFERROR(__xludf.DUMMYFUNCTION("GOOGLETRANSLATE(B3033:B5064,""en"",""fr"")"),"s'échapper")</f>
        <v>s'échapper</v>
      </c>
    </row>
    <row r="3034" ht="19.5" customHeight="1">
      <c r="A3034" s="26" t="s">
        <v>8179</v>
      </c>
      <c r="B3034" s="27" t="s">
        <v>2363</v>
      </c>
      <c r="C3034" s="28" t="s">
        <v>32</v>
      </c>
      <c r="D3034" s="29">
        <v>78.0</v>
      </c>
      <c r="E3034" s="28" t="s">
        <v>8180</v>
      </c>
      <c r="F3034" s="7" t="str">
        <f>IFERROR(__xludf.DUMMYFUNCTION("GOOGLETRANSLATE(B3034:B5064,""en"",""fr"")"),"film")</f>
        <v>film</v>
      </c>
    </row>
    <row r="3035" ht="19.5" customHeight="1">
      <c r="A3035" s="26" t="s">
        <v>8181</v>
      </c>
      <c r="B3035" s="27" t="s">
        <v>8182</v>
      </c>
      <c r="C3035" s="28" t="s">
        <v>32</v>
      </c>
      <c r="D3035" s="29">
        <v>78.0</v>
      </c>
      <c r="E3035" s="28" t="s">
        <v>8183</v>
      </c>
      <c r="F3035" s="7" t="str">
        <f>IFERROR(__xludf.DUMMYFUNCTION("GOOGLETRANSLATE(B3035:B5064,""en"",""fr"")"),"trouvé")</f>
        <v>trouvé</v>
      </c>
    </row>
    <row r="3036" ht="19.5" customHeight="1">
      <c r="A3036" s="26" t="s">
        <v>8184</v>
      </c>
      <c r="B3036" s="27" t="s">
        <v>8185</v>
      </c>
      <c r="C3036" s="28" t="s">
        <v>32</v>
      </c>
      <c r="D3036" s="29">
        <v>78.0</v>
      </c>
      <c r="E3036" s="28" t="s">
        <v>8186</v>
      </c>
      <c r="F3036" s="7" t="str">
        <f>IFERROR(__xludf.DUMMYFUNCTION("GOOGLETRANSLATE(B3036:B5064,""en"",""fr"")"),"frustrer")</f>
        <v>frustrer</v>
      </c>
    </row>
    <row r="3037" ht="19.5" customHeight="1">
      <c r="A3037" s="26" t="s">
        <v>8187</v>
      </c>
      <c r="B3037" s="27" t="s">
        <v>8188</v>
      </c>
      <c r="C3037" s="28" t="s">
        <v>32</v>
      </c>
      <c r="D3037" s="29">
        <v>78.0</v>
      </c>
      <c r="E3037" s="28" t="s">
        <v>8189</v>
      </c>
      <c r="F3037" s="7" t="str">
        <f>IFERROR(__xludf.DUMMYFUNCTION("GOOGLETRANSLATE(B3037:B5064,""en"",""fr"")"),"améliorer")</f>
        <v>améliorer</v>
      </c>
    </row>
    <row r="3038" ht="19.5" customHeight="1">
      <c r="A3038" s="26" t="s">
        <v>8190</v>
      </c>
      <c r="B3038" s="27" t="s">
        <v>8191</v>
      </c>
      <c r="C3038" s="28" t="s">
        <v>178</v>
      </c>
      <c r="D3038" s="29">
        <v>78.0</v>
      </c>
      <c r="E3038" s="28" t="s">
        <v>8192</v>
      </c>
      <c r="F3038" s="7" t="str">
        <f>IFERROR(__xludf.DUMMYFUNCTION("GOOGLETRANSLATE(B3038:B5064,""en"",""fr"")"),"rapports")</f>
        <v>rapports</v>
      </c>
    </row>
    <row r="3039" ht="19.5" customHeight="1">
      <c r="A3039" s="26" t="s">
        <v>8193</v>
      </c>
      <c r="B3039" s="27" t="s">
        <v>8194</v>
      </c>
      <c r="C3039" s="28" t="s">
        <v>178</v>
      </c>
      <c r="D3039" s="29">
        <v>78.0</v>
      </c>
      <c r="E3039" s="28" t="s">
        <v>8195</v>
      </c>
      <c r="F3039" s="7" t="str">
        <f>IFERROR(__xludf.DUMMYFUNCTION("GOOGLETRANSLATE(B3039:B5064,""en"",""fr"")"),"investissement")</f>
        <v>investissement</v>
      </c>
    </row>
    <row r="3040" ht="19.5" customHeight="1">
      <c r="A3040" s="26" t="s">
        <v>8196</v>
      </c>
      <c r="B3040" s="27" t="s">
        <v>8197</v>
      </c>
      <c r="C3040" s="28" t="s">
        <v>178</v>
      </c>
      <c r="D3040" s="29">
        <v>78.0</v>
      </c>
      <c r="E3040" s="28" t="s">
        <v>8198</v>
      </c>
      <c r="F3040" s="7" t="str">
        <f>IFERROR(__xludf.DUMMYFUNCTION("GOOGLETRANSLATE(B3040:B5064,""en"",""fr"")"),"gelée")</f>
        <v>gelée</v>
      </c>
    </row>
    <row r="3041" ht="19.5" customHeight="1">
      <c r="A3041" s="26" t="s">
        <v>8199</v>
      </c>
      <c r="B3041" s="27" t="s">
        <v>8200</v>
      </c>
      <c r="C3041" s="28" t="s">
        <v>32</v>
      </c>
      <c r="D3041" s="29">
        <v>78.0</v>
      </c>
      <c r="E3041" s="28" t="s">
        <v>8201</v>
      </c>
      <c r="F3041" s="7" t="str">
        <f>IFERROR(__xludf.DUMMYFUNCTION("GOOGLETRANSLATE(B3041:B5064,""en"",""fr"")"),"prêt")</f>
        <v>prêt</v>
      </c>
    </row>
    <row r="3042" ht="19.5" customHeight="1">
      <c r="A3042" s="26" t="s">
        <v>8202</v>
      </c>
      <c r="B3042" s="27" t="s">
        <v>7033</v>
      </c>
      <c r="C3042" s="28" t="s">
        <v>178</v>
      </c>
      <c r="D3042" s="29">
        <v>78.0</v>
      </c>
      <c r="E3042" s="28" t="s">
        <v>8203</v>
      </c>
      <c r="F3042" s="7" t="str">
        <f>IFERROR(__xludf.DUMMYFUNCTION("GOOGLETRANSLATE(B3042:B5064,""en"",""fr"")"),"musical")</f>
        <v>musical</v>
      </c>
    </row>
    <row r="3043" ht="19.5" customHeight="1">
      <c r="A3043" s="26" t="s">
        <v>8204</v>
      </c>
      <c r="B3043" s="27" t="s">
        <v>8205</v>
      </c>
      <c r="C3043" s="28" t="s">
        <v>32</v>
      </c>
      <c r="D3043" s="29">
        <v>78.0</v>
      </c>
      <c r="E3043" s="28" t="s">
        <v>8206</v>
      </c>
      <c r="F3043" s="7" t="str">
        <f>IFERROR(__xludf.DUMMYFUNCTION("GOOGLETRANSLATE(B3043:B5064,""en"",""fr"")"),"manifestation")</f>
        <v>manifestation</v>
      </c>
    </row>
    <row r="3044" ht="19.5" customHeight="1">
      <c r="A3044" s="26" t="s">
        <v>8207</v>
      </c>
      <c r="B3044" s="27" t="s">
        <v>8208</v>
      </c>
      <c r="C3044" s="28" t="s">
        <v>32</v>
      </c>
      <c r="D3044" s="29">
        <v>78.0</v>
      </c>
      <c r="E3044" s="28" t="s">
        <v>8209</v>
      </c>
      <c r="F3044" s="7" t="str">
        <f>IFERROR(__xludf.DUMMYFUNCTION("GOOGLETRANSLATE(B3044:B5064,""en"",""fr"")"),"joint")</f>
        <v>joint</v>
      </c>
    </row>
    <row r="3045" ht="19.5" customHeight="1">
      <c r="A3045" s="26" t="s">
        <v>8210</v>
      </c>
      <c r="B3045" s="27" t="s">
        <v>8015</v>
      </c>
      <c r="C3045" s="28" t="s">
        <v>32</v>
      </c>
      <c r="D3045" s="29">
        <v>78.0</v>
      </c>
      <c r="E3045" s="28" t="s">
        <v>8211</v>
      </c>
      <c r="F3045" s="7" t="str">
        <f>IFERROR(__xludf.DUMMYFUNCTION("GOOGLETRANSLATE(B3045:B5064,""en"",""fr"")"),"choc")</f>
        <v>choc</v>
      </c>
    </row>
    <row r="3046" ht="19.5" customHeight="1">
      <c r="A3046" s="26" t="s">
        <v>8212</v>
      </c>
      <c r="B3046" s="27" t="s">
        <v>8213</v>
      </c>
      <c r="C3046" s="28" t="s">
        <v>134</v>
      </c>
      <c r="D3046" s="29">
        <v>78.0</v>
      </c>
      <c r="E3046" s="28" t="s">
        <v>8214</v>
      </c>
      <c r="F3046" s="7" t="str">
        <f>IFERROR(__xludf.DUMMYFUNCTION("GOOGLETRANSLATE(B3046:B5064,""en"",""fr"")"),"silencieux")</f>
        <v>silencieux</v>
      </c>
    </row>
    <row r="3047" ht="19.5" customHeight="1">
      <c r="A3047" s="26" t="s">
        <v>8215</v>
      </c>
      <c r="B3047" s="27" t="s">
        <v>8216</v>
      </c>
      <c r="C3047" s="28" t="s">
        <v>178</v>
      </c>
      <c r="D3047" s="29">
        <v>78.0</v>
      </c>
      <c r="E3047" s="28" t="s">
        <v>8217</v>
      </c>
      <c r="F3047" s="7" t="str">
        <f>IFERROR(__xludf.DUMMYFUNCTION("GOOGLETRANSLATE(B3047:B5064,""en"",""fr"")"),"température")</f>
        <v>température</v>
      </c>
    </row>
    <row r="3048" ht="19.5" customHeight="1">
      <c r="A3048" s="26" t="s">
        <v>8218</v>
      </c>
      <c r="B3048" s="27" t="s">
        <v>8219</v>
      </c>
      <c r="C3048" s="28" t="s">
        <v>178</v>
      </c>
      <c r="D3048" s="29">
        <v>78.0</v>
      </c>
      <c r="E3048" s="28" t="s">
        <v>8220</v>
      </c>
      <c r="F3048" s="7" t="str">
        <f>IFERROR(__xludf.DUMMYFUNCTION("GOOGLETRANSLATE(B3048:B5064,""en"",""fr"")"),"testicule")</f>
        <v>testicule</v>
      </c>
    </row>
    <row r="3049" ht="19.5" customHeight="1">
      <c r="A3049" s="26" t="s">
        <v>8221</v>
      </c>
      <c r="B3049" s="27" t="s">
        <v>8222</v>
      </c>
      <c r="C3049" s="28" t="s">
        <v>134</v>
      </c>
      <c r="D3049" s="29">
        <v>78.0</v>
      </c>
      <c r="E3049" s="28" t="s">
        <v>8222</v>
      </c>
      <c r="F3049" s="7" t="str">
        <f>IFERROR(__xludf.DUMMYFUNCTION("GOOGLETRANSLATE(B3049:B5064,""en"",""fr"")"),"typique")</f>
        <v>typique</v>
      </c>
    </row>
    <row r="3050" ht="19.5" customHeight="1">
      <c r="A3050" s="26" t="s">
        <v>8223</v>
      </c>
      <c r="B3050" s="27" t="s">
        <v>8224</v>
      </c>
      <c r="C3050" s="28" t="s">
        <v>134</v>
      </c>
      <c r="D3050" s="29">
        <v>78.0</v>
      </c>
      <c r="E3050" s="28" t="s">
        <v>8224</v>
      </c>
      <c r="F3050" s="7" t="str">
        <f>IFERROR(__xludf.DUMMYFUNCTION("GOOGLETRANSLATE(B3050:B5064,""en"",""fr"")"),"inhabituel")</f>
        <v>inhabituel</v>
      </c>
    </row>
    <row r="3051" ht="19.5" customHeight="1">
      <c r="A3051" s="26" t="s">
        <v>8225</v>
      </c>
      <c r="B3051" s="27" t="s">
        <v>8226</v>
      </c>
      <c r="C3051" s="28" t="s">
        <v>32</v>
      </c>
      <c r="D3051" s="29">
        <v>77.0</v>
      </c>
      <c r="E3051" s="28" t="s">
        <v>8227</v>
      </c>
      <c r="F3051" s="7" t="str">
        <f>IFERROR(__xludf.DUMMYFUNCTION("GOOGLETRANSLATE(B3051:B5064,""en"",""fr"")"),"approche")</f>
        <v>approche</v>
      </c>
    </row>
    <row r="3052" ht="19.5" customHeight="1">
      <c r="A3052" s="26" t="s">
        <v>8228</v>
      </c>
      <c r="B3052" s="27" t="s">
        <v>8229</v>
      </c>
      <c r="C3052" s="28" t="s">
        <v>728</v>
      </c>
      <c r="D3052" s="29">
        <v>77.0</v>
      </c>
      <c r="E3052" s="28" t="s">
        <v>8230</v>
      </c>
      <c r="F3052" s="7" t="str">
        <f>IFERROR(__xludf.DUMMYFUNCTION("GOOGLETRANSLATE(B3052:B5064,""en"",""fr"")"),"Avril")</f>
        <v>Avril</v>
      </c>
    </row>
    <row r="3053" ht="19.5" customHeight="1">
      <c r="A3053" s="26" t="s">
        <v>8231</v>
      </c>
      <c r="B3053" s="27" t="s">
        <v>7065</v>
      </c>
      <c r="C3053" s="28" t="s">
        <v>178</v>
      </c>
      <c r="D3053" s="29">
        <v>77.0</v>
      </c>
      <c r="E3053" s="28" t="s">
        <v>8232</v>
      </c>
      <c r="F3053" s="7" t="str">
        <f>IFERROR(__xludf.DUMMYFUNCTION("GOOGLETRANSLATE(B3053:B5064,""en"",""fr"")"),"tentative")</f>
        <v>tentative</v>
      </c>
    </row>
    <row r="3054" ht="19.5" customHeight="1">
      <c r="A3054" s="26" t="s">
        <v>8233</v>
      </c>
      <c r="B3054" s="27" t="s">
        <v>8234</v>
      </c>
      <c r="C3054" s="28" t="s">
        <v>178</v>
      </c>
      <c r="D3054" s="29">
        <v>77.0</v>
      </c>
      <c r="E3054" s="28" t="s">
        <v>8235</v>
      </c>
      <c r="F3054" s="7" t="str">
        <f>IFERROR(__xludf.DUMMYFUNCTION("GOOGLETRANSLATE(B3054:B5064,""en"",""fr"")"),"arc")</f>
        <v>arc</v>
      </c>
    </row>
    <row r="3055" ht="19.5" customHeight="1">
      <c r="A3055" s="26" t="s">
        <v>8236</v>
      </c>
      <c r="B3055" s="27" t="s">
        <v>8237</v>
      </c>
      <c r="C3055" s="28" t="s">
        <v>178</v>
      </c>
      <c r="D3055" s="29">
        <v>77.0</v>
      </c>
      <c r="E3055" s="28" t="s">
        <v>8238</v>
      </c>
      <c r="F3055" s="7" t="str">
        <f>IFERROR(__xludf.DUMMYFUNCTION("GOOGLETRANSLATE(B3055:B5064,""en"",""fr"")"),"château")</f>
        <v>château</v>
      </c>
    </row>
    <row r="3056" ht="19.5" customHeight="1">
      <c r="A3056" s="26" t="s">
        <v>8239</v>
      </c>
      <c r="B3056" s="27" t="s">
        <v>8240</v>
      </c>
      <c r="C3056" s="28" t="s">
        <v>32</v>
      </c>
      <c r="D3056" s="29">
        <v>77.0</v>
      </c>
      <c r="E3056" s="28" t="s">
        <v>8241</v>
      </c>
      <c r="F3056" s="7" t="str">
        <f>IFERROR(__xludf.DUMMYFUNCTION("GOOGLETRANSLATE(B3056:B5064,""en"",""fr"")"),"dîner")</f>
        <v>dîner</v>
      </c>
    </row>
    <row r="3057" ht="19.5" customHeight="1">
      <c r="A3057" s="26" t="s">
        <v>8242</v>
      </c>
      <c r="B3057" s="27" t="s">
        <v>8243</v>
      </c>
      <c r="C3057" s="28" t="s">
        <v>178</v>
      </c>
      <c r="D3057" s="29">
        <v>77.0</v>
      </c>
      <c r="E3057" s="28" t="s">
        <v>8244</v>
      </c>
      <c r="F3057" s="7" t="str">
        <f>IFERROR(__xludf.DUMMYFUNCTION("GOOGLETRANSLATE(B3057:B5064,""en"",""fr"")"),"fiancé")</f>
        <v>fiancé</v>
      </c>
    </row>
    <row r="3058" ht="19.5" customHeight="1">
      <c r="A3058" s="26" t="s">
        <v>8245</v>
      </c>
      <c r="B3058" s="27" t="s">
        <v>8246</v>
      </c>
      <c r="C3058" s="28" t="s">
        <v>178</v>
      </c>
      <c r="D3058" s="29">
        <v>77.0</v>
      </c>
      <c r="E3058" s="28" t="s">
        <v>8246</v>
      </c>
      <c r="F3058" s="7" t="str">
        <f>IFERROR(__xludf.DUMMYFUNCTION("GOOGLETRANSLATE(B3058:B5064,""en"",""fr"")"),"gelée")</f>
        <v>gelée</v>
      </c>
    </row>
    <row r="3059" ht="19.5" customHeight="1">
      <c r="A3059" s="26" t="s">
        <v>8247</v>
      </c>
      <c r="B3059" s="27" t="s">
        <v>8248</v>
      </c>
      <c r="C3059" s="28" t="s">
        <v>178</v>
      </c>
      <c r="D3059" s="29">
        <v>77.0</v>
      </c>
      <c r="E3059" s="28" t="s">
        <v>8249</v>
      </c>
      <c r="F3059" s="7" t="str">
        <f>IFERROR(__xludf.DUMMYFUNCTION("GOOGLETRANSLATE(B3059:B5064,""en"",""fr"")"),"gouverneur")</f>
        <v>gouverneur</v>
      </c>
    </row>
    <row r="3060" ht="19.5" customHeight="1">
      <c r="A3060" s="26" t="s">
        <v>8250</v>
      </c>
      <c r="B3060" s="27" t="s">
        <v>8251</v>
      </c>
      <c r="C3060" s="28" t="s">
        <v>178</v>
      </c>
      <c r="D3060" s="29">
        <v>77.0</v>
      </c>
      <c r="E3060" s="28" t="s">
        <v>8252</v>
      </c>
      <c r="F3060" s="7" t="str">
        <f>IFERROR(__xludf.DUMMYFUNCTION("GOOGLETRANSLATE(B3060:B5064,""en"",""fr"")"),"lotion")</f>
        <v>lotion</v>
      </c>
    </row>
    <row r="3061" ht="19.5" customHeight="1">
      <c r="A3061" s="26" t="s">
        <v>8253</v>
      </c>
      <c r="B3061" s="27" t="s">
        <v>8254</v>
      </c>
      <c r="C3061" s="28" t="s">
        <v>32</v>
      </c>
      <c r="D3061" s="29">
        <v>77.0</v>
      </c>
      <c r="E3061" s="28" t="s">
        <v>8255</v>
      </c>
      <c r="F3061" s="7" t="str">
        <f>IFERROR(__xludf.DUMMYFUNCTION("GOOGLETRANSLATE(B3061:B5064,""en"",""fr"")"),"mesure")</f>
        <v>mesure</v>
      </c>
    </row>
    <row r="3062" ht="19.5" customHeight="1">
      <c r="A3062" s="26" t="s">
        <v>8256</v>
      </c>
      <c r="B3062" s="27" t="s">
        <v>8257</v>
      </c>
      <c r="C3062" s="28" t="s">
        <v>134</v>
      </c>
      <c r="D3062" s="29">
        <v>77.0</v>
      </c>
      <c r="E3062" s="28" t="s">
        <v>8257</v>
      </c>
      <c r="F3062" s="7" t="str">
        <f>IFERROR(__xludf.DUMMYFUNCTION("GOOGLETRANSLATE(B3062:B5064,""en"",""fr"")"),"moderne")</f>
        <v>moderne</v>
      </c>
    </row>
    <row r="3063" ht="19.5" customHeight="1">
      <c r="A3063" s="26" t="s">
        <v>8258</v>
      </c>
      <c r="B3063" s="27" t="s">
        <v>8259</v>
      </c>
      <c r="C3063" s="28" t="s">
        <v>178</v>
      </c>
      <c r="D3063" s="29">
        <v>77.0</v>
      </c>
      <c r="E3063" s="28" t="s">
        <v>8260</v>
      </c>
      <c r="F3063" s="7" t="str">
        <f>IFERROR(__xludf.DUMMYFUNCTION("GOOGLETRANSLATE(B3063:B5064,""en"",""fr"")"),"collier")</f>
        <v>collier</v>
      </c>
    </row>
    <row r="3064" ht="19.5" customHeight="1">
      <c r="A3064" s="26" t="s">
        <v>8261</v>
      </c>
      <c r="B3064" s="27" t="s">
        <v>8262</v>
      </c>
      <c r="C3064" s="28" t="s">
        <v>36</v>
      </c>
      <c r="D3064" s="29">
        <v>77.0</v>
      </c>
      <c r="E3064" s="28" t="s">
        <v>8262</v>
      </c>
      <c r="F3064" s="7" t="str">
        <f>IFERROR(__xludf.DUMMYFUNCTION("GOOGLETRANSLATE(B3064:B5064,""en"",""fr"")"),"ni")</f>
        <v>ni</v>
      </c>
    </row>
    <row r="3065" ht="19.5" customHeight="1">
      <c r="A3065" s="26" t="s">
        <v>8263</v>
      </c>
      <c r="B3065" s="27" t="s">
        <v>8264</v>
      </c>
      <c r="C3065" s="28" t="s">
        <v>178</v>
      </c>
      <c r="D3065" s="29">
        <v>77.0</v>
      </c>
      <c r="E3065" s="28" t="s">
        <v>8265</v>
      </c>
      <c r="F3065" s="7" t="str">
        <f>IFERROR(__xludf.DUMMYFUNCTION("GOOGLETRANSLATE(B3065:B5064,""en"",""fr"")"),"orgasme")</f>
        <v>orgasme</v>
      </c>
    </row>
    <row r="3066" ht="19.5" customHeight="1">
      <c r="A3066" s="26" t="s">
        <v>8266</v>
      </c>
      <c r="B3066" s="27" t="s">
        <v>8267</v>
      </c>
      <c r="C3066" s="28" t="s">
        <v>178</v>
      </c>
      <c r="D3066" s="29">
        <v>77.0</v>
      </c>
      <c r="E3066" s="28" t="s">
        <v>8267</v>
      </c>
      <c r="F3066" s="7" t="str">
        <f>IFERROR(__xludf.DUMMYFUNCTION("GOOGLETRANSLATE(B3066:B5064,""en"",""fr"")"),"poésie")</f>
        <v>poésie</v>
      </c>
    </row>
    <row r="3067" ht="19.5" customHeight="1">
      <c r="A3067" s="26" t="s">
        <v>8268</v>
      </c>
      <c r="B3067" s="27" t="s">
        <v>8269</v>
      </c>
      <c r="C3067" s="28" t="s">
        <v>134</v>
      </c>
      <c r="D3067" s="29">
        <v>77.0</v>
      </c>
      <c r="E3067" s="28" t="s">
        <v>8269</v>
      </c>
      <c r="F3067" s="7" t="str">
        <f>IFERROR(__xludf.DUMMYFUNCTION("GOOGLETRANSLATE(B3067:B5064,""en"",""fr"")"),"raisonnable")</f>
        <v>raisonnable</v>
      </c>
    </row>
    <row r="3068" ht="19.5" customHeight="1">
      <c r="A3068" s="26" t="s">
        <v>8270</v>
      </c>
      <c r="B3068" s="27" t="s">
        <v>557</v>
      </c>
      <c r="C3068" s="28" t="s">
        <v>178</v>
      </c>
      <c r="D3068" s="29">
        <v>77.0</v>
      </c>
      <c r="E3068" s="28" t="s">
        <v>8271</v>
      </c>
      <c r="F3068" s="7" t="str">
        <f>IFERROR(__xludf.DUMMYFUNCTION("GOOGLETRANSLATE(B3068:B5064,""en"",""fr"")"),"courir")</f>
        <v>courir</v>
      </c>
    </row>
    <row r="3069" ht="19.5" customHeight="1">
      <c r="A3069" s="26" t="s">
        <v>8272</v>
      </c>
      <c r="B3069" s="27" t="s">
        <v>8273</v>
      </c>
      <c r="C3069" s="28" t="s">
        <v>178</v>
      </c>
      <c r="D3069" s="29">
        <v>77.0</v>
      </c>
      <c r="E3069" s="28" t="s">
        <v>8274</v>
      </c>
      <c r="F3069" s="7" t="str">
        <f>IFERROR(__xludf.DUMMYFUNCTION("GOOGLETRANSLATE(B3069:B5064,""en"",""fr"")"),"arnaque")</f>
        <v>arnaque</v>
      </c>
    </row>
    <row r="3070" ht="19.5" customHeight="1">
      <c r="A3070" s="26" t="s">
        <v>8275</v>
      </c>
      <c r="B3070" s="27" t="s">
        <v>8276</v>
      </c>
      <c r="C3070" s="28" t="s">
        <v>178</v>
      </c>
      <c r="D3070" s="29">
        <v>77.0</v>
      </c>
      <c r="E3070" s="28" t="s">
        <v>8277</v>
      </c>
      <c r="F3070" s="7" t="str">
        <f>IFERROR(__xludf.DUMMYFUNCTION("GOOGLETRANSLATE(B3070:B5064,""en"",""fr"")"),"changement")</f>
        <v>changement</v>
      </c>
    </row>
    <row r="3071" ht="19.5" customHeight="1">
      <c r="A3071" s="26" t="s">
        <v>8278</v>
      </c>
      <c r="B3071" s="27" t="s">
        <v>8279</v>
      </c>
      <c r="C3071" s="28" t="s">
        <v>178</v>
      </c>
      <c r="D3071" s="29">
        <v>77.0</v>
      </c>
      <c r="E3071" s="28" t="s">
        <v>8280</v>
      </c>
      <c r="F3071" s="7" t="str">
        <f>IFERROR(__xludf.DUMMYFUNCTION("GOOGLETRANSLATE(B3071:B5064,""en"",""fr"")"),"baskette")</f>
        <v>baskette</v>
      </c>
    </row>
    <row r="3072" ht="19.5" customHeight="1">
      <c r="A3072" s="26" t="s">
        <v>8281</v>
      </c>
      <c r="B3072" s="27" t="s">
        <v>8282</v>
      </c>
      <c r="C3072" s="28" t="s">
        <v>32</v>
      </c>
      <c r="D3072" s="29">
        <v>77.0</v>
      </c>
      <c r="E3072" s="28" t="s">
        <v>8283</v>
      </c>
      <c r="F3072" s="7" t="str">
        <f>IFERROR(__xludf.DUMMYFUNCTION("GOOGLETRANSLATE(B3072:B5064,""en"",""fr"")"),"redresser")</f>
        <v>redresser</v>
      </c>
    </row>
    <row r="3073" ht="19.5" customHeight="1">
      <c r="A3073" s="26" t="s">
        <v>8284</v>
      </c>
      <c r="B3073" s="27" t="s">
        <v>8285</v>
      </c>
      <c r="C3073" s="28" t="s">
        <v>32</v>
      </c>
      <c r="D3073" s="29">
        <v>77.0</v>
      </c>
      <c r="E3073" s="28" t="s">
        <v>8286</v>
      </c>
      <c r="F3073" s="7" t="str">
        <f>IFERROR(__xludf.DUMMYFUNCTION("GOOGLETRANSLATE(B3073:B5064,""en"",""fr"")"),"robinet")</f>
        <v>robinet</v>
      </c>
    </row>
    <row r="3074" ht="19.5" customHeight="1">
      <c r="A3074" s="26" t="s">
        <v>8287</v>
      </c>
      <c r="B3074" s="27" t="s">
        <v>3622</v>
      </c>
      <c r="C3074" s="28" t="s">
        <v>32</v>
      </c>
      <c r="D3074" s="29">
        <v>77.0</v>
      </c>
      <c r="E3074" s="28" t="s">
        <v>8288</v>
      </c>
      <c r="F3074" s="7" t="str">
        <f>IFERROR(__xludf.DUMMYFUNCTION("GOOGLETRANSLATE(B3074:B5064,""en"",""fr"")"),"piste")</f>
        <v>piste</v>
      </c>
    </row>
    <row r="3075" ht="19.5" customHeight="1">
      <c r="A3075" s="26" t="s">
        <v>8289</v>
      </c>
      <c r="B3075" s="27" t="s">
        <v>8290</v>
      </c>
      <c r="C3075" s="28" t="s">
        <v>36</v>
      </c>
      <c r="D3075" s="29">
        <v>77.0</v>
      </c>
      <c r="E3075" s="28" t="s">
        <v>8290</v>
      </c>
      <c r="F3075" s="7" t="str">
        <f>IFERROR(__xludf.DUMMYFUNCTION("GOOGLETRANSLATE(B3075:B5064,""en"",""fr"")"),"contrairement à")</f>
        <v>contrairement à</v>
      </c>
    </row>
    <row r="3076" ht="19.5" customHeight="1">
      <c r="A3076" s="26" t="s">
        <v>8291</v>
      </c>
      <c r="B3076" s="27" t="s">
        <v>8292</v>
      </c>
      <c r="C3076" s="28" t="s">
        <v>178</v>
      </c>
      <c r="D3076" s="29">
        <v>76.0</v>
      </c>
      <c r="E3076" s="28" t="s">
        <v>8293</v>
      </c>
      <c r="F3076" s="7" t="str">
        <f>IFERROR(__xludf.DUMMYFUNCTION("GOOGLETRANSLATE(B3076:B5064,""en"",""fr"")"),"banc")</f>
        <v>banc</v>
      </c>
    </row>
    <row r="3077" ht="19.5" customHeight="1">
      <c r="A3077" s="26" t="s">
        <v>8294</v>
      </c>
      <c r="B3077" s="27" t="s">
        <v>8295</v>
      </c>
      <c r="C3077" s="28" t="s">
        <v>178</v>
      </c>
      <c r="D3077" s="29">
        <v>76.0</v>
      </c>
      <c r="E3077" s="28" t="s">
        <v>8296</v>
      </c>
      <c r="F3077" s="7" t="str">
        <f>IFERROR(__xludf.DUMMYFUNCTION("GOOGLETRANSLATE(B3077:B5064,""en"",""fr"")"),"pipe")</f>
        <v>pipe</v>
      </c>
    </row>
    <row r="3078" ht="19.5" customHeight="1">
      <c r="A3078" s="26" t="s">
        <v>8297</v>
      </c>
      <c r="B3078" s="27" t="s">
        <v>8298</v>
      </c>
      <c r="C3078" s="28" t="s">
        <v>178</v>
      </c>
      <c r="D3078" s="29">
        <v>76.0</v>
      </c>
      <c r="E3078" s="28" t="s">
        <v>8299</v>
      </c>
      <c r="F3078" s="7" t="str">
        <f>IFERROR(__xludf.DUMMYFUNCTION("GOOGLETRANSLATE(B3078:B5064,""en"",""fr"")"),"championnat")</f>
        <v>championnat</v>
      </c>
    </row>
    <row r="3079" ht="19.5" customHeight="1">
      <c r="A3079" s="26" t="s">
        <v>8300</v>
      </c>
      <c r="B3079" s="27" t="s">
        <v>8301</v>
      </c>
      <c r="C3079" s="28" t="s">
        <v>728</v>
      </c>
      <c r="D3079" s="29">
        <v>76.0</v>
      </c>
      <c r="E3079" s="28" t="s">
        <v>8301</v>
      </c>
      <c r="F3079" s="7" t="str">
        <f>IFERROR(__xludf.DUMMYFUNCTION("GOOGLETRANSLATE(B3079:B5064,""en"",""fr"")"),"du Coca")</f>
        <v>du Coca</v>
      </c>
    </row>
    <row r="3080" ht="19.5" customHeight="1">
      <c r="A3080" s="26" t="s">
        <v>8302</v>
      </c>
      <c r="B3080" s="27" t="s">
        <v>8303</v>
      </c>
      <c r="C3080" s="28" t="s">
        <v>178</v>
      </c>
      <c r="D3080" s="29">
        <v>76.0</v>
      </c>
      <c r="E3080" s="28" t="s">
        <v>8304</v>
      </c>
      <c r="F3080" s="7" t="str">
        <f>IFERROR(__xludf.DUMMYFUNCTION("GOOGLETRANSLATE(B3080:B5064,""en"",""fr"")"),"obscurité")</f>
        <v>obscurité</v>
      </c>
    </row>
    <row r="3081" ht="19.5" customHeight="1">
      <c r="A3081" s="26" t="s">
        <v>8305</v>
      </c>
      <c r="B3081" s="27" t="s">
        <v>8306</v>
      </c>
      <c r="C3081" s="28" t="s">
        <v>178</v>
      </c>
      <c r="D3081" s="29">
        <v>76.0</v>
      </c>
      <c r="E3081" s="28" t="s">
        <v>8307</v>
      </c>
      <c r="F3081" s="7" t="str">
        <f>IFERROR(__xludf.DUMMYFUNCTION("GOOGLETRANSLATE(B3081:B5064,""en"",""fr"")"),"agenda")</f>
        <v>agenda</v>
      </c>
    </row>
    <row r="3082" ht="19.5" customHeight="1">
      <c r="A3082" s="26" t="s">
        <v>8308</v>
      </c>
      <c r="B3082" s="27" t="s">
        <v>1229</v>
      </c>
      <c r="C3082" s="28" t="s">
        <v>178</v>
      </c>
      <c r="D3082" s="29">
        <v>76.0</v>
      </c>
      <c r="E3082" s="28" t="s">
        <v>8309</v>
      </c>
      <c r="F3082" s="7" t="str">
        <f>IFERROR(__xludf.DUMMYFUNCTION("GOOGLETRANSLATE(B3082:B5064,""en"",""fr"")"),"chiffre")</f>
        <v>chiffre</v>
      </c>
    </row>
    <row r="3083" ht="19.5" customHeight="1">
      <c r="A3083" s="26" t="s">
        <v>8310</v>
      </c>
      <c r="B3083" s="27" t="s">
        <v>8311</v>
      </c>
      <c r="C3083" s="28" t="s">
        <v>178</v>
      </c>
      <c r="D3083" s="29">
        <v>76.0</v>
      </c>
      <c r="E3083" s="28" t="s">
        <v>8312</v>
      </c>
      <c r="F3083" s="7" t="str">
        <f>IFERROR(__xludf.DUMMYFUNCTION("GOOGLETRANSLATE(B3083:B5064,""en"",""fr"")"),"culpabilité")</f>
        <v>culpabilité</v>
      </c>
    </row>
    <row r="3084" ht="19.5" customHeight="1">
      <c r="A3084" s="26" t="s">
        <v>8313</v>
      </c>
      <c r="B3084" s="27" t="s">
        <v>8314</v>
      </c>
      <c r="C3084" s="28" t="s">
        <v>134</v>
      </c>
      <c r="D3084" s="29">
        <v>76.0</v>
      </c>
      <c r="E3084" s="28" t="s">
        <v>8315</v>
      </c>
      <c r="F3084" s="7" t="str">
        <f>IFERROR(__xludf.DUMMYFUNCTION("GOOGLETRANSLATE(B3084:B5064,""en"",""fr"")"),"corné")</f>
        <v>corné</v>
      </c>
    </row>
    <row r="3085" ht="19.5" customHeight="1">
      <c r="A3085" s="26" t="s">
        <v>8316</v>
      </c>
      <c r="B3085" s="27" t="s">
        <v>8317</v>
      </c>
      <c r="C3085" s="28" t="s">
        <v>134</v>
      </c>
      <c r="D3085" s="29">
        <v>76.0</v>
      </c>
      <c r="E3085" s="28" t="s">
        <v>8317</v>
      </c>
      <c r="F3085" s="7" t="str">
        <f>IFERROR(__xludf.DUMMYFUNCTION("GOOGLETRANSLATE(B3085:B5064,""en"",""fr"")"),"intime")</f>
        <v>intime</v>
      </c>
    </row>
    <row r="3086" ht="19.5" customHeight="1">
      <c r="A3086" s="26" t="s">
        <v>8318</v>
      </c>
      <c r="B3086" s="27" t="s">
        <v>8319</v>
      </c>
      <c r="C3086" s="28" t="s">
        <v>178</v>
      </c>
      <c r="D3086" s="29">
        <v>76.0</v>
      </c>
      <c r="E3086" s="28" t="s">
        <v>8319</v>
      </c>
      <c r="F3086" s="7" t="str">
        <f>IFERROR(__xludf.DUMMYFUNCTION("GOOGLETRANSLATE(B3086:B5064,""en"",""fr"")"),"rire")</f>
        <v>rire</v>
      </c>
    </row>
    <row r="3087" ht="19.5" customHeight="1">
      <c r="A3087" s="26" t="s">
        <v>8320</v>
      </c>
      <c r="B3087" s="27" t="s">
        <v>8321</v>
      </c>
      <c r="C3087" s="28" t="s">
        <v>32</v>
      </c>
      <c r="D3087" s="29">
        <v>76.0</v>
      </c>
      <c r="E3087" s="28" t="s">
        <v>8322</v>
      </c>
      <c r="F3087" s="7" t="str">
        <f>IFERROR(__xludf.DUMMYFUNCTION("GOOGLETRANSLATE(B3087:B5064,""en"",""fr"")"),"prêter")</f>
        <v>prêter</v>
      </c>
    </row>
    <row r="3088" ht="19.5" customHeight="1">
      <c r="A3088" s="26" t="s">
        <v>8323</v>
      </c>
      <c r="B3088" s="27" t="s">
        <v>8324</v>
      </c>
      <c r="C3088" s="28" t="s">
        <v>178</v>
      </c>
      <c r="D3088" s="29">
        <v>76.0</v>
      </c>
      <c r="E3088" s="28" t="s">
        <v>8325</v>
      </c>
      <c r="F3088" s="7" t="str">
        <f>IFERROR(__xludf.DUMMYFUNCTION("GOOGLETRANSLATE(B3088:B5064,""en"",""fr"")"),"organisation")</f>
        <v>organisation</v>
      </c>
    </row>
    <row r="3089" ht="19.5" customHeight="1">
      <c r="A3089" s="26" t="s">
        <v>8326</v>
      </c>
      <c r="B3089" s="27" t="s">
        <v>1561</v>
      </c>
      <c r="C3089" s="28" t="s">
        <v>178</v>
      </c>
      <c r="D3089" s="29">
        <v>76.0</v>
      </c>
      <c r="E3089" s="28" t="s">
        <v>8327</v>
      </c>
      <c r="F3089" s="7" t="str">
        <f>IFERROR(__xludf.DUMMYFUNCTION("GOOGLETRANSLATE(B3089:B5064,""en"",""fr"")"),"dehors")</f>
        <v>dehors</v>
      </c>
    </row>
    <row r="3090" ht="19.5" customHeight="1">
      <c r="A3090" s="26" t="s">
        <v>8328</v>
      </c>
      <c r="B3090" s="27" t="s">
        <v>8329</v>
      </c>
      <c r="C3090" s="28" t="s">
        <v>134</v>
      </c>
      <c r="D3090" s="29">
        <v>76.0</v>
      </c>
      <c r="E3090" s="28" t="s">
        <v>8330</v>
      </c>
      <c r="F3090" s="7" t="str">
        <f>IFERROR(__xludf.DUMMYFUNCTION("GOOGLETRANSLATE(B3090:B5064,""en"",""fr"")"),"violet")</f>
        <v>violet</v>
      </c>
    </row>
    <row r="3091" ht="19.5" customHeight="1">
      <c r="A3091" s="26" t="s">
        <v>8331</v>
      </c>
      <c r="B3091" s="27" t="s">
        <v>8332</v>
      </c>
      <c r="C3091" s="28" t="s">
        <v>178</v>
      </c>
      <c r="D3091" s="29">
        <v>76.0</v>
      </c>
      <c r="E3091" s="28" t="s">
        <v>8333</v>
      </c>
      <c r="F3091" s="7" t="str">
        <f>IFERROR(__xludf.DUMMYFUNCTION("GOOGLETRANSLATE(B3091:B5064,""en"",""fr"")"),"riz")</f>
        <v>riz</v>
      </c>
    </row>
    <row r="3092" ht="19.5" customHeight="1">
      <c r="A3092" s="26" t="s">
        <v>8334</v>
      </c>
      <c r="B3092" s="27" t="s">
        <v>8335</v>
      </c>
      <c r="C3092" s="28" t="s">
        <v>178</v>
      </c>
      <c r="D3092" s="29">
        <v>76.0</v>
      </c>
      <c r="E3092" s="28" t="s">
        <v>8336</v>
      </c>
      <c r="F3092" s="7" t="str">
        <f>IFERROR(__xludf.DUMMYFUNCTION("GOOGLETRANSLATE(B3092:B5064,""en"",""fr"")"),"séminaire")</f>
        <v>séminaire</v>
      </c>
    </row>
    <row r="3093" ht="19.5" customHeight="1">
      <c r="A3093" s="26" t="s">
        <v>8337</v>
      </c>
      <c r="B3093" s="27" t="s">
        <v>8338</v>
      </c>
      <c r="C3093" s="28" t="s">
        <v>134</v>
      </c>
      <c r="D3093" s="29">
        <v>76.0</v>
      </c>
      <c r="E3093" s="28" t="s">
        <v>8338</v>
      </c>
      <c r="F3093" s="7" t="str">
        <f>IFERROR(__xludf.DUMMYFUNCTION("GOOGLETRANSLATE(B3093:B5064,""en"",""fr"")"),"senior")</f>
        <v>senior</v>
      </c>
    </row>
    <row r="3094" ht="19.5" customHeight="1">
      <c r="A3094" s="26" t="s">
        <v>8339</v>
      </c>
      <c r="B3094" s="27" t="s">
        <v>4555</v>
      </c>
      <c r="C3094" s="28" t="s">
        <v>32</v>
      </c>
      <c r="D3094" s="29">
        <v>76.0</v>
      </c>
      <c r="E3094" s="28" t="s">
        <v>8340</v>
      </c>
      <c r="F3094" s="7" t="str">
        <f>IFERROR(__xludf.DUMMYFUNCTION("GOOGLETRANSLATE(B3094:B5064,""en"",""fr"")"),"forme")</f>
        <v>forme</v>
      </c>
    </row>
    <row r="3095" ht="19.5" customHeight="1">
      <c r="A3095" s="26" t="s">
        <v>8341</v>
      </c>
      <c r="B3095" s="27" t="s">
        <v>8342</v>
      </c>
      <c r="C3095" s="28" t="s">
        <v>178</v>
      </c>
      <c r="D3095" s="29">
        <v>76.0</v>
      </c>
      <c r="E3095" s="28" t="s">
        <v>8342</v>
      </c>
      <c r="F3095" s="7" t="str">
        <f>IFERROR(__xludf.DUMMYFUNCTION("GOOGLETRANSLATE(B3095:B5064,""en"",""fr"")"),"mouton")</f>
        <v>mouton</v>
      </c>
    </row>
    <row r="3096" ht="19.5" customHeight="1">
      <c r="A3096" s="26" t="s">
        <v>8343</v>
      </c>
      <c r="B3096" s="27" t="s">
        <v>6915</v>
      </c>
      <c r="C3096" s="28" t="s">
        <v>178</v>
      </c>
      <c r="D3096" s="29">
        <v>76.0</v>
      </c>
      <c r="E3096" s="28" t="s">
        <v>8344</v>
      </c>
      <c r="F3096" s="7" t="str">
        <f>IFERROR(__xludf.DUMMYFUNCTION("GOOGLETRANSLATE(B3096:B5064,""en"",""fr"")"),"transpirer")</f>
        <v>transpirer</v>
      </c>
    </row>
    <row r="3097" ht="19.5" customHeight="1">
      <c r="A3097" s="26" t="s">
        <v>8345</v>
      </c>
      <c r="B3097" s="27" t="s">
        <v>8346</v>
      </c>
      <c r="C3097" s="28" t="s">
        <v>178</v>
      </c>
      <c r="D3097" s="29">
        <v>76.0</v>
      </c>
      <c r="E3097" s="28" t="s">
        <v>8347</v>
      </c>
      <c r="F3097" s="7" t="str">
        <f>IFERROR(__xludf.DUMMYFUNCTION("GOOGLETRANSLATE(B3097:B5064,""en"",""fr"")"),"avantage")</f>
        <v>avantage</v>
      </c>
    </row>
    <row r="3098" ht="19.5" customHeight="1">
      <c r="A3098" s="26" t="s">
        <v>8348</v>
      </c>
      <c r="B3098" s="27" t="s">
        <v>8349</v>
      </c>
      <c r="C3098" s="28" t="s">
        <v>178</v>
      </c>
      <c r="D3098" s="29">
        <v>76.0</v>
      </c>
      <c r="E3098" s="28" t="s">
        <v>8350</v>
      </c>
      <c r="F3098" s="7" t="str">
        <f>IFERROR(__xludf.DUMMYFUNCTION("GOOGLETRANSLATE(B3098:B5064,""en"",""fr"")"),"véhicule")</f>
        <v>véhicule</v>
      </c>
    </row>
    <row r="3099" ht="19.5" customHeight="1">
      <c r="A3099" s="26" t="s">
        <v>8351</v>
      </c>
      <c r="B3099" s="27" t="s">
        <v>8352</v>
      </c>
      <c r="C3099" s="28" t="s">
        <v>150</v>
      </c>
      <c r="D3099" s="29">
        <v>76.0</v>
      </c>
      <c r="E3099" s="28" t="s">
        <v>8353</v>
      </c>
      <c r="F3099" s="7" t="str">
        <f>IFERROR(__xludf.DUMMYFUNCTION("GOOGLETRANSLATE(B3099:B5064,""en"",""fr"")"),"soixante-dix")</f>
        <v>soixante-dix</v>
      </c>
    </row>
    <row r="3100" ht="19.5" customHeight="1">
      <c r="A3100" s="26" t="s">
        <v>8354</v>
      </c>
      <c r="B3100" s="27" t="s">
        <v>8355</v>
      </c>
      <c r="C3100" s="28" t="s">
        <v>32</v>
      </c>
      <c r="D3100" s="29">
        <v>75.0</v>
      </c>
      <c r="E3100" s="28" t="s">
        <v>8356</v>
      </c>
      <c r="F3100" s="7" t="str">
        <f>IFERROR(__xludf.DUMMYFUNCTION("GOOGLETRANSLATE(B3100:B5064,""en"",""fr"")"),"atteindre")</f>
        <v>atteindre</v>
      </c>
    </row>
    <row r="3101" ht="19.5" customHeight="1">
      <c r="A3101" s="26" t="s">
        <v>8357</v>
      </c>
      <c r="B3101" s="27" t="s">
        <v>8358</v>
      </c>
      <c r="C3101" s="28" t="s">
        <v>178</v>
      </c>
      <c r="D3101" s="29">
        <v>75.0</v>
      </c>
      <c r="E3101" s="28" t="s">
        <v>8359</v>
      </c>
      <c r="F3101" s="7" t="str">
        <f>IFERROR(__xludf.DUMMYFUNCTION("GOOGLETRANSLATE(B3101:B5064,""en"",""fr"")"),"dépendance")</f>
        <v>dépendance</v>
      </c>
    </row>
    <row r="3102" ht="19.5" customHeight="1">
      <c r="A3102" s="26" t="s">
        <v>8360</v>
      </c>
      <c r="B3102" s="27" t="s">
        <v>8361</v>
      </c>
      <c r="C3102" s="28" t="s">
        <v>178</v>
      </c>
      <c r="D3102" s="29">
        <v>75.0</v>
      </c>
      <c r="E3102" s="28" t="s">
        <v>8362</v>
      </c>
      <c r="F3102" s="7" t="str">
        <f>IFERROR(__xludf.DUMMYFUNCTION("GOOGLETRANSLATE(B3102:B5064,""en"",""fr"")"),"architecture")</f>
        <v>architecture</v>
      </c>
    </row>
    <row r="3103" ht="19.5" customHeight="1">
      <c r="A3103" s="26" t="s">
        <v>8363</v>
      </c>
      <c r="B3103" s="27" t="s">
        <v>3521</v>
      </c>
      <c r="C3103" s="28" t="s">
        <v>134</v>
      </c>
      <c r="D3103" s="29">
        <v>75.0</v>
      </c>
      <c r="E3103" s="28" t="s">
        <v>3521</v>
      </c>
      <c r="F3103" s="7" t="str">
        <f>IFERROR(__xludf.DUMMYFUNCTION("GOOGLETRANSLATE(B3103:B5064,""en"",""fr"")"),"certain")</f>
        <v>certain</v>
      </c>
    </row>
    <row r="3104" ht="19.5" customHeight="1">
      <c r="A3104" s="26" t="s">
        <v>8364</v>
      </c>
      <c r="B3104" s="27" t="s">
        <v>8365</v>
      </c>
      <c r="C3104" s="28" t="s">
        <v>178</v>
      </c>
      <c r="D3104" s="29">
        <v>75.0</v>
      </c>
      <c r="E3104" s="28" t="s">
        <v>8366</v>
      </c>
      <c r="F3104" s="7" t="str">
        <f>IFERROR(__xludf.DUMMYFUNCTION("GOOGLETRANSLATE(B3104:B5064,""en"",""fr"")"),"démon")</f>
        <v>démon</v>
      </c>
    </row>
    <row r="3105" ht="19.5" customHeight="1">
      <c r="A3105" s="26" t="s">
        <v>8367</v>
      </c>
      <c r="B3105" s="27" t="s">
        <v>8368</v>
      </c>
      <c r="C3105" s="28" t="s">
        <v>178</v>
      </c>
      <c r="D3105" s="29">
        <v>75.0</v>
      </c>
      <c r="E3105" s="28" t="s">
        <v>8369</v>
      </c>
      <c r="F3105" s="7" t="str">
        <f>IFERROR(__xludf.DUMMYFUNCTION("GOOGLETRANSLATE(B3105:B5064,""en"",""fr"")"),"nettoyeur à sec")</f>
        <v>nettoyeur à sec</v>
      </c>
    </row>
    <row r="3106" ht="19.5" customHeight="1">
      <c r="A3106" s="26" t="s">
        <v>8370</v>
      </c>
      <c r="B3106" s="27" t="s">
        <v>8371</v>
      </c>
      <c r="C3106" s="28" t="s">
        <v>178</v>
      </c>
      <c r="D3106" s="29">
        <v>75.0</v>
      </c>
      <c r="E3106" s="28" t="s">
        <v>8372</v>
      </c>
      <c r="F3106" s="7" t="str">
        <f>IFERROR(__xludf.DUMMYFUNCTION("GOOGLETRANSLATE(B3106:B5064,""en"",""fr"")"),"gros con")</f>
        <v>gros con</v>
      </c>
    </row>
    <row r="3107" ht="19.5" customHeight="1">
      <c r="A3107" s="26" t="s">
        <v>8373</v>
      </c>
      <c r="B3107" s="27" t="s">
        <v>8374</v>
      </c>
      <c r="C3107" s="28" t="s">
        <v>178</v>
      </c>
      <c r="D3107" s="29">
        <v>75.0</v>
      </c>
      <c r="E3107" s="28" t="s">
        <v>8375</v>
      </c>
      <c r="F3107" s="7" t="str">
        <f>IFERROR(__xludf.DUMMYFUNCTION("GOOGLETRANSLATE(B3107:B5064,""en"",""fr"")"),"congélateur")</f>
        <v>congélateur</v>
      </c>
    </row>
    <row r="3108" ht="19.5" customHeight="1">
      <c r="A3108" s="26" t="s">
        <v>8376</v>
      </c>
      <c r="B3108" s="27" t="s">
        <v>8377</v>
      </c>
      <c r="C3108" s="28" t="s">
        <v>178</v>
      </c>
      <c r="D3108" s="29">
        <v>75.0</v>
      </c>
      <c r="E3108" s="28" t="s">
        <v>8378</v>
      </c>
      <c r="F3108" s="7" t="str">
        <f>IFERROR(__xludf.DUMMYFUNCTION("GOOGLETRANSLATE(B3108:B5064,""en"",""fr"")"),"guide")</f>
        <v>guide</v>
      </c>
    </row>
    <row r="3109" ht="19.5" customHeight="1">
      <c r="A3109" s="26" t="s">
        <v>8379</v>
      </c>
      <c r="B3109" s="27" t="s">
        <v>8380</v>
      </c>
      <c r="C3109" s="28" t="s">
        <v>178</v>
      </c>
      <c r="D3109" s="29">
        <v>75.0</v>
      </c>
      <c r="E3109" s="28" t="s">
        <v>8381</v>
      </c>
      <c r="F3109" s="7" t="str">
        <f>IFERROR(__xludf.DUMMYFUNCTION("GOOGLETRANSLATE(B3109:B5064,""en"",""fr"")"),"nuire")</f>
        <v>nuire</v>
      </c>
    </row>
    <row r="3110" ht="19.5" customHeight="1">
      <c r="A3110" s="26" t="s">
        <v>8382</v>
      </c>
      <c r="B3110" s="27" t="s">
        <v>8383</v>
      </c>
      <c r="C3110" s="28" t="s">
        <v>32</v>
      </c>
      <c r="D3110" s="29">
        <v>75.0</v>
      </c>
      <c r="E3110" s="28" t="s">
        <v>8384</v>
      </c>
      <c r="F3110" s="7" t="str">
        <f>IFERROR(__xludf.DUMMYFUNCTION("GOOGLETRANSLATE(B3110:B5064,""en"",""fr"")"),"klaxonner")</f>
        <v>klaxonner</v>
      </c>
    </row>
    <row r="3111" ht="19.5" customHeight="1">
      <c r="A3111" s="26" t="s">
        <v>8385</v>
      </c>
      <c r="B3111" s="27" t="s">
        <v>8386</v>
      </c>
      <c r="C3111" s="28" t="s">
        <v>32</v>
      </c>
      <c r="D3111" s="29">
        <v>75.0</v>
      </c>
      <c r="E3111" s="28" t="s">
        <v>8387</v>
      </c>
      <c r="F3111" s="7" t="str">
        <f>IFERROR(__xludf.DUMMYFUNCTION("GOOGLETRANSLATE(B3111:B5064,""en"",""fr"")"),"installer")</f>
        <v>installer</v>
      </c>
    </row>
    <row r="3112" ht="19.5" customHeight="1">
      <c r="A3112" s="26" t="s">
        <v>8388</v>
      </c>
      <c r="B3112" s="27" t="s">
        <v>8389</v>
      </c>
      <c r="C3112" s="28" t="s">
        <v>178</v>
      </c>
      <c r="D3112" s="29">
        <v>75.0</v>
      </c>
      <c r="E3112" s="28" t="s">
        <v>8390</v>
      </c>
      <c r="F3112" s="7" t="str">
        <f>IFERROR(__xludf.DUMMYFUNCTION("GOOGLETRANSLATE(B3112:B5064,""en"",""fr"")"),"mascotte")</f>
        <v>mascotte</v>
      </c>
    </row>
    <row r="3113" ht="19.5" customHeight="1">
      <c r="A3113" s="26" t="s">
        <v>8391</v>
      </c>
      <c r="B3113" s="27" t="s">
        <v>8392</v>
      </c>
      <c r="C3113" s="28" t="s">
        <v>134</v>
      </c>
      <c r="D3113" s="29">
        <v>75.0</v>
      </c>
      <c r="E3113" s="28" t="s">
        <v>8392</v>
      </c>
      <c r="F3113" s="7" t="str">
        <f>IFERROR(__xludf.DUMMYFUNCTION("GOOGLETRANSLATE(B3113:B5064,""en"",""fr"")"),"massif")</f>
        <v>massif</v>
      </c>
    </row>
    <row r="3114" ht="19.5" customHeight="1">
      <c r="A3114" s="26" t="s">
        <v>8393</v>
      </c>
      <c r="B3114" s="27" t="s">
        <v>8394</v>
      </c>
      <c r="C3114" s="28" t="s">
        <v>178</v>
      </c>
      <c r="D3114" s="29">
        <v>75.0</v>
      </c>
      <c r="E3114" s="28" t="s">
        <v>8395</v>
      </c>
      <c r="F3114" s="7" t="str">
        <f>IFERROR(__xludf.DUMMYFUNCTION("GOOGLETRANSLATE(B3114:B5064,""en"",""fr"")"),"métal")</f>
        <v>métal</v>
      </c>
    </row>
    <row r="3115" ht="19.5" customHeight="1">
      <c r="A3115" s="26" t="s">
        <v>8396</v>
      </c>
      <c r="B3115" s="27" t="s">
        <v>8397</v>
      </c>
      <c r="C3115" s="28" t="s">
        <v>178</v>
      </c>
      <c r="D3115" s="29">
        <v>75.0</v>
      </c>
      <c r="E3115" s="28" t="s">
        <v>8398</v>
      </c>
      <c r="F3115" s="7" t="str">
        <f>IFERROR(__xludf.DUMMYFUNCTION("GOOGLETRANSLATE(B3115:B5064,""en"",""fr"")"),"nid")</f>
        <v>nid</v>
      </c>
    </row>
    <row r="3116" ht="19.5" customHeight="1">
      <c r="A3116" s="26" t="s">
        <v>8399</v>
      </c>
      <c r="B3116" s="27" t="s">
        <v>8400</v>
      </c>
      <c r="C3116" s="28" t="s">
        <v>150</v>
      </c>
      <c r="D3116" s="29">
        <v>75.0</v>
      </c>
      <c r="E3116" s="28" t="s">
        <v>8401</v>
      </c>
      <c r="F3116" s="7" t="str">
        <f>IFERROR(__xludf.DUMMYFUNCTION("GOOGLETRANSLATE(B3116:B5064,""en"",""fr"")"),"dix-neuf")</f>
        <v>dix-neuf</v>
      </c>
    </row>
    <row r="3117" ht="19.5" customHeight="1">
      <c r="A3117" s="26" t="s">
        <v>8402</v>
      </c>
      <c r="B3117" s="27" t="s">
        <v>8403</v>
      </c>
      <c r="C3117" s="28" t="s">
        <v>178</v>
      </c>
      <c r="D3117" s="29">
        <v>75.0</v>
      </c>
      <c r="E3117" s="28" t="s">
        <v>8404</v>
      </c>
      <c r="F3117" s="7" t="str">
        <f>IFERROR(__xludf.DUMMYFUNCTION("GOOGLETRANSLATE(B3117:B5064,""en"",""fr"")"),"possibilité")</f>
        <v>possibilité</v>
      </c>
    </row>
    <row r="3118" ht="19.5" customHeight="1">
      <c r="A3118" s="26" t="s">
        <v>8405</v>
      </c>
      <c r="B3118" s="27" t="s">
        <v>8406</v>
      </c>
      <c r="C3118" s="28" t="s">
        <v>32</v>
      </c>
      <c r="D3118" s="29">
        <v>75.0</v>
      </c>
      <c r="E3118" s="28" t="s">
        <v>8407</v>
      </c>
      <c r="F3118" s="7" t="str">
        <f>IFERROR(__xludf.DUMMYFUNCTION("GOOGLETRANSLATE(B3118:B5064,""en"",""fr"")"),"louer")</f>
        <v>louer</v>
      </c>
    </row>
    <row r="3119" ht="19.5" customHeight="1">
      <c r="A3119" s="26" t="s">
        <v>8408</v>
      </c>
      <c r="B3119" s="27" t="s">
        <v>8409</v>
      </c>
      <c r="C3119" s="28" t="s">
        <v>178</v>
      </c>
      <c r="D3119" s="29">
        <v>75.0</v>
      </c>
      <c r="E3119" s="28" t="s">
        <v>8410</v>
      </c>
      <c r="F3119" s="7" t="str">
        <f>IFERROR(__xludf.DUMMYFUNCTION("GOOGLETRANSLATE(B3119:B5064,""en"",""fr"")"),"ordonnance")</f>
        <v>ordonnance</v>
      </c>
    </row>
    <row r="3120" ht="19.5" customHeight="1">
      <c r="A3120" s="26" t="s">
        <v>8411</v>
      </c>
      <c r="B3120" s="27" t="s">
        <v>8412</v>
      </c>
      <c r="C3120" s="28" t="s">
        <v>32</v>
      </c>
      <c r="D3120" s="29">
        <v>75.0</v>
      </c>
      <c r="E3120" s="28" t="s">
        <v>8413</v>
      </c>
      <c r="F3120" s="7" t="str">
        <f>IFERROR(__xludf.DUMMYFUNCTION("GOOGLETRANSLATE(B3120:B5064,""en"",""fr"")"),"produire")</f>
        <v>produire</v>
      </c>
    </row>
    <row r="3121" ht="19.5" customHeight="1">
      <c r="A3121" s="26" t="s">
        <v>8414</v>
      </c>
      <c r="B3121" s="27" t="s">
        <v>8415</v>
      </c>
      <c r="C3121" s="28" t="s">
        <v>178</v>
      </c>
      <c r="D3121" s="29">
        <v>75.0</v>
      </c>
      <c r="E3121" s="28" t="s">
        <v>8416</v>
      </c>
      <c r="F3121" s="7" t="str">
        <f>IFERROR(__xludf.DUMMYFUNCTION("GOOGLETRANSLATE(B3121:B5064,""en"",""fr"")"),"saumon")</f>
        <v>saumon</v>
      </c>
    </row>
    <row r="3122" ht="19.5" customHeight="1">
      <c r="A3122" s="26" t="s">
        <v>8417</v>
      </c>
      <c r="B3122" s="27" t="s">
        <v>8418</v>
      </c>
      <c r="C3122" s="28" t="s">
        <v>32</v>
      </c>
      <c r="D3122" s="29">
        <v>75.0</v>
      </c>
      <c r="E3122" s="28" t="s">
        <v>8419</v>
      </c>
      <c r="F3122" s="7" t="str">
        <f>IFERROR(__xludf.DUMMYFUNCTION("GOOGLETRANSLATE(B3122:B5064,""en"",""fr"")"),"entourer")</f>
        <v>entourer</v>
      </c>
    </row>
    <row r="3123" ht="19.5" customHeight="1">
      <c r="A3123" s="26" t="s">
        <v>8420</v>
      </c>
      <c r="B3123" s="27" t="s">
        <v>8421</v>
      </c>
      <c r="C3123" s="28" t="s">
        <v>178</v>
      </c>
      <c r="D3123" s="29">
        <v>75.0</v>
      </c>
      <c r="E3123" s="28" t="s">
        <v>8422</v>
      </c>
      <c r="F3123" s="7" t="str">
        <f>IFERROR(__xludf.DUMMYFUNCTION("GOOGLETRANSLATE(B3123:B5064,""en"",""fr"")"),"la tragédie")</f>
        <v>la tragédie</v>
      </c>
    </row>
    <row r="3124" ht="19.5" customHeight="1">
      <c r="A3124" s="26" t="s">
        <v>8423</v>
      </c>
      <c r="B3124" s="27" t="s">
        <v>1784</v>
      </c>
      <c r="C3124" s="28" t="s">
        <v>32</v>
      </c>
      <c r="D3124" s="29">
        <v>75.0</v>
      </c>
      <c r="E3124" s="28" t="s">
        <v>8424</v>
      </c>
      <c r="F3124" s="7" t="str">
        <f>IFERROR(__xludf.DUMMYFUNCTION("GOOGLETRANSLATE(B3124:B5064,""en"",""fr"")"),"voyage")</f>
        <v>voyage</v>
      </c>
    </row>
    <row r="3125" ht="19.5" customHeight="1">
      <c r="A3125" s="26" t="s">
        <v>8425</v>
      </c>
      <c r="B3125" s="27" t="s">
        <v>8426</v>
      </c>
      <c r="C3125" s="28" t="s">
        <v>178</v>
      </c>
      <c r="D3125" s="29">
        <v>75.0</v>
      </c>
      <c r="E3125" s="28" t="s">
        <v>8427</v>
      </c>
      <c r="F3125" s="7" t="str">
        <f>IFERROR(__xludf.DUMMYFUNCTION("GOOGLETRANSLATE(B3125:B5064,""en"",""fr"")"),"troll")</f>
        <v>troll</v>
      </c>
    </row>
    <row r="3126" ht="19.5" customHeight="1">
      <c r="A3126" s="26" t="s">
        <v>8428</v>
      </c>
      <c r="B3126" s="27" t="s">
        <v>7963</v>
      </c>
      <c r="C3126" s="28" t="s">
        <v>32</v>
      </c>
      <c r="D3126" s="29">
        <v>75.0</v>
      </c>
      <c r="E3126" s="28" t="s">
        <v>8429</v>
      </c>
      <c r="F3126" s="7" t="str">
        <f>IFERROR(__xludf.DUMMYFUNCTION("GOOGLETRANSLATE(B3126:B5064,""en"",""fr"")"),"régler")</f>
        <v>régler</v>
      </c>
    </row>
    <row r="3127" ht="19.5" customHeight="1">
      <c r="A3127" s="26" t="s">
        <v>8430</v>
      </c>
      <c r="B3127" s="27" t="s">
        <v>8431</v>
      </c>
      <c r="C3127" s="28" t="s">
        <v>178</v>
      </c>
      <c r="D3127" s="29">
        <v>75.0</v>
      </c>
      <c r="E3127" s="28" t="s">
        <v>8432</v>
      </c>
      <c r="F3127" s="7" t="str">
        <f>IFERROR(__xludf.DUMMYFUNCTION("GOOGLETRANSLATE(B3127:B5064,""en"",""fr"")"),"wagon")</f>
        <v>wagon</v>
      </c>
    </row>
    <row r="3128" ht="19.5" customHeight="1">
      <c r="A3128" s="26" t="s">
        <v>8433</v>
      </c>
      <c r="B3128" s="27" t="s">
        <v>8434</v>
      </c>
      <c r="C3128" s="28" t="s">
        <v>32</v>
      </c>
      <c r="D3128" s="29">
        <v>75.0</v>
      </c>
      <c r="E3128" s="28" t="s">
        <v>8435</v>
      </c>
      <c r="F3128" s="7" t="str">
        <f>IFERROR(__xludf.DUMMYFUNCTION("GOOGLETRANSLATE(B3128:B5064,""en"",""fr"")"),"chuchoter")</f>
        <v>chuchoter</v>
      </c>
    </row>
    <row r="3129" ht="19.5" customHeight="1">
      <c r="A3129" s="26" t="s">
        <v>8436</v>
      </c>
      <c r="B3129" s="27" t="s">
        <v>8437</v>
      </c>
      <c r="C3129" s="28" t="s">
        <v>134</v>
      </c>
      <c r="D3129" s="29">
        <v>75.0</v>
      </c>
      <c r="E3129" s="28" t="s">
        <v>8438</v>
      </c>
      <c r="F3129" s="7" t="str">
        <f>IFERROR(__xludf.DUMMYFUNCTION("GOOGLETRANSLATE(B3129:B5064,""en"",""fr"")"),"délicieux")</f>
        <v>délicieux</v>
      </c>
    </row>
    <row r="3130" ht="19.5" customHeight="1">
      <c r="A3130" s="26" t="s">
        <v>8439</v>
      </c>
      <c r="B3130" s="27" t="s">
        <v>8440</v>
      </c>
      <c r="C3130" s="28" t="s">
        <v>32</v>
      </c>
      <c r="D3130" s="29">
        <v>74.0</v>
      </c>
      <c r="E3130" s="28" t="s">
        <v>8441</v>
      </c>
      <c r="F3130" s="7" t="str">
        <f>IFERROR(__xludf.DUMMYFUNCTION("GOOGLETRANSLATE(B3130:B5064,""en"",""fr"")"),"interdire")</f>
        <v>interdire</v>
      </c>
    </row>
    <row r="3131" ht="19.5" customHeight="1">
      <c r="A3131" s="26" t="s">
        <v>8442</v>
      </c>
      <c r="B3131" s="27" t="s">
        <v>8443</v>
      </c>
      <c r="C3131" s="28" t="s">
        <v>32</v>
      </c>
      <c r="D3131" s="29">
        <v>74.0</v>
      </c>
      <c r="E3131" s="28" t="s">
        <v>8444</v>
      </c>
      <c r="F3131" s="7" t="str">
        <f>IFERROR(__xludf.DUMMYFUNCTION("GOOGLETRANSLATE(B3131:B5064,""en"",""fr"")"),"lier")</f>
        <v>lier</v>
      </c>
    </row>
    <row r="3132" ht="19.5" customHeight="1">
      <c r="A3132" s="26" t="s">
        <v>8445</v>
      </c>
      <c r="B3132" s="27" t="s">
        <v>8446</v>
      </c>
      <c r="C3132" s="28" t="s">
        <v>134</v>
      </c>
      <c r="D3132" s="29">
        <v>74.0</v>
      </c>
      <c r="E3132" s="28" t="s">
        <v>8446</v>
      </c>
      <c r="F3132" s="7" t="str">
        <f>IFERROR(__xludf.DUMMYFUNCTION("GOOGLETRANSLATE(B3132:B5064,""en"",""fr"")"),"tout neuf")</f>
        <v>tout neuf</v>
      </c>
    </row>
    <row r="3133" ht="19.5" customHeight="1">
      <c r="A3133" s="26" t="s">
        <v>8447</v>
      </c>
      <c r="B3133" s="27" t="s">
        <v>8448</v>
      </c>
      <c r="C3133" s="28" t="s">
        <v>178</v>
      </c>
      <c r="D3133" s="29">
        <v>74.0</v>
      </c>
      <c r="E3133" s="28" t="s">
        <v>8449</v>
      </c>
      <c r="F3133" s="7" t="str">
        <f>IFERROR(__xludf.DUMMYFUNCTION("GOOGLETRANSLATE(B3133:B5064,""en"",""fr"")"),"papillon")</f>
        <v>papillon</v>
      </c>
    </row>
    <row r="3134" ht="19.5" customHeight="1">
      <c r="A3134" s="26" t="s">
        <v>8450</v>
      </c>
      <c r="B3134" s="27" t="s">
        <v>7618</v>
      </c>
      <c r="C3134" s="28" t="s">
        <v>178</v>
      </c>
      <c r="D3134" s="29">
        <v>74.0</v>
      </c>
      <c r="E3134" s="28" t="s">
        <v>8451</v>
      </c>
      <c r="F3134" s="7" t="str">
        <f>IFERROR(__xludf.DUMMYFUNCTION("GOOGLETRANSLATE(B3134:B5064,""en"",""fr"")"),"casting")</f>
        <v>casting</v>
      </c>
    </row>
    <row r="3135" ht="19.5" customHeight="1">
      <c r="A3135" s="26" t="s">
        <v>8452</v>
      </c>
      <c r="B3135" s="27" t="s">
        <v>8453</v>
      </c>
      <c r="C3135" s="28" t="s">
        <v>178</v>
      </c>
      <c r="D3135" s="29">
        <v>74.0</v>
      </c>
      <c r="E3135" s="28" t="s">
        <v>8454</v>
      </c>
      <c r="F3135" s="7" t="str">
        <f>IFERROR(__xludf.DUMMYFUNCTION("GOOGLETRANSLATE(B3135:B5064,""en"",""fr"")"),"plafond")</f>
        <v>plafond</v>
      </c>
    </row>
    <row r="3136" ht="19.5" customHeight="1">
      <c r="A3136" s="26" t="s">
        <v>8455</v>
      </c>
      <c r="B3136" s="27" t="s">
        <v>8456</v>
      </c>
      <c r="C3136" s="28" t="s">
        <v>100</v>
      </c>
      <c r="D3136" s="29">
        <v>74.0</v>
      </c>
      <c r="E3136" s="28" t="s">
        <v>8456</v>
      </c>
      <c r="F3136" s="7" t="str">
        <f>IFERROR(__xludf.DUMMYFUNCTION("GOOGLETRANSLATE(B3136:B5064,""en"",""fr"")"),"en permanence")</f>
        <v>en permanence</v>
      </c>
    </row>
    <row r="3137" ht="19.5" customHeight="1">
      <c r="A3137" s="26" t="s">
        <v>8457</v>
      </c>
      <c r="B3137" s="27" t="s">
        <v>8458</v>
      </c>
      <c r="C3137" s="28" t="s">
        <v>178</v>
      </c>
      <c r="D3137" s="29">
        <v>74.0</v>
      </c>
      <c r="E3137" s="28" t="s">
        <v>8459</v>
      </c>
      <c r="F3137" s="7" t="str">
        <f>IFERROR(__xludf.DUMMYFUNCTION("GOOGLETRANSLATE(B3137:B5064,""en"",""fr"")"),"coude")</f>
        <v>coude</v>
      </c>
    </row>
    <row r="3138" ht="19.5" customHeight="1">
      <c r="A3138" s="26" t="s">
        <v>8460</v>
      </c>
      <c r="B3138" s="27" t="s">
        <v>8461</v>
      </c>
      <c r="C3138" s="28" t="s">
        <v>178</v>
      </c>
      <c r="D3138" s="29">
        <v>74.0</v>
      </c>
      <c r="E3138" s="28" t="s">
        <v>8461</v>
      </c>
      <c r="F3138" s="7" t="str">
        <f>IFERROR(__xludf.DUMMYFUNCTION("GOOGLETRANSLATE(B3138:B5064,""en"",""fr"")"),"électricité")</f>
        <v>électricité</v>
      </c>
    </row>
    <row r="3139" ht="19.5" customHeight="1">
      <c r="A3139" s="26" t="s">
        <v>8462</v>
      </c>
      <c r="B3139" s="27" t="s">
        <v>8463</v>
      </c>
      <c r="C3139" s="28" t="s">
        <v>178</v>
      </c>
      <c r="D3139" s="29">
        <v>74.0</v>
      </c>
      <c r="E3139" s="28" t="s">
        <v>8464</v>
      </c>
      <c r="F3139" s="7" t="str">
        <f>IFERROR(__xludf.DUMMYFUNCTION("GOOGLETRANSLATE(B3139:B5064,""en"",""fr"")"),"échange")</f>
        <v>échange</v>
      </c>
    </row>
    <row r="3140" ht="19.5" customHeight="1">
      <c r="A3140" s="26" t="s">
        <v>8465</v>
      </c>
      <c r="B3140" s="27" t="s">
        <v>8466</v>
      </c>
      <c r="C3140" s="28" t="s">
        <v>178</v>
      </c>
      <c r="D3140" s="29">
        <v>74.0</v>
      </c>
      <c r="E3140" s="28" t="s">
        <v>8467</v>
      </c>
      <c r="F3140" s="7" t="str">
        <f>IFERROR(__xludf.DUMMYFUNCTION("GOOGLETRANSLATE(B3140:B5064,""en"",""fr"")"),"herbe")</f>
        <v>herbe</v>
      </c>
    </row>
    <row r="3141" ht="19.5" customHeight="1">
      <c r="A3141" s="26" t="s">
        <v>8468</v>
      </c>
      <c r="B3141" s="27" t="s">
        <v>8469</v>
      </c>
      <c r="C3141" s="28" t="s">
        <v>178</v>
      </c>
      <c r="D3141" s="29">
        <v>74.0</v>
      </c>
      <c r="E3141" s="28" t="s">
        <v>8470</v>
      </c>
      <c r="F3141" s="7" t="str">
        <f>IFERROR(__xludf.DUMMYFUNCTION("GOOGLETRANSLATE(B3141:B5064,""en"",""fr"")"),"malentendu")</f>
        <v>malentendu</v>
      </c>
    </row>
    <row r="3142" ht="19.5" customHeight="1">
      <c r="A3142" s="26" t="s">
        <v>8471</v>
      </c>
      <c r="B3142" s="27" t="s">
        <v>8472</v>
      </c>
      <c r="C3142" s="28" t="s">
        <v>178</v>
      </c>
      <c r="D3142" s="29">
        <v>74.0</v>
      </c>
      <c r="E3142" s="28" t="s">
        <v>8473</v>
      </c>
      <c r="F3142" s="7" t="str">
        <f>IFERROR(__xludf.DUMMYFUNCTION("GOOGLETRANSLATE(B3142:B5064,""en"",""fr"")"),"réunion")</f>
        <v>réunion</v>
      </c>
    </row>
    <row r="3143" ht="19.5" customHeight="1">
      <c r="A3143" s="26" t="s">
        <v>8474</v>
      </c>
      <c r="B3143" s="27" t="s">
        <v>6094</v>
      </c>
      <c r="C3143" s="28" t="s">
        <v>178</v>
      </c>
      <c r="D3143" s="29">
        <v>74.0</v>
      </c>
      <c r="E3143" s="28" t="s">
        <v>8475</v>
      </c>
      <c r="F3143" s="7" t="str">
        <f>IFERROR(__xludf.DUMMYFUNCTION("GOOGLETRANSLATE(B3143:B5064,""en"",""fr"")"),"se précipiter")</f>
        <v>se précipiter</v>
      </c>
    </row>
    <row r="3144" ht="19.5" customHeight="1">
      <c r="A3144" s="26" t="s">
        <v>8476</v>
      </c>
      <c r="B3144" s="27" t="s">
        <v>8477</v>
      </c>
      <c r="C3144" s="28" t="s">
        <v>134</v>
      </c>
      <c r="D3144" s="29">
        <v>74.0</v>
      </c>
      <c r="E3144" s="28" t="s">
        <v>8477</v>
      </c>
      <c r="F3144" s="7" t="str">
        <f>IFERROR(__xludf.DUMMYFUNCTION("GOOGLETRANSLATE(B3144:B5064,""en"",""fr"")"),"sacré")</f>
        <v>sacré</v>
      </c>
    </row>
    <row r="3145" ht="19.5" customHeight="1">
      <c r="A3145" s="26" t="s">
        <v>8478</v>
      </c>
      <c r="B3145" s="27" t="s">
        <v>8479</v>
      </c>
      <c r="C3145" s="28" t="s">
        <v>178</v>
      </c>
      <c r="D3145" s="29">
        <v>74.0</v>
      </c>
      <c r="E3145" s="28" t="s">
        <v>8480</v>
      </c>
      <c r="F3145" s="7" t="str">
        <f>IFERROR(__xludf.DUMMYFUNCTION("GOOGLETRANSLATE(B3145:B5064,""en"",""fr"")"),"sergent")</f>
        <v>sergent</v>
      </c>
    </row>
    <row r="3146" ht="19.5" customHeight="1">
      <c r="A3146" s="26" t="s">
        <v>8481</v>
      </c>
      <c r="B3146" s="27" t="s">
        <v>8482</v>
      </c>
      <c r="C3146" s="28" t="s">
        <v>178</v>
      </c>
      <c r="D3146" s="29">
        <v>74.0</v>
      </c>
      <c r="E3146" s="28" t="s">
        <v>8483</v>
      </c>
      <c r="F3146" s="7" t="str">
        <f>IFERROR(__xludf.DUMMYFUNCTION("GOOGLETRANSLATE(B3146:B5064,""en"",""fr"")"),"solo")</f>
        <v>solo</v>
      </c>
    </row>
    <row r="3147" ht="19.5" customHeight="1">
      <c r="A3147" s="26" t="s">
        <v>8484</v>
      </c>
      <c r="B3147" s="27" t="s">
        <v>8485</v>
      </c>
      <c r="C3147" s="28" t="s">
        <v>178</v>
      </c>
      <c r="D3147" s="29">
        <v>74.0</v>
      </c>
      <c r="E3147" s="28" t="s">
        <v>8486</v>
      </c>
      <c r="F3147" s="7" t="str">
        <f>IFERROR(__xludf.DUMMYFUNCTION("GOOGLETRANSLATE(B3147:B5064,""en"",""fr"")"),"sirop")</f>
        <v>sirop</v>
      </c>
    </row>
    <row r="3148" ht="19.5" customHeight="1">
      <c r="A3148" s="26" t="s">
        <v>8487</v>
      </c>
      <c r="B3148" s="27" t="s">
        <v>8488</v>
      </c>
      <c r="C3148" s="28" t="s">
        <v>36</v>
      </c>
      <c r="D3148" s="29">
        <v>74.0</v>
      </c>
      <c r="E3148" s="28" t="s">
        <v>8488</v>
      </c>
      <c r="F3148" s="7" t="str">
        <f>IFERROR(__xludf.DUMMYFUNCTION("GOOGLETRANSLATE(B3148:B5064,""en"",""fr"")"),"donc")</f>
        <v>donc</v>
      </c>
    </row>
    <row r="3149" ht="19.5" customHeight="1">
      <c r="A3149" s="26" t="s">
        <v>8489</v>
      </c>
      <c r="B3149" s="27" t="s">
        <v>8490</v>
      </c>
      <c r="C3149" s="28" t="s">
        <v>178</v>
      </c>
      <c r="D3149" s="29">
        <v>74.0</v>
      </c>
      <c r="E3149" s="28" t="s">
        <v>8491</v>
      </c>
      <c r="F3149" s="7" t="str">
        <f>IFERROR(__xludf.DUMMYFUNCTION("GOOGLETRANSLATE(B3149:B5064,""en"",""fr"")"),"Horaire")</f>
        <v>Horaire</v>
      </c>
    </row>
    <row r="3150" ht="19.5" customHeight="1">
      <c r="A3150" s="26" t="s">
        <v>8492</v>
      </c>
      <c r="B3150" s="27" t="s">
        <v>268</v>
      </c>
      <c r="C3150" s="28" t="s">
        <v>36</v>
      </c>
      <c r="D3150" s="29">
        <v>74.0</v>
      </c>
      <c r="E3150" s="28" t="s">
        <v>268</v>
      </c>
      <c r="F3150" s="7" t="str">
        <f>IFERROR(__xludf.DUMMYFUNCTION("GOOGLETRANSLATE(B3150:B5064,""en"",""fr"")"),"où")</f>
        <v>où</v>
      </c>
    </row>
    <row r="3151" ht="19.5" customHeight="1">
      <c r="A3151" s="26" t="s">
        <v>8493</v>
      </c>
      <c r="B3151" s="27" t="s">
        <v>8494</v>
      </c>
      <c r="C3151" s="28" t="s">
        <v>178</v>
      </c>
      <c r="D3151" s="29">
        <v>74.0</v>
      </c>
      <c r="E3151" s="28" t="s">
        <v>8495</v>
      </c>
      <c r="F3151" s="7" t="str">
        <f>IFERROR(__xludf.DUMMYFUNCTION("GOOGLETRANSLATE(B3151:B5064,""en"",""fr"")"),"siffler")</f>
        <v>siffler</v>
      </c>
    </row>
    <row r="3152" ht="19.5" customHeight="1">
      <c r="A3152" s="26" t="s">
        <v>8496</v>
      </c>
      <c r="B3152" s="27" t="s">
        <v>8497</v>
      </c>
      <c r="C3152" s="28" t="s">
        <v>178</v>
      </c>
      <c r="D3152" s="29">
        <v>74.0</v>
      </c>
      <c r="E3152" s="28" t="s">
        <v>8498</v>
      </c>
      <c r="F3152" s="7" t="str">
        <f>IFERROR(__xludf.DUMMYFUNCTION("GOOGLETRANSLATE(B3152:B5064,""en"",""fr"")"),"chevalier")</f>
        <v>chevalier</v>
      </c>
    </row>
    <row r="3153" ht="19.5" customHeight="1">
      <c r="A3153" s="26" t="s">
        <v>8499</v>
      </c>
      <c r="B3153" s="27" t="s">
        <v>2476</v>
      </c>
      <c r="C3153" s="28" t="s">
        <v>100</v>
      </c>
      <c r="D3153" s="29">
        <v>73.0</v>
      </c>
      <c r="E3153" s="28" t="s">
        <v>2476</v>
      </c>
      <c r="F3153" s="7" t="str">
        <f>IFERROR(__xludf.DUMMYFUNCTION("GOOGLETRANSLATE(B3153:B5064,""en"",""fr"")"),"affreux")</f>
        <v>affreux</v>
      </c>
    </row>
    <row r="3154" ht="19.5" customHeight="1">
      <c r="A3154" s="26" t="s">
        <v>8500</v>
      </c>
      <c r="B3154" s="27" t="s">
        <v>8501</v>
      </c>
      <c r="C3154" s="28" t="s">
        <v>178</v>
      </c>
      <c r="D3154" s="29">
        <v>73.0</v>
      </c>
      <c r="E3154" s="28" t="s">
        <v>8502</v>
      </c>
      <c r="F3154" s="7" t="str">
        <f>IFERROR(__xludf.DUMMYFUNCTION("GOOGLETRANSLATE(B3154:B5064,""en"",""fr"")"),"ballet")</f>
        <v>ballet</v>
      </c>
    </row>
    <row r="3155" ht="19.5" customHeight="1">
      <c r="A3155" s="26" t="s">
        <v>8503</v>
      </c>
      <c r="B3155" s="27" t="s">
        <v>8504</v>
      </c>
      <c r="C3155" s="28" t="s">
        <v>178</v>
      </c>
      <c r="D3155" s="29">
        <v>73.0</v>
      </c>
      <c r="E3155" s="28" t="s">
        <v>8505</v>
      </c>
      <c r="F3155" s="7" t="str">
        <f>IFERROR(__xludf.DUMMYFUNCTION("GOOGLETRANSLATE(B3155:B5064,""en"",""fr"")"),"lame")</f>
        <v>lame</v>
      </c>
    </row>
    <row r="3156" ht="19.5" customHeight="1">
      <c r="A3156" s="26" t="s">
        <v>8506</v>
      </c>
      <c r="B3156" s="27" t="s">
        <v>8507</v>
      </c>
      <c r="C3156" s="28" t="s">
        <v>178</v>
      </c>
      <c r="D3156" s="29">
        <v>73.0</v>
      </c>
      <c r="E3156" s="28" t="s">
        <v>8508</v>
      </c>
      <c r="F3156" s="7" t="str">
        <f>IFERROR(__xludf.DUMMYFUNCTION("GOOGLETRANSLATE(B3156:B5064,""en"",""fr"")"),"explosion")</f>
        <v>explosion</v>
      </c>
    </row>
    <row r="3157" ht="19.5" customHeight="1">
      <c r="A3157" s="26" t="s">
        <v>8509</v>
      </c>
      <c r="B3157" s="27" t="s">
        <v>8510</v>
      </c>
      <c r="C3157" s="28" t="s">
        <v>178</v>
      </c>
      <c r="D3157" s="29">
        <v>73.0</v>
      </c>
      <c r="E3157" s="28" t="s">
        <v>8511</v>
      </c>
      <c r="F3157" s="7" t="str">
        <f>IFERROR(__xludf.DUMMYFUNCTION("GOOGLETRANSLATE(B3157:B5064,""en"",""fr"")"),"fête")</f>
        <v>fête</v>
      </c>
    </row>
    <row r="3158" ht="19.5" customHeight="1">
      <c r="A3158" s="26" t="s">
        <v>8512</v>
      </c>
      <c r="B3158" s="27" t="s">
        <v>8513</v>
      </c>
      <c r="C3158" s="28" t="s">
        <v>178</v>
      </c>
      <c r="D3158" s="29">
        <v>73.0</v>
      </c>
      <c r="E3158" s="28" t="s">
        <v>8514</v>
      </c>
      <c r="F3158" s="7" t="str">
        <f>IFERROR(__xludf.DUMMYFUNCTION("GOOGLETRANSLATE(B3158:B5064,""en"",""fr"")"),"cheesecake")</f>
        <v>cheesecake</v>
      </c>
    </row>
    <row r="3159" ht="19.5" customHeight="1">
      <c r="A3159" s="26" t="s">
        <v>8515</v>
      </c>
      <c r="B3159" s="27" t="s">
        <v>8516</v>
      </c>
      <c r="C3159" s="28" t="s">
        <v>32</v>
      </c>
      <c r="D3159" s="29">
        <v>73.0</v>
      </c>
      <c r="E3159" s="28" t="s">
        <v>8517</v>
      </c>
      <c r="F3159" s="7" t="str">
        <f>IFERROR(__xludf.DUMMYFUNCTION("GOOGLETRANSLATE(B3159:B5064,""en"",""fr"")"),"communiquer")</f>
        <v>communiquer</v>
      </c>
    </row>
    <row r="3160" ht="19.5" customHeight="1">
      <c r="A3160" s="26" t="s">
        <v>8518</v>
      </c>
      <c r="B3160" s="27" t="s">
        <v>8519</v>
      </c>
      <c r="C3160" s="28" t="s">
        <v>178</v>
      </c>
      <c r="D3160" s="29">
        <v>73.0</v>
      </c>
      <c r="E3160" s="28" t="s">
        <v>8520</v>
      </c>
      <c r="F3160" s="7" t="str">
        <f>IFERROR(__xludf.DUMMYFUNCTION("GOOGLETRANSLATE(B3160:B5064,""en"",""fr"")"),"toux")</f>
        <v>toux</v>
      </c>
    </row>
    <row r="3161" ht="19.5" customHeight="1">
      <c r="A3161" s="26" t="s">
        <v>8521</v>
      </c>
      <c r="B3161" s="27" t="s">
        <v>8522</v>
      </c>
      <c r="C3161" s="28" t="s">
        <v>32</v>
      </c>
      <c r="D3161" s="29">
        <v>73.0</v>
      </c>
      <c r="E3161" s="28" t="s">
        <v>8523</v>
      </c>
      <c r="F3161" s="7" t="str">
        <f>IFERROR(__xludf.DUMMYFUNCTION("GOOGLETRANSLATE(B3161:B5064,""en"",""fr"")"),"paralyser")</f>
        <v>paralyser</v>
      </c>
    </row>
    <row r="3162" ht="19.5" customHeight="1">
      <c r="A3162" s="26" t="s">
        <v>8524</v>
      </c>
      <c r="B3162" s="27" t="s">
        <v>8525</v>
      </c>
      <c r="C3162" s="28" t="s">
        <v>150</v>
      </c>
      <c r="D3162" s="29">
        <v>73.0</v>
      </c>
      <c r="E3162" s="28" t="s">
        <v>8526</v>
      </c>
      <c r="F3162" s="7" t="str">
        <f>IFERROR(__xludf.DUMMYFUNCTION("GOOGLETRANSLATE(B3162:B5064,""en"",""fr"")"),"douzaine")</f>
        <v>douzaine</v>
      </c>
    </row>
    <row r="3163" ht="19.5" customHeight="1">
      <c r="A3163" s="26" t="s">
        <v>8527</v>
      </c>
      <c r="B3163" s="27" t="s">
        <v>1060</v>
      </c>
      <c r="C3163" s="28" t="s">
        <v>178</v>
      </c>
      <c r="D3163" s="29">
        <v>73.0</v>
      </c>
      <c r="E3163" s="28" t="s">
        <v>8528</v>
      </c>
      <c r="F3163" s="7" t="str">
        <f>IFERROR(__xludf.DUMMYFUNCTION("GOOGLETRANSLATE(B3163:B5064,""en"",""fr"")"),"automne")</f>
        <v>automne</v>
      </c>
    </row>
    <row r="3164" ht="19.5" customHeight="1">
      <c r="A3164" s="26" t="s">
        <v>8529</v>
      </c>
      <c r="B3164" s="27" t="s">
        <v>8530</v>
      </c>
      <c r="C3164" s="28" t="s">
        <v>134</v>
      </c>
      <c r="D3164" s="29">
        <v>73.0</v>
      </c>
      <c r="E3164" s="28" t="s">
        <v>8530</v>
      </c>
      <c r="F3164" s="7" t="str">
        <f>IFERROR(__xludf.DUMMYFUNCTION("GOOGLETRANSLATE(B3164:B5064,""en"",""fr"")"),"suivant")</f>
        <v>suivant</v>
      </c>
    </row>
    <row r="3165" ht="19.5" customHeight="1">
      <c r="A3165" s="26" t="s">
        <v>8531</v>
      </c>
      <c r="B3165" s="27" t="s">
        <v>8532</v>
      </c>
      <c r="C3165" s="28" t="s">
        <v>85</v>
      </c>
      <c r="D3165" s="29">
        <v>73.0</v>
      </c>
      <c r="E3165" s="28" t="s">
        <v>8533</v>
      </c>
      <c r="F3165" s="7" t="str">
        <f>IFERROR(__xludf.DUMMYFUNCTION("GOOGLETRANSLATE(B3165:B5064,""en"",""fr"")"),"putain")</f>
        <v>putain</v>
      </c>
    </row>
    <row r="3166" ht="19.5" customHeight="1">
      <c r="A3166" s="26" t="s">
        <v>8534</v>
      </c>
      <c r="B3166" s="27" t="s">
        <v>8535</v>
      </c>
      <c r="C3166" s="28" t="s">
        <v>178</v>
      </c>
      <c r="D3166" s="29">
        <v>73.0</v>
      </c>
      <c r="E3166" s="28" t="s">
        <v>8536</v>
      </c>
      <c r="F3166" s="7" t="str">
        <f>IFERROR(__xludf.DUMMYFUNCTION("GOOGLETRANSLATE(B3166:B5064,""en"",""fr"")"),"talon")</f>
        <v>talon</v>
      </c>
    </row>
    <row r="3167" ht="19.5" customHeight="1">
      <c r="A3167" s="26" t="s">
        <v>8537</v>
      </c>
      <c r="B3167" s="27" t="s">
        <v>670</v>
      </c>
      <c r="C3167" s="28" t="s">
        <v>178</v>
      </c>
      <c r="D3167" s="29">
        <v>73.0</v>
      </c>
      <c r="E3167" s="28" t="s">
        <v>8538</v>
      </c>
      <c r="F3167" s="7" t="str">
        <f>IFERROR(__xludf.DUMMYFUNCTION("GOOGLETRANSLATE(B3167:B5064,""en"",""fr"")"),"prise")</f>
        <v>prise</v>
      </c>
    </row>
    <row r="3168" ht="19.5" customHeight="1">
      <c r="A3168" s="26" t="s">
        <v>8539</v>
      </c>
      <c r="B3168" s="27" t="s">
        <v>8540</v>
      </c>
      <c r="C3168" s="28" t="s">
        <v>178</v>
      </c>
      <c r="D3168" s="29">
        <v>73.0</v>
      </c>
      <c r="E3168" s="28" t="s">
        <v>8541</v>
      </c>
      <c r="F3168" s="7" t="str">
        <f>IFERROR(__xludf.DUMMYFUNCTION("GOOGLETRANSLATE(B3168:B5064,""en"",""fr"")"),"garçon")</f>
        <v>garçon</v>
      </c>
    </row>
    <row r="3169" ht="19.5" customHeight="1">
      <c r="A3169" s="26" t="s">
        <v>8542</v>
      </c>
      <c r="B3169" s="27" t="s">
        <v>8543</v>
      </c>
      <c r="C3169" s="28" t="s">
        <v>178</v>
      </c>
      <c r="D3169" s="29">
        <v>73.0</v>
      </c>
      <c r="E3169" s="28" t="s">
        <v>8544</v>
      </c>
      <c r="F3169" s="7" t="str">
        <f>IFERROR(__xludf.DUMMYFUNCTION("GOOGLETRANSLATE(B3169:B5064,""en"",""fr"")"),"midi")</f>
        <v>midi</v>
      </c>
    </row>
    <row r="3170" ht="19.5" customHeight="1">
      <c r="A3170" s="26" t="s">
        <v>8545</v>
      </c>
      <c r="B3170" s="27" t="s">
        <v>8546</v>
      </c>
      <c r="C3170" s="28" t="s">
        <v>178</v>
      </c>
      <c r="D3170" s="29">
        <v>73.0</v>
      </c>
      <c r="E3170" s="28" t="s">
        <v>8547</v>
      </c>
      <c r="F3170" s="7" t="str">
        <f>IFERROR(__xludf.DUMMYFUNCTION("GOOGLETRANSLATE(B3170:B5064,""en"",""fr"")"),"oignon")</f>
        <v>oignon</v>
      </c>
    </row>
    <row r="3171" ht="19.5" customHeight="1">
      <c r="A3171" s="26" t="s">
        <v>8548</v>
      </c>
      <c r="B3171" s="27" t="s">
        <v>3124</v>
      </c>
      <c r="C3171" s="28" t="s">
        <v>32</v>
      </c>
      <c r="D3171" s="29">
        <v>73.0</v>
      </c>
      <c r="E3171" s="28" t="s">
        <v>8549</v>
      </c>
      <c r="F3171" s="7" t="str">
        <f>IFERROR(__xludf.DUMMYFUNCTION("GOOGLETRANSLATE(B3171:B5064,""en"",""fr"")"),"livre")</f>
        <v>livre</v>
      </c>
    </row>
    <row r="3172" ht="19.5" customHeight="1">
      <c r="A3172" s="26" t="s">
        <v>8550</v>
      </c>
      <c r="B3172" s="27" t="s">
        <v>8551</v>
      </c>
      <c r="C3172" s="28" t="s">
        <v>32</v>
      </c>
      <c r="D3172" s="29">
        <v>73.0</v>
      </c>
      <c r="E3172" s="28" t="s">
        <v>8552</v>
      </c>
      <c r="F3172" s="7" t="str">
        <f>IFERROR(__xludf.DUMMYFUNCTION("GOOGLETRANSLATE(B3172:B5064,""en"",""fr"")"),"soulager")</f>
        <v>soulager</v>
      </c>
    </row>
    <row r="3173" ht="19.5" customHeight="1">
      <c r="A3173" s="26" t="s">
        <v>8553</v>
      </c>
      <c r="B3173" s="27" t="s">
        <v>8554</v>
      </c>
      <c r="C3173" s="28" t="s">
        <v>178</v>
      </c>
      <c r="D3173" s="29">
        <v>73.0</v>
      </c>
      <c r="E3173" s="28" t="s">
        <v>8555</v>
      </c>
      <c r="F3173" s="7" t="str">
        <f>IFERROR(__xludf.DUMMYFUNCTION("GOOGLETRANSLATE(B3173:B5064,""en"",""fr"")"),"économie")</f>
        <v>économie</v>
      </c>
    </row>
    <row r="3174" ht="19.5" customHeight="1">
      <c r="A3174" s="26" t="s">
        <v>8556</v>
      </c>
      <c r="B3174" s="27" t="s">
        <v>8557</v>
      </c>
      <c r="C3174" s="28" t="s">
        <v>178</v>
      </c>
      <c r="D3174" s="29">
        <v>73.0</v>
      </c>
      <c r="E3174" s="28" t="s">
        <v>8558</v>
      </c>
      <c r="F3174" s="7" t="str">
        <f>IFERROR(__xludf.DUMMYFUNCTION("GOOGLETRANSLATE(B3174:B5064,""en"",""fr"")"),"schème")</f>
        <v>schème</v>
      </c>
    </row>
    <row r="3175" ht="19.5" customHeight="1">
      <c r="A3175" s="26" t="s">
        <v>8559</v>
      </c>
      <c r="B3175" s="27" t="s">
        <v>8560</v>
      </c>
      <c r="C3175" s="28" t="s">
        <v>178</v>
      </c>
      <c r="D3175" s="29">
        <v>73.0</v>
      </c>
      <c r="E3175" s="28" t="s">
        <v>8561</v>
      </c>
      <c r="F3175" s="7" t="str">
        <f>IFERROR(__xludf.DUMMYFUNCTION("GOOGLETRANSLATE(B3175:B5064,""en"",""fr"")"),"silence")</f>
        <v>silence</v>
      </c>
    </row>
    <row r="3176" ht="19.5" customHeight="1">
      <c r="A3176" s="26" t="s">
        <v>8562</v>
      </c>
      <c r="B3176" s="27" t="s">
        <v>8563</v>
      </c>
      <c r="C3176" s="28" t="s">
        <v>32</v>
      </c>
      <c r="D3176" s="29">
        <v>73.0</v>
      </c>
      <c r="E3176" s="28" t="s">
        <v>8564</v>
      </c>
      <c r="F3176" s="7" t="str">
        <f>IFERROR(__xludf.DUMMYFUNCTION("GOOGLETRANSLATE(B3176:B5064,""en"",""fr"")"),"patin")</f>
        <v>patin</v>
      </c>
    </row>
    <row r="3177" ht="19.5" customHeight="1">
      <c r="A3177" s="26" t="s">
        <v>8565</v>
      </c>
      <c r="B3177" s="27" t="s">
        <v>8566</v>
      </c>
      <c r="C3177" s="28" t="s">
        <v>150</v>
      </c>
      <c r="D3177" s="29">
        <v>73.0</v>
      </c>
      <c r="E3177" s="28" t="s">
        <v>8566</v>
      </c>
      <c r="F3177" s="7" t="str">
        <f>IFERROR(__xludf.DUMMYFUNCTION("GOOGLETRANSLATE(B3177:B5064,""en"",""fr"")"),"vingt-deux")</f>
        <v>vingt-deux</v>
      </c>
    </row>
    <row r="3178" ht="19.5" customHeight="1">
      <c r="A3178" s="26" t="s">
        <v>8567</v>
      </c>
      <c r="B3178" s="27" t="s">
        <v>8568</v>
      </c>
      <c r="C3178" s="28" t="s">
        <v>32</v>
      </c>
      <c r="D3178" s="29">
        <v>73.0</v>
      </c>
      <c r="E3178" s="28" t="s">
        <v>8569</v>
      </c>
      <c r="F3178" s="7" t="str">
        <f>IFERROR(__xludf.DUMMYFUNCTION("GOOGLETRANSLATE(B3178:B5064,""en"",""fr"")"),"bénévole")</f>
        <v>bénévole</v>
      </c>
    </row>
    <row r="3179" ht="19.5" customHeight="1">
      <c r="A3179" s="26" t="s">
        <v>8570</v>
      </c>
      <c r="B3179" s="27" t="s">
        <v>8571</v>
      </c>
      <c r="C3179" s="28" t="s">
        <v>178</v>
      </c>
      <c r="D3179" s="29">
        <v>72.0</v>
      </c>
      <c r="E3179" s="28" t="s">
        <v>8572</v>
      </c>
      <c r="F3179" s="7" t="str">
        <f>IFERROR(__xludf.DUMMYFUNCTION("GOOGLETRANSLATE(B3179:B5064,""en"",""fr"")"),"application")</f>
        <v>application</v>
      </c>
    </row>
    <row r="3180" ht="19.5" customHeight="1">
      <c r="A3180" s="26" t="s">
        <v>8573</v>
      </c>
      <c r="B3180" s="27" t="s">
        <v>8574</v>
      </c>
      <c r="C3180" s="28" t="s">
        <v>178</v>
      </c>
      <c r="D3180" s="29">
        <v>72.0</v>
      </c>
      <c r="E3180" s="28" t="s">
        <v>8575</v>
      </c>
      <c r="F3180" s="7" t="str">
        <f>IFERROR(__xludf.DUMMYFUNCTION("GOOGLETRANSLATE(B3180:B5064,""en"",""fr"")"),"cannelle")</f>
        <v>cannelle</v>
      </c>
    </row>
    <row r="3181" ht="19.5" customHeight="1">
      <c r="A3181" s="26" t="s">
        <v>8576</v>
      </c>
      <c r="B3181" s="27" t="s">
        <v>8577</v>
      </c>
      <c r="C3181" s="28" t="s">
        <v>178</v>
      </c>
      <c r="D3181" s="29">
        <v>72.0</v>
      </c>
      <c r="E3181" s="28" t="s">
        <v>8578</v>
      </c>
      <c r="F3181" s="7" t="str">
        <f>IFERROR(__xludf.DUMMYFUNCTION("GOOGLETRANSLATE(B3181:B5064,""en"",""fr"")"),"noix de coco")</f>
        <v>noix de coco</v>
      </c>
    </row>
    <row r="3182" ht="19.5" customHeight="1">
      <c r="A3182" s="26" t="s">
        <v>8579</v>
      </c>
      <c r="B3182" s="27" t="s">
        <v>8580</v>
      </c>
      <c r="C3182" s="28" t="s">
        <v>178</v>
      </c>
      <c r="D3182" s="29">
        <v>72.0</v>
      </c>
      <c r="E3182" s="28" t="s">
        <v>8581</v>
      </c>
      <c r="F3182" s="7" t="str">
        <f>IFERROR(__xludf.DUMMYFUNCTION("GOOGLETRANSLATE(B3182:B5064,""en"",""fr"")"),"construction")</f>
        <v>construction</v>
      </c>
    </row>
    <row r="3183" ht="19.5" customHeight="1">
      <c r="A3183" s="26" t="s">
        <v>8582</v>
      </c>
      <c r="B3183" s="27" t="s">
        <v>7621</v>
      </c>
      <c r="C3183" s="28" t="s">
        <v>32</v>
      </c>
      <c r="D3183" s="29">
        <v>72.0</v>
      </c>
      <c r="E3183" s="28" t="s">
        <v>8583</v>
      </c>
      <c r="F3183" s="7" t="str">
        <f>IFERROR(__xludf.DUMMYFUNCTION("GOOGLETRANSLATE(B3183:B5064,""en"",""fr"")"),"malédiction")</f>
        <v>malédiction</v>
      </c>
    </row>
    <row r="3184" ht="19.5" customHeight="1">
      <c r="A3184" s="26" t="s">
        <v>8584</v>
      </c>
      <c r="B3184" s="27" t="s">
        <v>8585</v>
      </c>
      <c r="C3184" s="28" t="s">
        <v>728</v>
      </c>
      <c r="D3184" s="29">
        <v>72.0</v>
      </c>
      <c r="E3184" s="28" t="s">
        <v>8586</v>
      </c>
      <c r="F3184" s="7" t="str">
        <f>IFERROR(__xludf.DUMMYFUNCTION("GOOGLETRANSLATE(B3184:B5064,""en"",""fr"")"),"Pâques")</f>
        <v>Pâques</v>
      </c>
    </row>
    <row r="3185" ht="19.5" customHeight="1">
      <c r="A3185" s="26" t="s">
        <v>8587</v>
      </c>
      <c r="B3185" s="27" t="s">
        <v>8588</v>
      </c>
      <c r="C3185" s="28" t="s">
        <v>178</v>
      </c>
      <c r="D3185" s="29">
        <v>72.0</v>
      </c>
      <c r="E3185" s="28" t="s">
        <v>8589</v>
      </c>
      <c r="F3185" s="7" t="str">
        <f>IFERROR(__xludf.DUMMYFUNCTION("GOOGLETRANSLATE(B3185:B5064,""en"",""fr"")"),"ex petite amie")</f>
        <v>ex petite amie</v>
      </c>
    </row>
    <row r="3186" ht="19.5" customHeight="1">
      <c r="A3186" s="26" t="s">
        <v>8590</v>
      </c>
      <c r="B3186" s="27" t="s">
        <v>8591</v>
      </c>
      <c r="C3186" s="28" t="s">
        <v>32</v>
      </c>
      <c r="D3186" s="29">
        <v>72.0</v>
      </c>
      <c r="E3186" s="28" t="s">
        <v>8592</v>
      </c>
      <c r="F3186" s="7" t="str">
        <f>IFERROR(__xludf.DUMMYFUNCTION("GOOGLETRANSLATE(B3186:B5064,""en"",""fr"")"),"explorer")</f>
        <v>explorer</v>
      </c>
    </row>
    <row r="3187" ht="19.5" customHeight="1">
      <c r="A3187" s="26" t="s">
        <v>8593</v>
      </c>
      <c r="B3187" s="27" t="s">
        <v>7698</v>
      </c>
      <c r="C3187" s="28" t="s">
        <v>32</v>
      </c>
      <c r="D3187" s="29">
        <v>72.0</v>
      </c>
      <c r="E3187" s="28" t="s">
        <v>8594</v>
      </c>
      <c r="F3187" s="7" t="str">
        <f>IFERROR(__xludf.DUMMYFUNCTION("GOOGLETRANSLATE(B3187:B5064,""en"",""fr"")"),"cadre")</f>
        <v>cadre</v>
      </c>
    </row>
    <row r="3188" ht="19.5" customHeight="1">
      <c r="A3188" s="26" t="s">
        <v>8595</v>
      </c>
      <c r="B3188" s="27" t="s">
        <v>8596</v>
      </c>
      <c r="C3188" s="28" t="s">
        <v>178</v>
      </c>
      <c r="D3188" s="29">
        <v>72.0</v>
      </c>
      <c r="E3188" s="28" t="s">
        <v>8597</v>
      </c>
      <c r="F3188" s="7" t="str">
        <f>IFERROR(__xludf.DUMMYFUNCTION("GOOGLETRANSLATE(B3188:B5064,""en"",""fr"")"),"Autoroute")</f>
        <v>Autoroute</v>
      </c>
    </row>
    <row r="3189" ht="19.5" customHeight="1">
      <c r="A3189" s="26" t="s">
        <v>8598</v>
      </c>
      <c r="B3189" s="27" t="s">
        <v>8599</v>
      </c>
      <c r="C3189" s="28" t="s">
        <v>32</v>
      </c>
      <c r="D3189" s="29">
        <v>72.0</v>
      </c>
      <c r="E3189" s="28" t="s">
        <v>8600</v>
      </c>
      <c r="F3189" s="7" t="str">
        <f>IFERROR(__xludf.DUMMYFUNCTION("GOOGLETRANSLATE(B3189:B5064,""en"",""fr"")"),"impliquer")</f>
        <v>impliquer</v>
      </c>
    </row>
    <row r="3190" ht="19.5" customHeight="1">
      <c r="A3190" s="26" t="s">
        <v>8601</v>
      </c>
      <c r="B3190" s="27" t="s">
        <v>8602</v>
      </c>
      <c r="C3190" s="28" t="s">
        <v>178</v>
      </c>
      <c r="D3190" s="29">
        <v>72.0</v>
      </c>
      <c r="E3190" s="28" t="s">
        <v>8603</v>
      </c>
      <c r="F3190" s="7" t="str">
        <f>IFERROR(__xludf.DUMMYFUNCTION("GOOGLETRANSLATE(B3190:B5064,""en"",""fr"")"),"poterie")</f>
        <v>poterie</v>
      </c>
    </row>
    <row r="3191" ht="19.5" customHeight="1">
      <c r="A3191" s="26" t="s">
        <v>8604</v>
      </c>
      <c r="B3191" s="27" t="s">
        <v>8605</v>
      </c>
      <c r="C3191" s="28" t="s">
        <v>32</v>
      </c>
      <c r="D3191" s="29">
        <v>72.0</v>
      </c>
      <c r="E3191" s="28" t="s">
        <v>8606</v>
      </c>
      <c r="F3191" s="7" t="str">
        <f>IFERROR(__xludf.DUMMYFUNCTION("GOOGLETRANSLATE(B3191:B5064,""en"",""fr"")"),"tremper")</f>
        <v>tremper</v>
      </c>
    </row>
    <row r="3192" ht="19.5" customHeight="1">
      <c r="A3192" s="26" t="s">
        <v>8607</v>
      </c>
      <c r="B3192" s="27" t="s">
        <v>8608</v>
      </c>
      <c r="C3192" s="28" t="s">
        <v>178</v>
      </c>
      <c r="D3192" s="29">
        <v>72.0</v>
      </c>
      <c r="E3192" s="28" t="s">
        <v>8609</v>
      </c>
      <c r="F3192" s="7" t="str">
        <f>IFERROR(__xludf.DUMMYFUNCTION("GOOGLETRANSLATE(B3192:B5064,""en"",""fr"")"),"autocollant")</f>
        <v>autocollant</v>
      </c>
    </row>
    <row r="3193" ht="19.5" customHeight="1">
      <c r="A3193" s="26" t="s">
        <v>8610</v>
      </c>
      <c r="B3193" s="27" t="s">
        <v>8611</v>
      </c>
      <c r="C3193" s="28" t="s">
        <v>178</v>
      </c>
      <c r="D3193" s="29">
        <v>72.0</v>
      </c>
      <c r="E3193" s="28" t="s">
        <v>8612</v>
      </c>
      <c r="F3193" s="7" t="str">
        <f>IFERROR(__xludf.DUMMYFUNCTION("GOOGLETRANSLATE(B3193:B5064,""en"",""fr"")"),"survivant")</f>
        <v>survivant</v>
      </c>
    </row>
    <row r="3194" ht="19.5" customHeight="1">
      <c r="A3194" s="26" t="s">
        <v>8613</v>
      </c>
      <c r="B3194" s="27" t="s">
        <v>8614</v>
      </c>
      <c r="C3194" s="28" t="s">
        <v>178</v>
      </c>
      <c r="D3194" s="29">
        <v>72.0</v>
      </c>
      <c r="E3194" s="28" t="s">
        <v>8615</v>
      </c>
      <c r="F3194" s="7" t="str">
        <f>IFERROR(__xludf.DUMMYFUNCTION("GOOGLETRANSLATE(B3194:B5064,""en"",""fr"")"),"tâche")</f>
        <v>tâche</v>
      </c>
    </row>
    <row r="3195" ht="19.5" customHeight="1">
      <c r="A3195" s="26" t="s">
        <v>8616</v>
      </c>
      <c r="B3195" s="27" t="s">
        <v>8617</v>
      </c>
      <c r="C3195" s="28" t="s">
        <v>178</v>
      </c>
      <c r="D3195" s="29">
        <v>72.0</v>
      </c>
      <c r="E3195" s="28" t="s">
        <v>8617</v>
      </c>
      <c r="F3195" s="7" t="str">
        <f>IFERROR(__xludf.DUMMYFUNCTION("GOOGLETRANSLATE(B3195:B5064,""en"",""fr"")"),"yoga")</f>
        <v>yoga</v>
      </c>
    </row>
    <row r="3196" ht="19.5" customHeight="1">
      <c r="A3196" s="26" t="s">
        <v>8618</v>
      </c>
      <c r="B3196" s="27" t="s">
        <v>8619</v>
      </c>
      <c r="C3196" s="28" t="s">
        <v>178</v>
      </c>
      <c r="D3196" s="29">
        <v>71.0</v>
      </c>
      <c r="E3196" s="28" t="s">
        <v>8620</v>
      </c>
      <c r="F3196" s="7" t="str">
        <f>IFERROR(__xludf.DUMMYFUNCTION("GOOGLETRANSLATE(B3196:B5064,""en"",""fr"")"),"bête")</f>
        <v>bête</v>
      </c>
    </row>
    <row r="3197" ht="19.5" customHeight="1">
      <c r="A3197" s="26" t="s">
        <v>8621</v>
      </c>
      <c r="B3197" s="27" t="s">
        <v>8622</v>
      </c>
      <c r="C3197" s="28" t="s">
        <v>178</v>
      </c>
      <c r="D3197" s="29">
        <v>71.0</v>
      </c>
      <c r="E3197" s="28" t="s">
        <v>8623</v>
      </c>
      <c r="F3197" s="7" t="str">
        <f>IFERROR(__xludf.DUMMYFUNCTION("GOOGLETRANSLATE(B3197:B5064,""en"",""fr"")"),"la biologie")</f>
        <v>la biologie</v>
      </c>
    </row>
    <row r="3198" ht="19.5" customHeight="1">
      <c r="A3198" s="26" t="s">
        <v>8624</v>
      </c>
      <c r="B3198" s="27" t="s">
        <v>8625</v>
      </c>
      <c r="C3198" s="28" t="s">
        <v>32</v>
      </c>
      <c r="D3198" s="29">
        <v>71.0</v>
      </c>
      <c r="E3198" s="28" t="s">
        <v>8626</v>
      </c>
      <c r="F3198" s="7" t="str">
        <f>IFERROR(__xludf.DUMMYFUNCTION("GOOGLETRANSLATE(B3198:B5064,""en"",""fr"")"),"tailler")</f>
        <v>tailler</v>
      </c>
    </row>
    <row r="3199" ht="19.5" customHeight="1">
      <c r="A3199" s="26" t="s">
        <v>8627</v>
      </c>
      <c r="B3199" s="27" t="s">
        <v>8628</v>
      </c>
      <c r="C3199" s="28" t="s">
        <v>178</v>
      </c>
      <c r="D3199" s="29">
        <v>71.0</v>
      </c>
      <c r="E3199" s="28" t="s">
        <v>8629</v>
      </c>
      <c r="F3199" s="7" t="str">
        <f>IFERROR(__xludf.DUMMYFUNCTION("GOOGLETRANSLATE(B3199:B5064,""en"",""fr"")"),"destin")</f>
        <v>destin</v>
      </c>
    </row>
    <row r="3200" ht="19.5" customHeight="1">
      <c r="A3200" s="26" t="s">
        <v>8630</v>
      </c>
      <c r="B3200" s="27" t="s">
        <v>8631</v>
      </c>
      <c r="C3200" s="28" t="s">
        <v>178</v>
      </c>
      <c r="D3200" s="29">
        <v>71.0</v>
      </c>
      <c r="E3200" s="28" t="s">
        <v>8632</v>
      </c>
      <c r="F3200" s="7" t="str">
        <f>IFERROR(__xludf.DUMMYFUNCTION("GOOGLETRANSLATE(B3200:B5064,""en"",""fr"")"),"retenue")</f>
        <v>retenue</v>
      </c>
    </row>
    <row r="3201" ht="19.5" customHeight="1">
      <c r="A3201" s="26" t="s">
        <v>8633</v>
      </c>
      <c r="B3201" s="27" t="s">
        <v>8634</v>
      </c>
      <c r="C3201" s="28" t="s">
        <v>32</v>
      </c>
      <c r="D3201" s="29">
        <v>71.0</v>
      </c>
      <c r="E3201" s="28" t="s">
        <v>8635</v>
      </c>
      <c r="F3201" s="7" t="str">
        <f>IFERROR(__xludf.DUMMYFUNCTION("GOOGLETRANSLATE(B3201:B5064,""en"",""fr"")"),"direct")</f>
        <v>direct</v>
      </c>
    </row>
    <row r="3202" ht="19.5" customHeight="1">
      <c r="A3202" s="26" t="s">
        <v>8636</v>
      </c>
      <c r="B3202" s="27" t="s">
        <v>8637</v>
      </c>
      <c r="C3202" s="28" t="s">
        <v>178</v>
      </c>
      <c r="D3202" s="29">
        <v>71.0</v>
      </c>
      <c r="E3202" s="28" t="s">
        <v>8638</v>
      </c>
      <c r="F3202" s="7" t="str">
        <f>IFERROR(__xludf.DUMMYFUNCTION("GOOGLETRANSLATE(B3202:B5064,""en"",""fr"")"),"percer")</f>
        <v>percer</v>
      </c>
    </row>
    <row r="3203" ht="19.5" customHeight="1">
      <c r="A3203" s="26" t="s">
        <v>8639</v>
      </c>
      <c r="B3203" s="27" t="s">
        <v>7874</v>
      </c>
      <c r="C3203" s="28" t="s">
        <v>134</v>
      </c>
      <c r="D3203" s="29">
        <v>71.0</v>
      </c>
      <c r="E3203" s="28" t="s">
        <v>8640</v>
      </c>
      <c r="F3203" s="7" t="str">
        <f>IFERROR(__xludf.DUMMYFUNCTION("GOOGLETRANSLATE(B3203:B5064,""en"",""fr"")"),"ferme")</f>
        <v>ferme</v>
      </c>
    </row>
    <row r="3204" ht="19.5" customHeight="1">
      <c r="A3204" s="26" t="s">
        <v>8641</v>
      </c>
      <c r="B3204" s="27" t="s">
        <v>8642</v>
      </c>
      <c r="C3204" s="28" t="s">
        <v>32</v>
      </c>
      <c r="D3204" s="29">
        <v>71.0</v>
      </c>
      <c r="E3204" s="28" t="s">
        <v>8643</v>
      </c>
      <c r="F3204" s="7" t="str">
        <f>IFERROR(__xludf.DUMMYFUNCTION("GOOGLETRANSLATE(B3204:B5064,""en"",""fr"")"),"gril")</f>
        <v>gril</v>
      </c>
    </row>
    <row r="3205" ht="19.5" customHeight="1">
      <c r="A3205" s="26" t="s">
        <v>8644</v>
      </c>
      <c r="B3205" s="27" t="s">
        <v>8645</v>
      </c>
      <c r="C3205" s="28" t="s">
        <v>134</v>
      </c>
      <c r="D3205" s="29">
        <v>71.0</v>
      </c>
      <c r="E3205" s="28" t="s">
        <v>8645</v>
      </c>
      <c r="F3205" s="7" t="str">
        <f>IFERROR(__xludf.DUMMYFUNCTION("GOOGLETRANSLATE(B3205:B5064,""en"",""fr"")"),"potentiel")</f>
        <v>potentiel</v>
      </c>
    </row>
    <row r="3206" ht="19.5" customHeight="1">
      <c r="A3206" s="26" t="s">
        <v>8646</v>
      </c>
      <c r="B3206" s="27" t="s">
        <v>8647</v>
      </c>
      <c r="C3206" s="28" t="s">
        <v>178</v>
      </c>
      <c r="D3206" s="29">
        <v>71.0</v>
      </c>
      <c r="E3206" s="28" t="s">
        <v>8648</v>
      </c>
      <c r="F3206" s="7" t="str">
        <f>IFERROR(__xludf.DUMMYFUNCTION("GOOGLETRANSLATE(B3206:B5064,""en"",""fr"")"),"répétition")</f>
        <v>répétition</v>
      </c>
    </row>
    <row r="3207" ht="19.5" customHeight="1">
      <c r="A3207" s="26" t="s">
        <v>8649</v>
      </c>
      <c r="B3207" s="27" t="s">
        <v>8650</v>
      </c>
      <c r="C3207" s="28" t="s">
        <v>134</v>
      </c>
      <c r="D3207" s="29">
        <v>71.0</v>
      </c>
      <c r="E3207" s="28" t="s">
        <v>8650</v>
      </c>
      <c r="F3207" s="7" t="str">
        <f>IFERROR(__xludf.DUMMYFUNCTION("GOOGLETRANSLATE(B3207:B5064,""en"",""fr"")"),"en rapport")</f>
        <v>en rapport</v>
      </c>
    </row>
    <row r="3208" ht="19.5" customHeight="1">
      <c r="A3208" s="26" t="s">
        <v>8651</v>
      </c>
      <c r="B3208" s="27" t="s">
        <v>8652</v>
      </c>
      <c r="C3208" s="28" t="s">
        <v>178</v>
      </c>
      <c r="D3208" s="29">
        <v>71.0</v>
      </c>
      <c r="E3208" s="28" t="s">
        <v>8653</v>
      </c>
      <c r="F3208" s="7" t="str">
        <f>IFERROR(__xludf.DUMMYFUNCTION("GOOGLETRANSLATE(B3208:B5064,""en"",""fr"")"),"ruban")</f>
        <v>ruban</v>
      </c>
    </row>
    <row r="3209" ht="19.5" customHeight="1">
      <c r="A3209" s="26" t="s">
        <v>8654</v>
      </c>
      <c r="B3209" s="27" t="s">
        <v>8655</v>
      </c>
      <c r="C3209" s="28" t="s">
        <v>178</v>
      </c>
      <c r="D3209" s="29">
        <v>71.0</v>
      </c>
      <c r="E3209" s="28" t="s">
        <v>8655</v>
      </c>
      <c r="F3209" s="7" t="str">
        <f>IFERROR(__xludf.DUMMYFUNCTION("GOOGLETRANSLATE(B3209:B5064,""en"",""fr"")"),"spaghetti")</f>
        <v>spaghetti</v>
      </c>
    </row>
    <row r="3210" ht="19.5" customHeight="1">
      <c r="A3210" s="26" t="s">
        <v>8656</v>
      </c>
      <c r="B3210" s="27" t="s">
        <v>7337</v>
      </c>
      <c r="C3210" s="28" t="s">
        <v>32</v>
      </c>
      <c r="D3210" s="29">
        <v>71.0</v>
      </c>
      <c r="E3210" s="28" t="s">
        <v>8657</v>
      </c>
      <c r="F3210" s="7" t="str">
        <f>IFERROR(__xludf.DUMMYFUNCTION("GOOGLETRANSLATE(B3210:B5064,""en"",""fr"")"),"stresser")</f>
        <v>stresser</v>
      </c>
    </row>
    <row r="3211" ht="19.5" customHeight="1">
      <c r="A3211" s="26" t="s">
        <v>8658</v>
      </c>
      <c r="B3211" s="27" t="s">
        <v>8659</v>
      </c>
      <c r="C3211" s="28" t="s">
        <v>178</v>
      </c>
      <c r="D3211" s="29">
        <v>71.0</v>
      </c>
      <c r="E3211" s="28" t="s">
        <v>8660</v>
      </c>
      <c r="F3211" s="7" t="str">
        <f>IFERROR(__xludf.DUMMYFUNCTION("GOOGLETRANSLATE(B3211:B5064,""en"",""fr"")"),"Rembourrage")</f>
        <v>Rembourrage</v>
      </c>
    </row>
    <row r="3212" ht="19.5" customHeight="1">
      <c r="A3212" s="26" t="s">
        <v>8661</v>
      </c>
      <c r="B3212" s="27" t="s">
        <v>8662</v>
      </c>
      <c r="C3212" s="28" t="s">
        <v>100</v>
      </c>
      <c r="D3212" s="29">
        <v>71.0</v>
      </c>
      <c r="E3212" s="28" t="s">
        <v>8662</v>
      </c>
      <c r="F3212" s="7" t="str">
        <f>IFERROR(__xludf.DUMMYFUNCTION("GOOGLETRANSLATE(B3212:B5064,""en"",""fr"")"),"sûrement")</f>
        <v>sûrement</v>
      </c>
    </row>
    <row r="3213" ht="19.5" customHeight="1">
      <c r="A3213" s="26" t="s">
        <v>8663</v>
      </c>
      <c r="B3213" s="27" t="s">
        <v>8664</v>
      </c>
      <c r="C3213" s="28" t="s">
        <v>150</v>
      </c>
      <c r="D3213" s="29">
        <v>71.0</v>
      </c>
      <c r="E3213" s="28" t="s">
        <v>8664</v>
      </c>
      <c r="F3213" s="7" t="str">
        <f>IFERROR(__xludf.DUMMYFUNCTION("GOOGLETRANSLATE(B3213:B5064,""en"",""fr"")"),"vingt-trois")</f>
        <v>vingt-trois</v>
      </c>
    </row>
    <row r="3214" ht="19.5" customHeight="1">
      <c r="A3214" s="26" t="s">
        <v>8665</v>
      </c>
      <c r="B3214" s="27" t="s">
        <v>8666</v>
      </c>
      <c r="C3214" s="28" t="s">
        <v>178</v>
      </c>
      <c r="D3214" s="29">
        <v>70.0</v>
      </c>
      <c r="E3214" s="28" t="s">
        <v>8667</v>
      </c>
      <c r="F3214" s="7" t="str">
        <f>IFERROR(__xludf.DUMMYFUNCTION("GOOGLETRANSLATE(B3214:B5064,""en"",""fr"")"),"tambour")</f>
        <v>tambour</v>
      </c>
    </row>
    <row r="3215" ht="19.5" customHeight="1">
      <c r="A3215" s="26" t="s">
        <v>8668</v>
      </c>
      <c r="B3215" s="27" t="s">
        <v>8669</v>
      </c>
      <c r="C3215" s="28" t="s">
        <v>178</v>
      </c>
      <c r="D3215" s="29">
        <v>70.0</v>
      </c>
      <c r="E3215" s="28" t="s">
        <v>8670</v>
      </c>
      <c r="F3215" s="7" t="str">
        <f>IFERROR(__xludf.DUMMYFUNCTION("GOOGLETRANSLATE(B3215:B5064,""en"",""fr"")"),"comptable")</f>
        <v>comptable</v>
      </c>
    </row>
    <row r="3216" ht="19.5" customHeight="1">
      <c r="A3216" s="26" t="s">
        <v>8671</v>
      </c>
      <c r="B3216" s="27" t="s">
        <v>8672</v>
      </c>
      <c r="C3216" s="28" t="s">
        <v>32</v>
      </c>
      <c r="D3216" s="29">
        <v>70.0</v>
      </c>
      <c r="E3216" s="28" t="s">
        <v>8673</v>
      </c>
      <c r="F3216" s="7" t="str">
        <f>IFERROR(__xludf.DUMMYFUNCTION("GOOGLETRANSLATE(B3216:B5064,""en"",""fr"")"),"froideur")</f>
        <v>froideur</v>
      </c>
    </row>
    <row r="3217" ht="19.5" customHeight="1">
      <c r="A3217" s="26" t="s">
        <v>8674</v>
      </c>
      <c r="B3217" s="27" t="s">
        <v>8675</v>
      </c>
      <c r="C3217" s="28" t="s">
        <v>178</v>
      </c>
      <c r="D3217" s="29">
        <v>70.0</v>
      </c>
      <c r="E3217" s="28" t="s">
        <v>8676</v>
      </c>
      <c r="F3217" s="7" t="str">
        <f>IFERROR(__xludf.DUMMYFUNCTION("GOOGLETRANSLATE(B3217:B5064,""en"",""fr"")"),"Coaster")</f>
        <v>Coaster</v>
      </c>
    </row>
    <row r="3218" ht="19.5" customHeight="1">
      <c r="A3218" s="26" t="s">
        <v>8677</v>
      </c>
      <c r="B3218" s="27" t="s">
        <v>8678</v>
      </c>
      <c r="C3218" s="28" t="s">
        <v>178</v>
      </c>
      <c r="D3218" s="29">
        <v>70.0</v>
      </c>
      <c r="E3218" s="28" t="s">
        <v>8679</v>
      </c>
      <c r="F3218" s="7" t="str">
        <f>IFERROR(__xludf.DUMMYFUNCTION("GOOGLETRANSLATE(B3218:B5064,""en"",""fr"")"),"Conditionneur")</f>
        <v>Conditionneur</v>
      </c>
    </row>
    <row r="3219" ht="19.5" customHeight="1">
      <c r="A3219" s="26" t="s">
        <v>8680</v>
      </c>
      <c r="B3219" s="27" t="s">
        <v>8681</v>
      </c>
      <c r="C3219" s="28" t="s">
        <v>178</v>
      </c>
      <c r="D3219" s="29">
        <v>70.0</v>
      </c>
      <c r="E3219" s="28" t="s">
        <v>8682</v>
      </c>
      <c r="F3219" s="7" t="str">
        <f>IFERROR(__xludf.DUMMYFUNCTION("GOOGLETRANSLATE(B3219:B5064,""en"",""fr"")"),"cône")</f>
        <v>cône</v>
      </c>
    </row>
    <row r="3220" ht="19.5" customHeight="1">
      <c r="A3220" s="26" t="s">
        <v>8683</v>
      </c>
      <c r="B3220" s="27" t="s">
        <v>8684</v>
      </c>
      <c r="C3220" s="28" t="s">
        <v>134</v>
      </c>
      <c r="D3220" s="29">
        <v>70.0</v>
      </c>
      <c r="E3220" s="28" t="s">
        <v>8685</v>
      </c>
      <c r="F3220" s="7" t="str">
        <f>IFERROR(__xludf.DUMMYFUNCTION("GOOGLETRANSLATE(B3220:B5064,""en"",""fr"")"),"sourd")</f>
        <v>sourd</v>
      </c>
    </row>
    <row r="3221" ht="19.5" customHeight="1">
      <c r="A3221" s="26" t="s">
        <v>8686</v>
      </c>
      <c r="B3221" s="27" t="s">
        <v>8687</v>
      </c>
      <c r="C3221" s="28" t="s">
        <v>32</v>
      </c>
      <c r="D3221" s="29">
        <v>70.0</v>
      </c>
      <c r="E3221" s="28" t="s">
        <v>8688</v>
      </c>
      <c r="F3221" s="7" t="str">
        <f>IFERROR(__xludf.DUMMYFUNCTION("GOOGLETRANSLATE(B3221:B5064,""en"",""fr"")"),"rejeter")</f>
        <v>rejeter</v>
      </c>
    </row>
    <row r="3222" ht="19.5" customHeight="1">
      <c r="A3222" s="26" t="s">
        <v>8689</v>
      </c>
      <c r="B3222" s="27" t="s">
        <v>8690</v>
      </c>
      <c r="C3222" s="28" t="s">
        <v>32</v>
      </c>
      <c r="D3222" s="29">
        <v>70.0</v>
      </c>
      <c r="E3222" s="28" t="s">
        <v>8691</v>
      </c>
      <c r="F3222" s="7" t="str">
        <f>IFERROR(__xludf.DUMMYFUNCTION("GOOGLETRANSLATE(B3222:B5064,""en"",""fr"")"),"plonger")</f>
        <v>plonger</v>
      </c>
    </row>
    <row r="3223" ht="19.5" customHeight="1">
      <c r="A3223" s="26" t="s">
        <v>8692</v>
      </c>
      <c r="B3223" s="27" t="s">
        <v>8693</v>
      </c>
      <c r="C3223" s="28" t="s">
        <v>178</v>
      </c>
      <c r="D3223" s="29">
        <v>70.0</v>
      </c>
      <c r="E3223" s="28" t="s">
        <v>8694</v>
      </c>
      <c r="F3223" s="7" t="str">
        <f>IFERROR(__xludf.DUMMYFUNCTION("GOOGLETRANSLATE(B3223:B5064,""en"",""fr"")"),"erreur")</f>
        <v>erreur</v>
      </c>
    </row>
    <row r="3224" ht="19.5" customHeight="1">
      <c r="A3224" s="26" t="s">
        <v>8695</v>
      </c>
      <c r="B3224" s="27" t="s">
        <v>5967</v>
      </c>
      <c r="C3224" s="28" t="s">
        <v>32</v>
      </c>
      <c r="D3224" s="29">
        <v>70.0</v>
      </c>
      <c r="E3224" s="28" t="s">
        <v>8696</v>
      </c>
      <c r="F3224" s="7" t="str">
        <f>IFERROR(__xludf.DUMMYFUNCTION("GOOGLETRANSLATE(B3224:B5064,""en"",""fr"")"),"déposer")</f>
        <v>déposer</v>
      </c>
    </row>
    <row r="3225" ht="19.5" customHeight="1">
      <c r="A3225" s="26" t="s">
        <v>8697</v>
      </c>
      <c r="B3225" s="27" t="s">
        <v>1628</v>
      </c>
      <c r="C3225" s="28" t="s">
        <v>178</v>
      </c>
      <c r="D3225" s="29">
        <v>70.0</v>
      </c>
      <c r="E3225" s="28" t="s">
        <v>8698</v>
      </c>
      <c r="F3225" s="7" t="str">
        <f>IFERROR(__xludf.DUMMYFUNCTION("GOOGLETRANSLATE(B3225:B5064,""en"",""fr"")"),"voler")</f>
        <v>voler</v>
      </c>
    </row>
    <row r="3226" ht="19.5" customHeight="1">
      <c r="A3226" s="26" t="s">
        <v>8699</v>
      </c>
      <c r="B3226" s="27" t="s">
        <v>8700</v>
      </c>
      <c r="C3226" s="28" t="s">
        <v>36</v>
      </c>
      <c r="D3226" s="29">
        <v>70.0</v>
      </c>
      <c r="E3226" s="28" t="s">
        <v>8700</v>
      </c>
      <c r="F3226" s="7" t="str">
        <f>IFERROR(__xludf.DUMMYFUNCTION("GOOGLETRANSLATE(B3226:B5064,""en"",""fr"")"),"la sienne")</f>
        <v>la sienne</v>
      </c>
    </row>
    <row r="3227" ht="19.5" customHeight="1">
      <c r="A3227" s="26" t="s">
        <v>8701</v>
      </c>
      <c r="B3227" s="27" t="s">
        <v>8702</v>
      </c>
      <c r="C3227" s="28" t="s">
        <v>178</v>
      </c>
      <c r="D3227" s="29">
        <v>70.0</v>
      </c>
      <c r="E3227" s="28" t="s">
        <v>8703</v>
      </c>
      <c r="F3227" s="7" t="str">
        <f>IFERROR(__xludf.DUMMYFUNCTION("GOOGLETRANSLATE(B3227:B5064,""en"",""fr"")"),"bijoux")</f>
        <v>bijoux</v>
      </c>
    </row>
    <row r="3228" ht="19.5" customHeight="1">
      <c r="A3228" s="26" t="s">
        <v>8704</v>
      </c>
      <c r="B3228" s="27" t="s">
        <v>8705</v>
      </c>
      <c r="C3228" s="28" t="s">
        <v>178</v>
      </c>
      <c r="D3228" s="29">
        <v>70.0</v>
      </c>
      <c r="E3228" s="28" t="s">
        <v>8706</v>
      </c>
      <c r="F3228" s="7" t="str">
        <f>IFERROR(__xludf.DUMMYFUNCTION("GOOGLETRANSLATE(B3228:B5064,""en"",""fr"")"),"miséricorde")</f>
        <v>miséricorde</v>
      </c>
    </row>
    <row r="3229" ht="19.5" customHeight="1">
      <c r="A3229" s="26" t="s">
        <v>8707</v>
      </c>
      <c r="B3229" s="27" t="s">
        <v>8708</v>
      </c>
      <c r="C3229" s="28" t="s">
        <v>100</v>
      </c>
      <c r="D3229" s="29">
        <v>70.0</v>
      </c>
      <c r="E3229" s="28" t="s">
        <v>8708</v>
      </c>
      <c r="F3229" s="7" t="str">
        <f>IFERROR(__xludf.DUMMYFUNCTION("GOOGLETRANSLATE(B3229:B5064,""en"",""fr"")"),"naturellement")</f>
        <v>naturellement</v>
      </c>
    </row>
    <row r="3230" ht="19.5" customHeight="1">
      <c r="A3230" s="26" t="s">
        <v>8709</v>
      </c>
      <c r="B3230" s="27" t="s">
        <v>8710</v>
      </c>
      <c r="C3230" s="28" t="s">
        <v>178</v>
      </c>
      <c r="D3230" s="29">
        <v>70.0</v>
      </c>
      <c r="E3230" s="28" t="s">
        <v>8711</v>
      </c>
      <c r="F3230" s="7" t="str">
        <f>IFERROR(__xludf.DUMMYFUNCTION("GOOGLETRANSLATE(B3230:B5064,""en"",""fr"")"),"nickel")</f>
        <v>nickel</v>
      </c>
    </row>
    <row r="3231" ht="19.5" customHeight="1">
      <c r="A3231" s="26" t="s">
        <v>8712</v>
      </c>
      <c r="B3231" s="27" t="s">
        <v>8713</v>
      </c>
      <c r="C3231" s="28" t="s">
        <v>178</v>
      </c>
      <c r="D3231" s="29">
        <v>70.0</v>
      </c>
      <c r="E3231" s="28" t="s">
        <v>8714</v>
      </c>
      <c r="F3231" s="7" t="str">
        <f>IFERROR(__xludf.DUMMYFUNCTION("GOOGLETRANSLATE(B3231:B5064,""en"",""fr"")"),"objet")</f>
        <v>objet</v>
      </c>
    </row>
    <row r="3232" ht="19.5" customHeight="1">
      <c r="A3232" s="26" t="s">
        <v>8715</v>
      </c>
      <c r="B3232" s="27" t="s">
        <v>8716</v>
      </c>
      <c r="C3232" s="28" t="s">
        <v>178</v>
      </c>
      <c r="D3232" s="29">
        <v>70.0</v>
      </c>
      <c r="E3232" s="28" t="s">
        <v>8716</v>
      </c>
      <c r="F3232" s="7" t="str">
        <f>IFERROR(__xludf.DUMMYFUNCTION("GOOGLETRANSLATE(B3232:B5064,""en"",""fr"")"),"ciseaux")</f>
        <v>ciseaux</v>
      </c>
    </row>
    <row r="3233" ht="19.5" customHeight="1">
      <c r="A3233" s="26" t="s">
        <v>8717</v>
      </c>
      <c r="B3233" s="27" t="s">
        <v>8718</v>
      </c>
      <c r="C3233" s="28" t="s">
        <v>100</v>
      </c>
      <c r="D3233" s="29">
        <v>70.0</v>
      </c>
      <c r="E3233" s="28" t="s">
        <v>8718</v>
      </c>
      <c r="F3233" s="7" t="str">
        <f>IFERROR(__xludf.DUMMYFUNCTION("GOOGLETRANSLATE(B3233:B5064,""en"",""fr"")"),"secrètement")</f>
        <v>secrètement</v>
      </c>
    </row>
    <row r="3234" ht="19.5" customHeight="1">
      <c r="A3234" s="26" t="s">
        <v>8719</v>
      </c>
      <c r="B3234" s="27" t="s">
        <v>8720</v>
      </c>
      <c r="C3234" s="28" t="s">
        <v>32</v>
      </c>
      <c r="D3234" s="29">
        <v>70.0</v>
      </c>
      <c r="E3234" s="28" t="s">
        <v>8721</v>
      </c>
      <c r="F3234" s="7" t="str">
        <f>IFERROR(__xludf.DUMMYFUNCTION("GOOGLETRANSLATE(B3234:B5064,""en"",""fr"")"),"claque")</f>
        <v>claque</v>
      </c>
    </row>
    <row r="3235" ht="19.5" customHeight="1">
      <c r="A3235" s="26" t="s">
        <v>8722</v>
      </c>
      <c r="B3235" s="27" t="s">
        <v>8723</v>
      </c>
      <c r="C3235" s="28" t="s">
        <v>134</v>
      </c>
      <c r="D3235" s="29">
        <v>70.0</v>
      </c>
      <c r="E3235" s="28" t="s">
        <v>8723</v>
      </c>
      <c r="F3235" s="7" t="str">
        <f>IFERROR(__xludf.DUMMYFUNCTION("GOOGLETRANSLATE(B3235:B5064,""en"",""fr"")"),"solidaire")</f>
        <v>solidaire</v>
      </c>
    </row>
    <row r="3236" ht="19.5" customHeight="1">
      <c r="A3236" s="26" t="s">
        <v>8724</v>
      </c>
      <c r="B3236" s="27" t="s">
        <v>8021</v>
      </c>
      <c r="C3236" s="28" t="s">
        <v>178</v>
      </c>
      <c r="D3236" s="29">
        <v>70.0</v>
      </c>
      <c r="E3236" s="28" t="s">
        <v>8725</v>
      </c>
      <c r="F3236" s="7" t="str">
        <f>IFERROR(__xludf.DUMMYFUNCTION("GOOGLETRANSLATE(B3236:B5064,""en"",""fr"")"),"suspect")</f>
        <v>suspect</v>
      </c>
    </row>
    <row r="3237" ht="19.5" customHeight="1">
      <c r="A3237" s="26" t="s">
        <v>8726</v>
      </c>
      <c r="B3237" s="27" t="s">
        <v>8727</v>
      </c>
      <c r="C3237" s="28" t="s">
        <v>32</v>
      </c>
      <c r="D3237" s="29">
        <v>70.0</v>
      </c>
      <c r="E3237" s="28" t="s">
        <v>8728</v>
      </c>
      <c r="F3237" s="7" t="str">
        <f>IFERROR(__xludf.DUMMYFUNCTION("GOOGLETRANSLATE(B3237:B5064,""en"",""fr"")"),"cocher")</f>
        <v>cocher</v>
      </c>
    </row>
    <row r="3238" ht="19.5" customHeight="1">
      <c r="A3238" s="26" t="s">
        <v>8729</v>
      </c>
      <c r="B3238" s="27" t="s">
        <v>8730</v>
      </c>
      <c r="C3238" s="28" t="s">
        <v>178</v>
      </c>
      <c r="D3238" s="29">
        <v>70.0</v>
      </c>
      <c r="E3238" s="28" t="s">
        <v>8731</v>
      </c>
      <c r="F3238" s="7" t="str">
        <f>IFERROR(__xludf.DUMMYFUNCTION("GOOGLETRANSLATE(B3238:B5064,""en"",""fr"")"),"gaufre")</f>
        <v>gaufre</v>
      </c>
    </row>
    <row r="3239" ht="19.5" customHeight="1">
      <c r="A3239" s="26" t="s">
        <v>8732</v>
      </c>
      <c r="B3239" s="27" t="s">
        <v>273</v>
      </c>
      <c r="C3239" s="28" t="s">
        <v>100</v>
      </c>
      <c r="D3239" s="29">
        <v>70.0</v>
      </c>
      <c r="E3239" s="28" t="s">
        <v>273</v>
      </c>
      <c r="F3239" s="7" t="str">
        <f>IFERROR(__xludf.DUMMYFUNCTION("GOOGLETRANSLATE(B3239:B5064,""en"",""fr"")"),"chemin")</f>
        <v>chemin</v>
      </c>
    </row>
    <row r="3240" ht="19.5" customHeight="1">
      <c r="A3240" s="26" t="s">
        <v>8733</v>
      </c>
      <c r="B3240" s="27" t="s">
        <v>8734</v>
      </c>
      <c r="C3240" s="28" t="s">
        <v>134</v>
      </c>
      <c r="D3240" s="29">
        <v>70.0</v>
      </c>
      <c r="E3240" s="28" t="s">
        <v>8735</v>
      </c>
      <c r="F3240" s="7" t="str">
        <f>IFERROR(__xludf.DUMMYFUNCTION("GOOGLETRANSLATE(B3240:B5064,""en"",""fr"")"),"méchant")</f>
        <v>méchant</v>
      </c>
    </row>
    <row r="3241" ht="19.5" customHeight="1">
      <c r="A3241" s="26" t="s">
        <v>8736</v>
      </c>
      <c r="B3241" s="27" t="s">
        <v>8737</v>
      </c>
      <c r="C3241" s="28" t="s">
        <v>178</v>
      </c>
      <c r="D3241" s="29">
        <v>70.0</v>
      </c>
      <c r="E3241" s="28" t="s">
        <v>8738</v>
      </c>
      <c r="F3241" s="7" t="str">
        <f>IFERROR(__xludf.DUMMYFUNCTION("GOOGLETRANSLATE(B3241:B5064,""en"",""fr"")"),"sagesse")</f>
        <v>sagesse</v>
      </c>
    </row>
    <row r="3242" ht="19.5" customHeight="1">
      <c r="A3242" s="26" t="s">
        <v>8739</v>
      </c>
      <c r="B3242" s="27" t="s">
        <v>8740</v>
      </c>
      <c r="C3242" s="28" t="s">
        <v>85</v>
      </c>
      <c r="D3242" s="29">
        <v>70.0</v>
      </c>
      <c r="E3242" s="28" t="s">
        <v>8740</v>
      </c>
      <c r="F3242" s="7" t="str">
        <f>IFERROR(__xludf.DUMMYFUNCTION("GOOGLETRANSLATE(B3242:B5064,""en"",""fr"")"),"courtiser")</f>
        <v>courtiser</v>
      </c>
    </row>
    <row r="3243" ht="19.5" customHeight="1">
      <c r="A3243" s="26" t="s">
        <v>8741</v>
      </c>
      <c r="B3243" s="27" t="s">
        <v>8742</v>
      </c>
      <c r="C3243" s="28" t="s">
        <v>178</v>
      </c>
      <c r="D3243" s="29">
        <v>70.0</v>
      </c>
      <c r="E3243" s="28" t="s">
        <v>8743</v>
      </c>
      <c r="F3243" s="7" t="str">
        <f>IFERROR(__xludf.DUMMYFUNCTION("GOOGLETRANSLATE(B3243:B5064,""en"",""fr"")"),"essai")</f>
        <v>essai</v>
      </c>
    </row>
    <row r="3244" ht="19.5" customHeight="1">
      <c r="A3244" s="26" t="s">
        <v>8744</v>
      </c>
      <c r="B3244" s="27" t="s">
        <v>4031</v>
      </c>
      <c r="C3244" s="28" t="s">
        <v>178</v>
      </c>
      <c r="D3244" s="29">
        <v>69.0</v>
      </c>
      <c r="E3244" s="28" t="s">
        <v>8745</v>
      </c>
      <c r="F3244" s="7" t="str">
        <f>IFERROR(__xludf.DUMMYFUNCTION("GOOGLETRANSLATE(B3244:B5064,""en"",""fr"")"),"atterrir")</f>
        <v>atterrir</v>
      </c>
    </row>
    <row r="3245" ht="19.5" customHeight="1">
      <c r="A3245" s="26" t="s">
        <v>8746</v>
      </c>
      <c r="B3245" s="27" t="s">
        <v>4946</v>
      </c>
      <c r="C3245" s="28" t="s">
        <v>32</v>
      </c>
      <c r="D3245" s="29">
        <v>69.0</v>
      </c>
      <c r="E3245" s="28" t="s">
        <v>8747</v>
      </c>
      <c r="F3245" s="7" t="str">
        <f>IFERROR(__xludf.DUMMYFUNCTION("GOOGLETRANSLATE(B3245:B5064,""en"",""fr"")"),"audition")</f>
        <v>audition</v>
      </c>
    </row>
    <row r="3246" ht="19.5" customHeight="1">
      <c r="A3246" s="26" t="s">
        <v>8748</v>
      </c>
      <c r="B3246" s="27" t="s">
        <v>8749</v>
      </c>
      <c r="C3246" s="28" t="s">
        <v>178</v>
      </c>
      <c r="D3246" s="29">
        <v>69.0</v>
      </c>
      <c r="E3246" s="28" t="s">
        <v>8750</v>
      </c>
      <c r="F3246" s="7" t="str">
        <f>IFERROR(__xludf.DUMMYFUNCTION("GOOGLETRANSLATE(B3246:B5064,""en"",""fr"")"),"majordome")</f>
        <v>majordome</v>
      </c>
    </row>
    <row r="3247" ht="19.5" customHeight="1">
      <c r="A3247" s="26" t="s">
        <v>8751</v>
      </c>
      <c r="B3247" s="27" t="s">
        <v>3227</v>
      </c>
      <c r="C3247" s="28" t="s">
        <v>32</v>
      </c>
      <c r="D3247" s="29">
        <v>69.0</v>
      </c>
      <c r="E3247" s="28" t="s">
        <v>8752</v>
      </c>
      <c r="F3247" s="7" t="str">
        <f>IFERROR(__xludf.DUMMYFUNCTION("GOOGLETRANSLATE(B3247:B5064,""en"",""fr"")"),"espèces")</f>
        <v>espèces</v>
      </c>
    </row>
    <row r="3248" ht="19.5" customHeight="1">
      <c r="A3248" s="26" t="s">
        <v>8753</v>
      </c>
      <c r="B3248" s="27" t="s">
        <v>8754</v>
      </c>
      <c r="C3248" s="28" t="s">
        <v>134</v>
      </c>
      <c r="D3248" s="29">
        <v>69.0</v>
      </c>
      <c r="E3248" s="28" t="s">
        <v>8754</v>
      </c>
      <c r="F3248" s="7" t="str">
        <f>IFERROR(__xludf.DUMMYFUNCTION("GOOGLETRANSLATE(B3248:B5064,""en"",""fr"")"),"mortel")</f>
        <v>mortel</v>
      </c>
    </row>
    <row r="3249" ht="19.5" customHeight="1">
      <c r="A3249" s="26" t="s">
        <v>8755</v>
      </c>
      <c r="B3249" s="27" t="s">
        <v>8756</v>
      </c>
      <c r="C3249" s="28" t="s">
        <v>134</v>
      </c>
      <c r="D3249" s="29">
        <v>69.0</v>
      </c>
      <c r="E3249" s="28" t="s">
        <v>8756</v>
      </c>
      <c r="F3249" s="7" t="str">
        <f>IFERROR(__xludf.DUMMYFUNCTION("GOOGLETRANSLATE(B3249:B5064,""en"",""fr"")"),"délicat")</f>
        <v>délicat</v>
      </c>
    </row>
    <row r="3250" ht="19.5" customHeight="1">
      <c r="A3250" s="26" t="s">
        <v>8757</v>
      </c>
      <c r="B3250" s="27" t="s">
        <v>8758</v>
      </c>
      <c r="C3250" s="28" t="s">
        <v>178</v>
      </c>
      <c r="D3250" s="29">
        <v>69.0</v>
      </c>
      <c r="E3250" s="28" t="s">
        <v>8759</v>
      </c>
      <c r="F3250" s="7" t="str">
        <f>IFERROR(__xludf.DUMMYFUNCTION("GOOGLETRANSLATE(B3250:B5064,""en"",""fr"")"),"document")</f>
        <v>document</v>
      </c>
    </row>
    <row r="3251" ht="19.5" customHeight="1">
      <c r="A3251" s="26" t="s">
        <v>8760</v>
      </c>
      <c r="B3251" s="27" t="s">
        <v>8761</v>
      </c>
      <c r="C3251" s="28" t="s">
        <v>100</v>
      </c>
      <c r="D3251" s="29">
        <v>69.0</v>
      </c>
      <c r="E3251" s="28" t="s">
        <v>8761</v>
      </c>
      <c r="F3251" s="7" t="str">
        <f>IFERROR(__xludf.DUMMYFUNCTION("GOOGLETRANSLATE(B3251:B5064,""en"",""fr"")"),"émotionnellement")</f>
        <v>émotionnellement</v>
      </c>
    </row>
    <row r="3252" ht="19.5" customHeight="1">
      <c r="A3252" s="26" t="s">
        <v>8762</v>
      </c>
      <c r="B3252" s="27" t="s">
        <v>8763</v>
      </c>
      <c r="C3252" s="28" t="s">
        <v>32</v>
      </c>
      <c r="D3252" s="29">
        <v>69.0</v>
      </c>
      <c r="E3252" s="28" t="s">
        <v>8764</v>
      </c>
      <c r="F3252" s="7" t="str">
        <f>IFERROR(__xludf.DUMMYFUNCTION("GOOGLETRANSLATE(B3252:B5064,""en"",""fr"")"),"établir")</f>
        <v>établir</v>
      </c>
    </row>
    <row r="3253" ht="19.5" customHeight="1">
      <c r="A3253" s="26" t="s">
        <v>8765</v>
      </c>
      <c r="B3253" s="27" t="s">
        <v>8766</v>
      </c>
      <c r="C3253" s="28" t="s">
        <v>178</v>
      </c>
      <c r="D3253" s="29">
        <v>69.0</v>
      </c>
      <c r="E3253" s="28" t="s">
        <v>8767</v>
      </c>
      <c r="F3253" s="7" t="str">
        <f>IFERROR(__xludf.DUMMYFUNCTION("GOOGLETRANSLATE(B3253:B5064,""en"",""fr"")"),"flûte")</f>
        <v>flûte</v>
      </c>
    </row>
    <row r="3254" ht="19.5" customHeight="1">
      <c r="A3254" s="26" t="s">
        <v>8768</v>
      </c>
      <c r="B3254" s="27" t="s">
        <v>8769</v>
      </c>
      <c r="C3254" s="28" t="s">
        <v>178</v>
      </c>
      <c r="D3254" s="29">
        <v>69.0</v>
      </c>
      <c r="E3254" s="28" t="s">
        <v>8770</v>
      </c>
      <c r="F3254" s="7" t="str">
        <f>IFERROR(__xludf.DUMMYFUNCTION("GOOGLETRANSLATE(B3254:B5064,""en"",""fr"")"),"gorille")</f>
        <v>gorille</v>
      </c>
    </row>
    <row r="3255" ht="19.5" customHeight="1">
      <c r="A3255" s="26" t="s">
        <v>8771</v>
      </c>
      <c r="B3255" s="27" t="s">
        <v>8772</v>
      </c>
      <c r="C3255" s="28" t="s">
        <v>178</v>
      </c>
      <c r="D3255" s="29">
        <v>69.0</v>
      </c>
      <c r="E3255" s="28" t="s">
        <v>8773</v>
      </c>
      <c r="F3255" s="7" t="str">
        <f>IFERROR(__xludf.DUMMYFUNCTION("GOOGLETRANSLATE(B3255:B5064,""en"",""fr"")"),"marié")</f>
        <v>marié</v>
      </c>
    </row>
    <row r="3256" ht="19.5" customHeight="1">
      <c r="A3256" s="26" t="s">
        <v>8774</v>
      </c>
      <c r="B3256" s="27" t="s">
        <v>8775</v>
      </c>
      <c r="C3256" s="28" t="s">
        <v>178</v>
      </c>
      <c r="D3256" s="29">
        <v>69.0</v>
      </c>
      <c r="E3256" s="28" t="s">
        <v>8776</v>
      </c>
      <c r="F3256" s="7" t="str">
        <f>IFERROR(__xludf.DUMMYFUNCTION("GOOGLETRANSLATE(B3256:B5064,""en"",""fr"")"),"horreur")</f>
        <v>horreur</v>
      </c>
    </row>
    <row r="3257" ht="19.5" customHeight="1">
      <c r="A3257" s="26" t="s">
        <v>8777</v>
      </c>
      <c r="B3257" s="27" t="s">
        <v>8778</v>
      </c>
      <c r="C3257" s="28" t="s">
        <v>178</v>
      </c>
      <c r="D3257" s="29">
        <v>69.0</v>
      </c>
      <c r="E3257" s="28" t="s">
        <v>8779</v>
      </c>
      <c r="F3257" s="7" t="str">
        <f>IFERROR(__xludf.DUMMYFUNCTION("GOOGLETRANSLATE(B3257:B5064,""en"",""fr"")"),"humanité")</f>
        <v>humanité</v>
      </c>
    </row>
    <row r="3258" ht="19.5" customHeight="1">
      <c r="A3258" s="26" t="s">
        <v>8780</v>
      </c>
      <c r="B3258" s="27" t="s">
        <v>8781</v>
      </c>
      <c r="C3258" s="28" t="s">
        <v>178</v>
      </c>
      <c r="D3258" s="29">
        <v>69.0</v>
      </c>
      <c r="E3258" s="28" t="s">
        <v>8782</v>
      </c>
      <c r="F3258" s="7" t="str">
        <f>IFERROR(__xludf.DUMMYFUNCTION("GOOGLETRANSLATE(B3258:B5064,""en"",""fr"")"),"fabricant")</f>
        <v>fabricant</v>
      </c>
    </row>
    <row r="3259" ht="19.5" customHeight="1">
      <c r="A3259" s="26" t="s">
        <v>8783</v>
      </c>
      <c r="B3259" s="27" t="s">
        <v>8784</v>
      </c>
      <c r="C3259" s="28" t="s">
        <v>178</v>
      </c>
      <c r="D3259" s="29">
        <v>69.0</v>
      </c>
      <c r="E3259" s="28" t="s">
        <v>8785</v>
      </c>
      <c r="F3259" s="7" t="str">
        <f>IFERROR(__xludf.DUMMYFUNCTION("GOOGLETRANSLATE(B3259:B5064,""en"",""fr"")"),"martini")</f>
        <v>martini</v>
      </c>
    </row>
    <row r="3260" ht="19.5" customHeight="1">
      <c r="A3260" s="26" t="s">
        <v>8786</v>
      </c>
      <c r="B3260" s="27" t="s">
        <v>8787</v>
      </c>
      <c r="C3260" s="28" t="s">
        <v>178</v>
      </c>
      <c r="D3260" s="29">
        <v>69.0</v>
      </c>
      <c r="E3260" s="28" t="s">
        <v>8788</v>
      </c>
      <c r="F3260" s="7" t="str">
        <f>IFERROR(__xludf.DUMMYFUNCTION("GOOGLETRANSLATE(B3260:B5064,""en"",""fr"")"),"boue")</f>
        <v>boue</v>
      </c>
    </row>
    <row r="3261" ht="19.5" customHeight="1">
      <c r="A3261" s="26" t="s">
        <v>8789</v>
      </c>
      <c r="B3261" s="27" t="s">
        <v>8790</v>
      </c>
      <c r="C3261" s="28" t="s">
        <v>134</v>
      </c>
      <c r="D3261" s="29">
        <v>69.0</v>
      </c>
      <c r="E3261" s="28" t="s">
        <v>8791</v>
      </c>
      <c r="F3261" s="7" t="str">
        <f>IFERROR(__xludf.DUMMYFUNCTION("GOOGLETRANSLATE(B3261:B5064,""en"",""fr"")"),"nécessiteux")</f>
        <v>nécessiteux</v>
      </c>
    </row>
    <row r="3262" ht="19.5" customHeight="1">
      <c r="A3262" s="26" t="s">
        <v>8792</v>
      </c>
      <c r="B3262" s="27" t="s">
        <v>8793</v>
      </c>
      <c r="C3262" s="28" t="s">
        <v>178</v>
      </c>
      <c r="D3262" s="29">
        <v>69.0</v>
      </c>
      <c r="E3262" s="28" t="s">
        <v>8794</v>
      </c>
      <c r="F3262" s="7" t="str">
        <f>IFERROR(__xludf.DUMMYFUNCTION("GOOGLETRANSLATE(B3262:B5064,""en"",""fr"")"),"psychique")</f>
        <v>psychique</v>
      </c>
    </row>
    <row r="3263" ht="19.5" customHeight="1">
      <c r="A3263" s="26" t="s">
        <v>8795</v>
      </c>
      <c r="B3263" s="27" t="s">
        <v>8796</v>
      </c>
      <c r="C3263" s="28" t="s">
        <v>32</v>
      </c>
      <c r="D3263" s="29">
        <v>69.0</v>
      </c>
      <c r="E3263" s="28" t="s">
        <v>8797</v>
      </c>
      <c r="F3263" s="7" t="str">
        <f>IFERROR(__xludf.DUMMYFUNCTION("GOOGLETRANSLATE(B3263:B5064,""en"",""fr"")"),"réduire")</f>
        <v>réduire</v>
      </c>
    </row>
    <row r="3264" ht="19.5" customHeight="1">
      <c r="A3264" s="26" t="s">
        <v>8798</v>
      </c>
      <c r="B3264" s="27" t="s">
        <v>8799</v>
      </c>
      <c r="C3264" s="28" t="s">
        <v>134</v>
      </c>
      <c r="D3264" s="29">
        <v>69.0</v>
      </c>
      <c r="E3264" s="28" t="s">
        <v>8799</v>
      </c>
      <c r="F3264" s="7" t="str">
        <f>IFERROR(__xludf.DUMMYFUNCTION("GOOGLETRANSLATE(B3264:B5064,""en"",""fr"")"),"retardé")</f>
        <v>retardé</v>
      </c>
    </row>
    <row r="3265" ht="19.5" customHeight="1">
      <c r="A3265" s="26" t="s">
        <v>8800</v>
      </c>
      <c r="B3265" s="27" t="s">
        <v>1543</v>
      </c>
      <c r="C3265" s="28" t="s">
        <v>178</v>
      </c>
      <c r="D3265" s="29">
        <v>69.0</v>
      </c>
      <c r="E3265" s="28" t="s">
        <v>8801</v>
      </c>
      <c r="F3265" s="7" t="str">
        <f>IFERROR(__xludf.DUMMYFUNCTION("GOOGLETRANSLATE(B3265:B5064,""en"",""fr"")"),"retour")</f>
        <v>retour</v>
      </c>
    </row>
    <row r="3266" ht="19.5" customHeight="1">
      <c r="A3266" s="26" t="s">
        <v>8802</v>
      </c>
      <c r="B3266" s="27" t="s">
        <v>8803</v>
      </c>
      <c r="C3266" s="28" t="s">
        <v>178</v>
      </c>
      <c r="D3266" s="29">
        <v>69.0</v>
      </c>
      <c r="E3266" s="28" t="s">
        <v>8804</v>
      </c>
      <c r="F3266" s="7" t="str">
        <f>IFERROR(__xludf.DUMMYFUNCTION("GOOGLETRANSLATE(B3266:B5064,""en"",""fr"")"),"tige")</f>
        <v>tige</v>
      </c>
    </row>
    <row r="3267" ht="19.5" customHeight="1">
      <c r="A3267" s="26" t="s">
        <v>8805</v>
      </c>
      <c r="B3267" s="27" t="s">
        <v>8806</v>
      </c>
      <c r="C3267" s="28" t="s">
        <v>178</v>
      </c>
      <c r="D3267" s="29">
        <v>69.0</v>
      </c>
      <c r="E3267" s="28" t="s">
        <v>8807</v>
      </c>
      <c r="F3267" s="7" t="str">
        <f>IFERROR(__xludf.DUMMYFUNCTION("GOOGLETRANSLATE(B3267:B5064,""en"",""fr"")"),"caoutchouc")</f>
        <v>caoutchouc</v>
      </c>
    </row>
    <row r="3268" ht="19.5" customHeight="1">
      <c r="A3268" s="26" t="s">
        <v>8808</v>
      </c>
      <c r="B3268" s="27" t="s">
        <v>8809</v>
      </c>
      <c r="C3268" s="28" t="s">
        <v>178</v>
      </c>
      <c r="D3268" s="29">
        <v>69.0</v>
      </c>
      <c r="E3268" s="28" t="s">
        <v>8810</v>
      </c>
      <c r="F3268" s="7" t="str">
        <f>IFERROR(__xludf.DUMMYFUNCTION("GOOGLETRANSLATE(B3268:B5064,""en"",""fr"")"),"tapis")</f>
        <v>tapis</v>
      </c>
    </row>
    <row r="3269" ht="19.5" customHeight="1">
      <c r="A3269" s="26" t="s">
        <v>8811</v>
      </c>
      <c r="B3269" s="27" t="s">
        <v>8812</v>
      </c>
      <c r="C3269" s="28" t="s">
        <v>32</v>
      </c>
      <c r="D3269" s="29">
        <v>69.0</v>
      </c>
      <c r="E3269" s="28" t="s">
        <v>8813</v>
      </c>
      <c r="F3269" s="7" t="str">
        <f>IFERROR(__xludf.DUMMYFUNCTION("GOOGLETRANSLATE(B3269:B5064,""en"",""fr"")"),"diriger")</f>
        <v>diriger</v>
      </c>
    </row>
    <row r="3270" ht="19.5" customHeight="1">
      <c r="A3270" s="26" t="s">
        <v>8814</v>
      </c>
      <c r="B3270" s="27" t="s">
        <v>8815</v>
      </c>
      <c r="C3270" s="28" t="s">
        <v>178</v>
      </c>
      <c r="D3270" s="29">
        <v>69.0</v>
      </c>
      <c r="E3270" s="28" t="s">
        <v>8816</v>
      </c>
      <c r="F3270" s="7" t="str">
        <f>IFERROR(__xludf.DUMMYFUNCTION("GOOGLETRANSLATE(B3270:B5064,""en"",""fr"")"),"symbole")</f>
        <v>symbole</v>
      </c>
    </row>
    <row r="3271" ht="19.5" customHeight="1">
      <c r="A3271" s="26" t="s">
        <v>8817</v>
      </c>
      <c r="B3271" s="27" t="s">
        <v>8818</v>
      </c>
      <c r="C3271" s="28" t="s">
        <v>32</v>
      </c>
      <c r="D3271" s="29">
        <v>69.0</v>
      </c>
      <c r="E3271" s="28" t="s">
        <v>8819</v>
      </c>
      <c r="F3271" s="7" t="str">
        <f>IFERROR(__xludf.DUMMYFUNCTION("GOOGLETRANSLATE(B3271:B5064,""en"",""fr"")"),"témoigner")</f>
        <v>témoigner</v>
      </c>
    </row>
    <row r="3272" ht="19.5" customHeight="1">
      <c r="A3272" s="26" t="s">
        <v>8820</v>
      </c>
      <c r="B3272" s="27" t="s">
        <v>8821</v>
      </c>
      <c r="C3272" s="28" t="s">
        <v>134</v>
      </c>
      <c r="D3272" s="29">
        <v>69.0</v>
      </c>
      <c r="E3272" s="28" t="s">
        <v>8822</v>
      </c>
      <c r="F3272" s="7" t="str">
        <f>IFERROR(__xludf.DUMMYFUNCTION("GOOGLETRANSLATE(B3272:B5064,""en"",""fr"")"),"soif")</f>
        <v>soif</v>
      </c>
    </row>
    <row r="3273" ht="19.5" customHeight="1">
      <c r="A3273" s="26" t="s">
        <v>8823</v>
      </c>
      <c r="B3273" s="27" t="s">
        <v>8824</v>
      </c>
      <c r="C3273" s="28" t="s">
        <v>134</v>
      </c>
      <c r="D3273" s="29">
        <v>69.0</v>
      </c>
      <c r="E3273" s="28" t="s">
        <v>8824</v>
      </c>
      <c r="F3273" s="7" t="str">
        <f>IFERROR(__xludf.DUMMYFUNCTION("GOOGLETRANSLATE(B3273:B5064,""en"",""fr"")"),"traditionnel")</f>
        <v>traditionnel</v>
      </c>
    </row>
    <row r="3274" ht="19.5" customHeight="1">
      <c r="A3274" s="26" t="s">
        <v>8825</v>
      </c>
      <c r="B3274" s="27" t="s">
        <v>322</v>
      </c>
      <c r="C3274" s="28" t="s">
        <v>178</v>
      </c>
      <c r="D3274" s="29">
        <v>69.0</v>
      </c>
      <c r="E3274" s="28" t="s">
        <v>8826</v>
      </c>
      <c r="F3274" s="7" t="str">
        <f>IFERROR(__xludf.DUMMYFUNCTION("GOOGLETRANSLATE(B3274:B5064,""en"",""fr"")"),"essayer")</f>
        <v>essayer</v>
      </c>
    </row>
    <row r="3275" ht="19.5" customHeight="1">
      <c r="A3275" s="26" t="s">
        <v>8827</v>
      </c>
      <c r="B3275" s="27" t="s">
        <v>4718</v>
      </c>
      <c r="C3275" s="28" t="s">
        <v>134</v>
      </c>
      <c r="D3275" s="29">
        <v>69.0</v>
      </c>
      <c r="E3275" s="28" t="s">
        <v>4718</v>
      </c>
      <c r="F3275" s="7" t="str">
        <f>IFERROR(__xludf.DUMMYFUNCTION("GOOGLETRANSLATE(B3275:B5064,""en"",""fr"")"),"double")</f>
        <v>double</v>
      </c>
    </row>
    <row r="3276" ht="19.5" customHeight="1">
      <c r="A3276" s="26" t="s">
        <v>8828</v>
      </c>
      <c r="B3276" s="27" t="s">
        <v>8829</v>
      </c>
      <c r="C3276" s="28" t="s">
        <v>32</v>
      </c>
      <c r="D3276" s="29">
        <v>69.0</v>
      </c>
      <c r="E3276" s="28" t="s">
        <v>8830</v>
      </c>
      <c r="F3276" s="7" t="str">
        <f>IFERROR(__xludf.DUMMYFUNCTION("GOOGLETRANSLATE(B3276:B5064,""en"",""fr"")"),"réussir")</f>
        <v>réussir</v>
      </c>
    </row>
    <row r="3277" ht="19.5" customHeight="1">
      <c r="A3277" s="26" t="s">
        <v>8831</v>
      </c>
      <c r="B3277" s="27" t="s">
        <v>8832</v>
      </c>
      <c r="C3277" s="28" t="s">
        <v>178</v>
      </c>
      <c r="D3277" s="29">
        <v>69.0</v>
      </c>
      <c r="E3277" s="28" t="s">
        <v>8833</v>
      </c>
      <c r="F3277" s="7" t="str">
        <f>IFERROR(__xludf.DUMMYFUNCTION("GOOGLETRANSLATE(B3277:B5064,""en"",""fr"")"),"foule")</f>
        <v>foule</v>
      </c>
    </row>
    <row r="3278" ht="19.5" customHeight="1">
      <c r="A3278" s="26" t="s">
        <v>8834</v>
      </c>
      <c r="B3278" s="27" t="s">
        <v>8835</v>
      </c>
      <c r="C3278" s="28" t="s">
        <v>134</v>
      </c>
      <c r="D3278" s="29">
        <v>68.0</v>
      </c>
      <c r="E3278" s="28" t="s">
        <v>8835</v>
      </c>
      <c r="F3278" s="7" t="str">
        <f>IFERROR(__xludf.DUMMYFUNCTION("GOOGLETRANSLATE(B3278:B5064,""en"",""fr"")"),"basique")</f>
        <v>basique</v>
      </c>
    </row>
    <row r="3279" ht="19.5" customHeight="1">
      <c r="A3279" s="26" t="s">
        <v>8836</v>
      </c>
      <c r="B3279" s="27" t="s">
        <v>8837</v>
      </c>
      <c r="C3279" s="28" t="s">
        <v>178</v>
      </c>
      <c r="D3279" s="29">
        <v>68.0</v>
      </c>
      <c r="E3279" s="28" t="s">
        <v>8838</v>
      </c>
      <c r="F3279" s="7" t="str">
        <f>IFERROR(__xludf.DUMMYFUNCTION("GOOGLETRANSLATE(B3279:B5064,""en"",""fr"")"),"au nom de")</f>
        <v>au nom de</v>
      </c>
    </row>
    <row r="3280" ht="19.5" customHeight="1">
      <c r="A3280" s="26" t="s">
        <v>8839</v>
      </c>
      <c r="B3280" s="27" t="s">
        <v>8840</v>
      </c>
      <c r="C3280" s="28" t="s">
        <v>178</v>
      </c>
      <c r="D3280" s="29">
        <v>68.0</v>
      </c>
      <c r="E3280" s="28" t="s">
        <v>8841</v>
      </c>
      <c r="F3280" s="7" t="str">
        <f>IFERROR(__xludf.DUMMYFUNCTION("GOOGLETRANSLATE(B3280:B5064,""en"",""fr"")"),"butin")</f>
        <v>butin</v>
      </c>
    </row>
    <row r="3281" ht="19.5" customHeight="1">
      <c r="A3281" s="26" t="s">
        <v>8842</v>
      </c>
      <c r="B3281" s="27" t="s">
        <v>8843</v>
      </c>
      <c r="C3281" s="28" t="s">
        <v>178</v>
      </c>
      <c r="D3281" s="29">
        <v>68.0</v>
      </c>
      <c r="E3281" s="28" t="s">
        <v>8844</v>
      </c>
      <c r="F3281" s="7" t="str">
        <f>IFERROR(__xludf.DUMMYFUNCTION("GOOGLETRANSLATE(B3281:B5064,""en"",""fr"")"),"demoiselle d'honneur")</f>
        <v>demoiselle d'honneur</v>
      </c>
    </row>
    <row r="3282" ht="19.5" customHeight="1">
      <c r="A3282" s="26" t="s">
        <v>8845</v>
      </c>
      <c r="B3282" s="27" t="s">
        <v>8846</v>
      </c>
      <c r="C3282" s="28" t="s">
        <v>178</v>
      </c>
      <c r="D3282" s="29">
        <v>68.0</v>
      </c>
      <c r="E3282" s="28" t="s">
        <v>8847</v>
      </c>
      <c r="F3282" s="7" t="str">
        <f>IFERROR(__xludf.DUMMYFUNCTION("GOOGLETRANSLATE(B3282:B5064,""en"",""fr"")"),"corvée")</f>
        <v>corvée</v>
      </c>
    </row>
    <row r="3283" ht="19.5" customHeight="1">
      <c r="A3283" s="26" t="s">
        <v>8848</v>
      </c>
      <c r="B3283" s="27" t="s">
        <v>8849</v>
      </c>
      <c r="C3283" s="28" t="s">
        <v>178</v>
      </c>
      <c r="D3283" s="29">
        <v>68.0</v>
      </c>
      <c r="E3283" s="28" t="s">
        <v>8850</v>
      </c>
      <c r="F3283" s="7" t="str">
        <f>IFERROR(__xludf.DUMMYFUNCTION("GOOGLETRANSLATE(B3283:B5064,""en"",""fr"")"),"pièce de monnaie")</f>
        <v>pièce de monnaie</v>
      </c>
    </row>
    <row r="3284" ht="19.5" customHeight="1">
      <c r="A3284" s="26" t="s">
        <v>8851</v>
      </c>
      <c r="B3284" s="27" t="s">
        <v>4321</v>
      </c>
      <c r="C3284" s="28" t="s">
        <v>32</v>
      </c>
      <c r="D3284" s="29">
        <v>68.0</v>
      </c>
      <c r="E3284" s="28" t="s">
        <v>8852</v>
      </c>
      <c r="F3284" s="7" t="str">
        <f>IFERROR(__xludf.DUMMYFUNCTION("GOOGLETRANSLATE(B3284:B5064,""en"",""fr"")"),"correct")</f>
        <v>correct</v>
      </c>
    </row>
    <row r="3285" ht="19.5" customHeight="1">
      <c r="A3285" s="26" t="s">
        <v>8853</v>
      </c>
      <c r="B3285" s="27" t="s">
        <v>8854</v>
      </c>
      <c r="C3285" s="28" t="s">
        <v>134</v>
      </c>
      <c r="D3285" s="29">
        <v>68.0</v>
      </c>
      <c r="E3285" s="28" t="s">
        <v>8854</v>
      </c>
      <c r="F3285" s="7" t="str">
        <f>IFERROR(__xludf.DUMMYFUNCTION("GOOGLETRANSLATE(B3285:B5064,""en"",""fr"")"),"bondé")</f>
        <v>bondé</v>
      </c>
    </row>
    <row r="3286" ht="19.5" customHeight="1">
      <c r="A3286" s="26" t="s">
        <v>8855</v>
      </c>
      <c r="B3286" s="27" t="s">
        <v>8856</v>
      </c>
      <c r="C3286" s="28" t="s">
        <v>178</v>
      </c>
      <c r="D3286" s="29">
        <v>68.0</v>
      </c>
      <c r="E3286" s="28" t="s">
        <v>8857</v>
      </c>
      <c r="F3286" s="7" t="str">
        <f>IFERROR(__xludf.DUMMYFUNCTION("GOOGLETRANSLATE(B3286:B5064,""en"",""fr"")"),"enveloppe")</f>
        <v>enveloppe</v>
      </c>
    </row>
    <row r="3287" ht="19.5" customHeight="1">
      <c r="A3287" s="26" t="s">
        <v>8858</v>
      </c>
      <c r="B3287" s="27" t="s">
        <v>8859</v>
      </c>
      <c r="C3287" s="28" t="s">
        <v>134</v>
      </c>
      <c r="D3287" s="29">
        <v>68.0</v>
      </c>
      <c r="E3287" s="28" t="s">
        <v>8859</v>
      </c>
      <c r="F3287" s="7" t="str">
        <f>IFERROR(__xludf.DUMMYFUNCTION("GOOGLETRANSLATE(B3287:B5064,""en"",""fr"")"),"passionnant")</f>
        <v>passionnant</v>
      </c>
    </row>
    <row r="3288" ht="19.5" customHeight="1">
      <c r="A3288" s="26" t="s">
        <v>8860</v>
      </c>
      <c r="B3288" s="27" t="s">
        <v>8861</v>
      </c>
      <c r="C3288" s="28" t="s">
        <v>85</v>
      </c>
      <c r="D3288" s="29">
        <v>68.0</v>
      </c>
      <c r="E3288" s="28" t="s">
        <v>8861</v>
      </c>
      <c r="F3288" s="7" t="str">
        <f>IFERROR(__xludf.DUMMYFUNCTION("GOOGLETRANSLATE(B3288:B5064,""en"",""fr"")"),"salutations")</f>
        <v>salutations</v>
      </c>
    </row>
    <row r="3289" ht="19.5" customHeight="1">
      <c r="A3289" s="26" t="s">
        <v>8862</v>
      </c>
      <c r="B3289" s="27" t="s">
        <v>7821</v>
      </c>
      <c r="C3289" s="28" t="s">
        <v>178</v>
      </c>
      <c r="D3289" s="29">
        <v>68.0</v>
      </c>
      <c r="E3289" s="28" t="s">
        <v>8863</v>
      </c>
      <c r="F3289" s="7" t="str">
        <f>IFERROR(__xludf.DUMMYFUNCTION("GOOGLETRANSLATE(B3289:B5064,""en"",""fr"")"),"vie")</f>
        <v>vie</v>
      </c>
    </row>
    <row r="3290" ht="19.5" customHeight="1">
      <c r="A3290" s="26" t="s">
        <v>8864</v>
      </c>
      <c r="B3290" s="27" t="s">
        <v>8865</v>
      </c>
      <c r="C3290" s="28" t="s">
        <v>178</v>
      </c>
      <c r="D3290" s="29">
        <v>68.0</v>
      </c>
      <c r="E3290" s="28" t="s">
        <v>8866</v>
      </c>
      <c r="F3290" s="7" t="str">
        <f>IFERROR(__xludf.DUMMYFUNCTION("GOOGLETRANSLATE(B3290:B5064,""en"",""fr"")"),"médicament")</f>
        <v>médicament</v>
      </c>
    </row>
    <row r="3291" ht="19.5" customHeight="1">
      <c r="A3291" s="26" t="s">
        <v>8867</v>
      </c>
      <c r="B3291" s="27" t="s">
        <v>8868</v>
      </c>
      <c r="C3291" s="28" t="s">
        <v>100</v>
      </c>
      <c r="D3291" s="29">
        <v>68.0</v>
      </c>
      <c r="E3291" s="28" t="s">
        <v>8868</v>
      </c>
      <c r="F3291" s="7" t="str">
        <f>IFERROR(__xludf.DUMMYFUNCTION("GOOGLETRANSLATE(B3291:B5064,""en"",""fr"")"),"nécessairement")</f>
        <v>nécessairement</v>
      </c>
    </row>
    <row r="3292" ht="19.5" customHeight="1">
      <c r="A3292" s="26" t="s">
        <v>8869</v>
      </c>
      <c r="B3292" s="27" t="s">
        <v>8870</v>
      </c>
      <c r="C3292" s="28" t="s">
        <v>32</v>
      </c>
      <c r="D3292" s="29">
        <v>68.0</v>
      </c>
      <c r="E3292" s="28" t="s">
        <v>8871</v>
      </c>
      <c r="F3292" s="7" t="str">
        <f>IFERROR(__xludf.DUMMYFUNCTION("GOOGLETRANSLATE(B3292:B5064,""en"",""fr"")"),"organiser")</f>
        <v>organiser</v>
      </c>
    </row>
    <row r="3293" ht="19.5" customHeight="1">
      <c r="A3293" s="26" t="s">
        <v>8872</v>
      </c>
      <c r="B3293" s="27" t="s">
        <v>8873</v>
      </c>
      <c r="C3293" s="28" t="s">
        <v>32</v>
      </c>
      <c r="D3293" s="29">
        <v>68.0</v>
      </c>
      <c r="E3293" s="28" t="s">
        <v>8874</v>
      </c>
      <c r="F3293" s="7" t="str">
        <f>IFERROR(__xludf.DUMMYFUNCTION("GOOGLETRANSLATE(B3293:B5064,""en"",""fr"")"),"réagir de façon excessive")</f>
        <v>réagir de façon excessive</v>
      </c>
    </row>
    <row r="3294" ht="19.5" customHeight="1">
      <c r="A3294" s="26" t="s">
        <v>8875</v>
      </c>
      <c r="B3294" s="27" t="s">
        <v>8876</v>
      </c>
      <c r="C3294" s="28" t="s">
        <v>178</v>
      </c>
      <c r="D3294" s="29">
        <v>68.0</v>
      </c>
      <c r="E3294" s="28" t="s">
        <v>8877</v>
      </c>
      <c r="F3294" s="7" t="str">
        <f>IFERROR(__xludf.DUMMYFUNCTION("GOOGLETRANSLATE(B3294:B5064,""en"",""fr"")"),"reconstitution historique")</f>
        <v>reconstitution historique</v>
      </c>
    </row>
    <row r="3295" ht="19.5" customHeight="1">
      <c r="A3295" s="26" t="s">
        <v>8878</v>
      </c>
      <c r="B3295" s="27" t="s">
        <v>3671</v>
      </c>
      <c r="C3295" s="28" t="s">
        <v>178</v>
      </c>
      <c r="D3295" s="29">
        <v>68.0</v>
      </c>
      <c r="E3295" s="28" t="s">
        <v>8879</v>
      </c>
      <c r="F3295" s="7" t="str">
        <f>IFERROR(__xludf.DUMMYFUNCTION("GOOGLETRANSLATE(B3295:B5064,""en"",""fr"")"),"presse")</f>
        <v>presse</v>
      </c>
    </row>
    <row r="3296" ht="19.5" customHeight="1">
      <c r="A3296" s="26" t="s">
        <v>8880</v>
      </c>
      <c r="B3296" s="27" t="s">
        <v>8881</v>
      </c>
      <c r="C3296" s="28" t="s">
        <v>178</v>
      </c>
      <c r="D3296" s="29">
        <v>68.0</v>
      </c>
      <c r="E3296" s="28" t="s">
        <v>8882</v>
      </c>
      <c r="F3296" s="7" t="str">
        <f>IFERROR(__xludf.DUMMYFUNCTION("GOOGLETRANSLATE(B3296:B5064,""en"",""fr"")"),"principe")</f>
        <v>principe</v>
      </c>
    </row>
    <row r="3297" ht="19.5" customHeight="1">
      <c r="A3297" s="26" t="s">
        <v>8883</v>
      </c>
      <c r="B3297" s="27" t="s">
        <v>8884</v>
      </c>
      <c r="C3297" s="28" t="s">
        <v>178</v>
      </c>
      <c r="D3297" s="29">
        <v>68.0</v>
      </c>
      <c r="E3297" s="28" t="s">
        <v>8885</v>
      </c>
      <c r="F3297" s="7" t="str">
        <f>IFERROR(__xludf.DUMMYFUNCTION("GOOGLETRANSLATE(B3297:B5064,""en"",""fr"")"),"rabbin")</f>
        <v>rabbin</v>
      </c>
    </row>
    <row r="3298" ht="19.5" customHeight="1">
      <c r="A3298" s="26" t="s">
        <v>8886</v>
      </c>
      <c r="B3298" s="27" t="s">
        <v>7951</v>
      </c>
      <c r="C3298" s="28" t="s">
        <v>32</v>
      </c>
      <c r="D3298" s="29">
        <v>68.0</v>
      </c>
      <c r="E3298" s="28" t="s">
        <v>8887</v>
      </c>
      <c r="F3298" s="7" t="str">
        <f>IFERROR(__xludf.DUMMYFUNCTION("GOOGLETRANSLATE(B3298:B5064,""en"",""fr"")"),"récompense")</f>
        <v>récompense</v>
      </c>
    </row>
    <row r="3299" ht="19.5" customHeight="1">
      <c r="A3299" s="26" t="s">
        <v>8888</v>
      </c>
      <c r="B3299" s="27" t="s">
        <v>8889</v>
      </c>
      <c r="C3299" s="28" t="s">
        <v>32</v>
      </c>
      <c r="D3299" s="29">
        <v>68.0</v>
      </c>
      <c r="E3299" s="28" t="s">
        <v>8890</v>
      </c>
      <c r="F3299" s="7" t="str">
        <f>IFERROR(__xludf.DUMMYFUNCTION("GOOGLETRANSLATE(B3299:B5064,""en"",""fr"")"),"éternuer")</f>
        <v>éternuer</v>
      </c>
    </row>
    <row r="3300" ht="19.5" customHeight="1">
      <c r="A3300" s="26" t="s">
        <v>8891</v>
      </c>
      <c r="B3300" s="27" t="s">
        <v>8892</v>
      </c>
      <c r="C3300" s="28" t="s">
        <v>134</v>
      </c>
      <c r="D3300" s="29">
        <v>68.0</v>
      </c>
      <c r="E3300" s="28" t="s">
        <v>8893</v>
      </c>
      <c r="F3300" s="7" t="str">
        <f>IFERROR(__xludf.DUMMYFUNCTION("GOOGLETRANSLATE(B3300:B5064,""en"",""fr"")"),"savoureux")</f>
        <v>savoureux</v>
      </c>
    </row>
    <row r="3301" ht="19.5" customHeight="1">
      <c r="A3301" s="26" t="s">
        <v>8894</v>
      </c>
      <c r="B3301" s="27" t="s">
        <v>8895</v>
      </c>
      <c r="C3301" s="28" t="s">
        <v>178</v>
      </c>
      <c r="D3301" s="29">
        <v>68.0</v>
      </c>
      <c r="E3301" s="28" t="s">
        <v>8896</v>
      </c>
      <c r="F3301" s="7" t="str">
        <f>IFERROR(__xludf.DUMMYFUNCTION("GOOGLETRANSLATE(B3301:B5064,""en"",""fr"")"),"le tabac")</f>
        <v>le tabac</v>
      </c>
    </row>
    <row r="3302" ht="19.5" customHeight="1">
      <c r="A3302" s="26" t="s">
        <v>8897</v>
      </c>
      <c r="B3302" s="27" t="s">
        <v>8568</v>
      </c>
      <c r="C3302" s="28" t="s">
        <v>178</v>
      </c>
      <c r="D3302" s="29">
        <v>68.0</v>
      </c>
      <c r="E3302" s="28" t="s">
        <v>8898</v>
      </c>
      <c r="F3302" s="7" t="str">
        <f>IFERROR(__xludf.DUMMYFUNCTION("GOOGLETRANSLATE(B3302:B5064,""en"",""fr"")"),"bénévole")</f>
        <v>bénévole</v>
      </c>
    </row>
    <row r="3303" ht="19.5" customHeight="1">
      <c r="A3303" s="26" t="s">
        <v>8899</v>
      </c>
      <c r="B3303" s="27" t="s">
        <v>8900</v>
      </c>
      <c r="C3303" s="28" t="s">
        <v>85</v>
      </c>
      <c r="D3303" s="29">
        <v>68.0</v>
      </c>
      <c r="E3303" s="28" t="s">
        <v>8900</v>
      </c>
      <c r="F3303" s="7" t="str">
        <f>IFERROR(__xludf.DUMMYFUNCTION("GOOGLETRANSLATE(B3303:B5064,""en"",""fr"")"),"shaste")</f>
        <v>shaste</v>
      </c>
    </row>
    <row r="3304" ht="19.5" customHeight="1">
      <c r="A3304" s="26" t="s">
        <v>8901</v>
      </c>
      <c r="B3304" s="27" t="s">
        <v>8902</v>
      </c>
      <c r="C3304" s="28" t="s">
        <v>178</v>
      </c>
      <c r="D3304" s="29">
        <v>68.0</v>
      </c>
      <c r="E3304" s="28" t="s">
        <v>8903</v>
      </c>
      <c r="F3304" s="7" t="str">
        <f>IFERROR(__xludf.DUMMYFUNCTION("GOOGLETRANSLATE(B3304:B5064,""en"",""fr"")"),"facilité")</f>
        <v>facilité</v>
      </c>
    </row>
    <row r="3305" ht="19.5" customHeight="1">
      <c r="A3305" s="26" t="s">
        <v>8904</v>
      </c>
      <c r="B3305" s="27" t="s">
        <v>8905</v>
      </c>
      <c r="C3305" s="28" t="s">
        <v>178</v>
      </c>
      <c r="D3305" s="29">
        <v>68.0</v>
      </c>
      <c r="E3305" s="28" t="s">
        <v>8906</v>
      </c>
      <c r="F3305" s="7" t="str">
        <f>IFERROR(__xludf.DUMMYFUNCTION("GOOGLETRANSLATE(B3305:B5064,""en"",""fr"")"),"jupe")</f>
        <v>jupe</v>
      </c>
    </row>
    <row r="3306" ht="19.5" customHeight="1">
      <c r="A3306" s="26" t="s">
        <v>8907</v>
      </c>
      <c r="B3306" s="27" t="s">
        <v>8908</v>
      </c>
      <c r="C3306" s="28" t="s">
        <v>32</v>
      </c>
      <c r="D3306" s="29">
        <v>67.0</v>
      </c>
      <c r="E3306" s="28" t="s">
        <v>8909</v>
      </c>
      <c r="F3306" s="7" t="str">
        <f>IFERROR(__xludf.DUMMYFUNCTION("GOOGLETRANSLATE(B3306:B5064,""en"",""fr"")"),"consacrer")</f>
        <v>consacrer</v>
      </c>
    </row>
    <row r="3307" ht="19.5" customHeight="1">
      <c r="A3307" s="26" t="s">
        <v>8910</v>
      </c>
      <c r="B3307" s="27" t="s">
        <v>8911</v>
      </c>
      <c r="C3307" s="28" t="s">
        <v>36</v>
      </c>
      <c r="D3307" s="29">
        <v>67.0</v>
      </c>
      <c r="E3307" s="28" t="s">
        <v>8911</v>
      </c>
      <c r="F3307" s="7" t="str">
        <f>IFERROR(__xludf.DUMMYFUNCTION("GOOGLETRANSLATE(B3307:B5064,""en"",""fr"")"),"malgré")</f>
        <v>malgré</v>
      </c>
    </row>
    <row r="3308" ht="19.5" customHeight="1">
      <c r="A3308" s="26" t="s">
        <v>8912</v>
      </c>
      <c r="B3308" s="27" t="s">
        <v>8913</v>
      </c>
      <c r="C3308" s="28" t="s">
        <v>32</v>
      </c>
      <c r="D3308" s="29">
        <v>67.0</v>
      </c>
      <c r="E3308" s="28" t="s">
        <v>8914</v>
      </c>
      <c r="F3308" s="7" t="str">
        <f>IFERROR(__xludf.DUMMYFUNCTION("GOOGLETRANSLATE(B3308:B5064,""en"",""fr"")"),"télécharger")</f>
        <v>télécharger</v>
      </c>
    </row>
    <row r="3309" ht="19.5" customHeight="1">
      <c r="A3309" s="26" t="s">
        <v>8915</v>
      </c>
      <c r="B3309" s="27" t="s">
        <v>8916</v>
      </c>
      <c r="C3309" s="28" t="s">
        <v>178</v>
      </c>
      <c r="D3309" s="29">
        <v>67.0</v>
      </c>
      <c r="E3309" s="28" t="s">
        <v>8917</v>
      </c>
      <c r="F3309" s="7" t="str">
        <f>IFERROR(__xludf.DUMMYFUNCTION("GOOGLETRANSLATE(B3309:B5064,""en"",""fr"")"),"fœtus")</f>
        <v>fœtus</v>
      </c>
    </row>
    <row r="3310" ht="19.5" customHeight="1">
      <c r="A3310" s="26" t="s">
        <v>8918</v>
      </c>
      <c r="B3310" s="27" t="s">
        <v>8919</v>
      </c>
      <c r="C3310" s="28" t="s">
        <v>32</v>
      </c>
      <c r="D3310" s="29">
        <v>67.0</v>
      </c>
      <c r="E3310" s="28" t="s">
        <v>8920</v>
      </c>
      <c r="F3310" s="7" t="str">
        <f>IFERROR(__xludf.DUMMYFUNCTION("GOOGLETRANSLATE(B3310:B5064,""en"",""fr"")"),"effrayer")</f>
        <v>effrayer</v>
      </c>
    </row>
    <row r="3311" ht="19.5" customHeight="1">
      <c r="A3311" s="26" t="s">
        <v>8921</v>
      </c>
      <c r="B3311" s="27" t="s">
        <v>8922</v>
      </c>
      <c r="C3311" s="28" t="s">
        <v>134</v>
      </c>
      <c r="D3311" s="29">
        <v>67.0</v>
      </c>
      <c r="E3311" s="28" t="s">
        <v>8922</v>
      </c>
      <c r="F3311" s="7" t="str">
        <f>IFERROR(__xludf.DUMMYFUNCTION("GOOGLETRANSLATE(B3311:B5064,""en"",""fr"")"),"reconnaissant")</f>
        <v>reconnaissant</v>
      </c>
    </row>
    <row r="3312" ht="19.5" customHeight="1">
      <c r="A3312" s="26" t="s">
        <v>8923</v>
      </c>
      <c r="B3312" s="27" t="s">
        <v>8924</v>
      </c>
      <c r="C3312" s="28" t="s">
        <v>178</v>
      </c>
      <c r="D3312" s="29">
        <v>67.0</v>
      </c>
      <c r="E3312" s="28" t="s">
        <v>8925</v>
      </c>
      <c r="F3312" s="7" t="str">
        <f>IFERROR(__xludf.DUMMYFUNCTION("GOOGLETRANSLATE(B3312:B5064,""en"",""fr"")"),"la gravité")</f>
        <v>la gravité</v>
      </c>
    </row>
    <row r="3313" ht="19.5" customHeight="1">
      <c r="A3313" s="26" t="s">
        <v>8926</v>
      </c>
      <c r="B3313" s="27" t="s">
        <v>8927</v>
      </c>
      <c r="C3313" s="28" t="s">
        <v>32</v>
      </c>
      <c r="D3313" s="29">
        <v>67.0</v>
      </c>
      <c r="E3313" s="28" t="s">
        <v>8928</v>
      </c>
      <c r="F3313" s="7" t="str">
        <f>IFERROR(__xludf.DUMMYFUNCTION("GOOGLETRANSLATE(B3313:B5064,""en"",""fr"")"),"grêle")</f>
        <v>grêle</v>
      </c>
    </row>
    <row r="3314" ht="19.5" customHeight="1">
      <c r="A3314" s="26" t="s">
        <v>8929</v>
      </c>
      <c r="B3314" s="27" t="s">
        <v>2051</v>
      </c>
      <c r="C3314" s="28" t="s">
        <v>178</v>
      </c>
      <c r="D3314" s="29">
        <v>67.0</v>
      </c>
      <c r="E3314" s="28" t="s">
        <v>8930</v>
      </c>
      <c r="F3314" s="7" t="str">
        <f>IFERROR(__xludf.DUMMYFUNCTION("GOOGLETRANSLATE(B3314:B5064,""en"",""fr"")"),"poignée")</f>
        <v>poignée</v>
      </c>
    </row>
    <row r="3315" ht="19.5" customHeight="1">
      <c r="A3315" s="26" t="s">
        <v>8931</v>
      </c>
      <c r="B3315" s="27" t="s">
        <v>8932</v>
      </c>
      <c r="C3315" s="28" t="s">
        <v>178</v>
      </c>
      <c r="D3315" s="29">
        <v>67.0</v>
      </c>
      <c r="E3315" s="28" t="s">
        <v>8933</v>
      </c>
      <c r="F3315" s="7" t="str">
        <f>IFERROR(__xludf.DUMMYFUNCTION("GOOGLETRANSLATE(B3315:B5064,""en"",""fr"")"),"foins")</f>
        <v>foins</v>
      </c>
    </row>
    <row r="3316" ht="19.5" customHeight="1">
      <c r="A3316" s="26" t="s">
        <v>8934</v>
      </c>
      <c r="B3316" s="27" t="s">
        <v>8935</v>
      </c>
      <c r="C3316" s="28" t="s">
        <v>134</v>
      </c>
      <c r="D3316" s="29">
        <v>67.0</v>
      </c>
      <c r="E3316" s="28" t="s">
        <v>8935</v>
      </c>
      <c r="F3316" s="7" t="str">
        <f>IFERROR(__xludf.DUMMYFUNCTION("GOOGLETRANSLATE(B3316:B5064,""en"",""fr"")"),"hideux")</f>
        <v>hideux</v>
      </c>
    </row>
    <row r="3317" ht="19.5" customHeight="1">
      <c r="A3317" s="26" t="s">
        <v>8936</v>
      </c>
      <c r="B3317" s="27" t="s">
        <v>8937</v>
      </c>
      <c r="C3317" s="28" t="s">
        <v>178</v>
      </c>
      <c r="D3317" s="29">
        <v>67.0</v>
      </c>
      <c r="E3317" s="28" t="s">
        <v>8938</v>
      </c>
      <c r="F3317" s="7" t="str">
        <f>IFERROR(__xludf.DUMMYFUNCTION("GOOGLETRANSLATE(B3317:B5064,""en"",""fr"")"),"passe-temps")</f>
        <v>passe-temps</v>
      </c>
    </row>
    <row r="3318" ht="19.5" customHeight="1">
      <c r="A3318" s="26" t="s">
        <v>8939</v>
      </c>
      <c r="B3318" s="27" t="s">
        <v>8940</v>
      </c>
      <c r="C3318" s="28" t="s">
        <v>100</v>
      </c>
      <c r="D3318" s="29">
        <v>67.0</v>
      </c>
      <c r="E3318" s="28" t="s">
        <v>8940</v>
      </c>
      <c r="F3318" s="7" t="str">
        <f>IFERROR(__xludf.DUMMYFUNCTION("GOOGLETRANSLATE(B3318:B5064,""en"",""fr"")"),"légalement")</f>
        <v>légalement</v>
      </c>
    </row>
    <row r="3319" ht="19.5" customHeight="1">
      <c r="A3319" s="26" t="s">
        <v>8941</v>
      </c>
      <c r="B3319" s="27" t="s">
        <v>8942</v>
      </c>
      <c r="C3319" s="28" t="s">
        <v>178</v>
      </c>
      <c r="D3319" s="29">
        <v>67.0</v>
      </c>
      <c r="E3319" s="28" t="s">
        <v>8943</v>
      </c>
      <c r="F3319" s="7" t="str">
        <f>IFERROR(__xludf.DUMMYFUNCTION("GOOGLETRANSLATE(B3319:B5064,""en"",""fr"")"),"éclairage")</f>
        <v>éclairage</v>
      </c>
    </row>
    <row r="3320" ht="19.5" customHeight="1">
      <c r="A3320" s="26" t="s">
        <v>8944</v>
      </c>
      <c r="B3320" s="27" t="s">
        <v>8945</v>
      </c>
      <c r="C3320" s="28" t="s">
        <v>178</v>
      </c>
      <c r="D3320" s="29">
        <v>67.0</v>
      </c>
      <c r="E3320" s="28" t="s">
        <v>8946</v>
      </c>
      <c r="F3320" s="7" t="str">
        <f>IFERROR(__xludf.DUMMYFUNCTION("GOOGLETRANSLATE(B3320:B5064,""en"",""fr"")"),"hall d'entrée")</f>
        <v>hall d'entrée</v>
      </c>
    </row>
    <row r="3321" ht="19.5" customHeight="1">
      <c r="A3321" s="26" t="s">
        <v>8947</v>
      </c>
      <c r="B3321" s="27" t="s">
        <v>8948</v>
      </c>
      <c r="C3321" s="28" t="s">
        <v>178</v>
      </c>
      <c r="D3321" s="29">
        <v>67.0</v>
      </c>
      <c r="E3321" s="28" t="s">
        <v>8949</v>
      </c>
      <c r="F3321" s="7" t="str">
        <f>IFERROR(__xludf.DUMMYFUNCTION("GOOGLETRANSLATE(B3321:B5064,""en"",""fr"")"),"poumon")</f>
        <v>poumon</v>
      </c>
    </row>
    <row r="3322" ht="19.5" customHeight="1">
      <c r="A3322" s="26" t="s">
        <v>8950</v>
      </c>
      <c r="B3322" s="27" t="s">
        <v>8951</v>
      </c>
      <c r="C3322" s="28" t="s">
        <v>178</v>
      </c>
      <c r="D3322" s="29">
        <v>67.0</v>
      </c>
      <c r="E3322" s="28" t="s">
        <v>8952</v>
      </c>
      <c r="F3322" s="7" t="str">
        <f>IFERROR(__xludf.DUMMYFUNCTION("GOOGLETRANSLATE(B3322:B5064,""en"",""fr"")"),"musicien")</f>
        <v>musicien</v>
      </c>
    </row>
    <row r="3323" ht="19.5" customHeight="1">
      <c r="A3323" s="26" t="s">
        <v>8953</v>
      </c>
      <c r="B3323" s="27" t="s">
        <v>8954</v>
      </c>
      <c r="C3323" s="28" t="s">
        <v>134</v>
      </c>
      <c r="D3323" s="29">
        <v>67.0</v>
      </c>
      <c r="E3323" s="28" t="s">
        <v>8955</v>
      </c>
      <c r="F3323" s="7" t="str">
        <f>IFERROR(__xludf.DUMMYFUNCTION("GOOGLETRANSLATE(B3323:B5064,""en"",""fr"")"),"petit")</f>
        <v>petit</v>
      </c>
    </row>
    <row r="3324" ht="19.5" customHeight="1">
      <c r="A3324" s="26" t="s">
        <v>8956</v>
      </c>
      <c r="B3324" s="27" t="s">
        <v>8957</v>
      </c>
      <c r="C3324" s="28" t="s">
        <v>178</v>
      </c>
      <c r="D3324" s="29">
        <v>67.0</v>
      </c>
      <c r="E3324" s="28" t="s">
        <v>8958</v>
      </c>
      <c r="F3324" s="7" t="str">
        <f>IFERROR(__xludf.DUMMYFUNCTION("GOOGLETRANSLATE(B3324:B5064,""en"",""fr"")"),"parcelle")</f>
        <v>parcelle</v>
      </c>
    </row>
    <row r="3325" ht="19.5" customHeight="1">
      <c r="A3325" s="26" t="s">
        <v>8959</v>
      </c>
      <c r="B3325" s="27" t="s">
        <v>6137</v>
      </c>
      <c r="C3325" s="28" t="s">
        <v>32</v>
      </c>
      <c r="D3325" s="29">
        <v>67.0</v>
      </c>
      <c r="E3325" s="28" t="s">
        <v>8960</v>
      </c>
      <c r="F3325" s="7" t="str">
        <f>IFERROR(__xludf.DUMMYFUNCTION("GOOGLETRANSLATE(B3325:B5064,""en"",""fr"")"),"poison")</f>
        <v>poison</v>
      </c>
    </row>
    <row r="3326" ht="19.5" customHeight="1">
      <c r="A3326" s="26" t="s">
        <v>8961</v>
      </c>
      <c r="B3326" s="27" t="s">
        <v>8962</v>
      </c>
      <c r="C3326" s="28" t="s">
        <v>178</v>
      </c>
      <c r="D3326" s="29">
        <v>67.0</v>
      </c>
      <c r="E3326" s="28" t="s">
        <v>8963</v>
      </c>
      <c r="F3326" s="7" t="str">
        <f>IFERROR(__xludf.DUMMYFUNCTION("GOOGLETRANSLATE(B3326:B5064,""en"",""fr"")"),"présence")</f>
        <v>présence</v>
      </c>
    </row>
    <row r="3327" ht="19.5" customHeight="1">
      <c r="A3327" s="26" t="s">
        <v>8964</v>
      </c>
      <c r="B3327" s="27" t="s">
        <v>8965</v>
      </c>
      <c r="C3327" s="28" t="s">
        <v>178</v>
      </c>
      <c r="D3327" s="29">
        <v>67.0</v>
      </c>
      <c r="E3327" s="28" t="s">
        <v>8966</v>
      </c>
      <c r="F3327" s="7" t="str">
        <f>IFERROR(__xludf.DUMMYFUNCTION("GOOGLETRANSLATE(B3327:B5064,""en"",""fr"")"),"promotion")</f>
        <v>promotion</v>
      </c>
    </row>
    <row r="3328" ht="19.5" customHeight="1">
      <c r="A3328" s="26" t="s">
        <v>8967</v>
      </c>
      <c r="B3328" s="27" t="s">
        <v>8968</v>
      </c>
      <c r="C3328" s="28" t="s">
        <v>134</v>
      </c>
      <c r="D3328" s="29">
        <v>67.0</v>
      </c>
      <c r="E3328" s="28" t="s">
        <v>8968</v>
      </c>
      <c r="F3328" s="7" t="str">
        <f>IFERROR(__xludf.DUMMYFUNCTION("GOOGLETRANSLATE(B3328:B5064,""en"",""fr"")"),"radioactif")</f>
        <v>radioactif</v>
      </c>
    </row>
    <row r="3329" ht="19.5" customHeight="1">
      <c r="A3329" s="26" t="s">
        <v>8969</v>
      </c>
      <c r="B3329" s="27" t="s">
        <v>8970</v>
      </c>
      <c r="C3329" s="28" t="s">
        <v>178</v>
      </c>
      <c r="D3329" s="29">
        <v>67.0</v>
      </c>
      <c r="E3329" s="28" t="s">
        <v>8971</v>
      </c>
      <c r="F3329" s="7" t="str">
        <f>IFERROR(__xludf.DUMMYFUNCTION("GOOGLETRANSLATE(B3329:B5064,""en"",""fr"")"),"relief")</f>
        <v>relief</v>
      </c>
    </row>
    <row r="3330" ht="19.5" customHeight="1">
      <c r="A3330" s="26" t="s">
        <v>8972</v>
      </c>
      <c r="B3330" s="27" t="s">
        <v>8973</v>
      </c>
      <c r="C3330" s="28" t="s">
        <v>178</v>
      </c>
      <c r="D3330" s="29">
        <v>67.0</v>
      </c>
      <c r="E3330" s="28" t="s">
        <v>8974</v>
      </c>
      <c r="F3330" s="7" t="str">
        <f>IFERROR(__xludf.DUMMYFUNCTION("GOOGLETRANSLATE(B3330:B5064,""en"",""fr"")"),"Ressource")</f>
        <v>Ressource</v>
      </c>
    </row>
    <row r="3331" ht="19.5" customHeight="1">
      <c r="A3331" s="26" t="s">
        <v>8975</v>
      </c>
      <c r="B3331" s="27" t="s">
        <v>8976</v>
      </c>
      <c r="C3331" s="28" t="s">
        <v>178</v>
      </c>
      <c r="D3331" s="29">
        <v>67.0</v>
      </c>
      <c r="E3331" s="28" t="s">
        <v>8977</v>
      </c>
      <c r="F3331" s="7" t="str">
        <f>IFERROR(__xludf.DUMMYFUNCTION("GOOGLETRANSLATE(B3331:B5064,""en"",""fr"")"),"marin")</f>
        <v>marin</v>
      </c>
    </row>
    <row r="3332" ht="19.5" customHeight="1">
      <c r="A3332" s="26" t="s">
        <v>8978</v>
      </c>
      <c r="B3332" s="27" t="s">
        <v>8979</v>
      </c>
      <c r="C3332" s="28" t="s">
        <v>134</v>
      </c>
      <c r="D3332" s="29">
        <v>67.0</v>
      </c>
      <c r="E3332" s="28" t="s">
        <v>8980</v>
      </c>
      <c r="F3332" s="7" t="str">
        <f>IFERROR(__xludf.DUMMYFUNCTION("GOOGLETRANSLATE(B3332:B5064,""en"",""fr"")"),"sobre")</f>
        <v>sobre</v>
      </c>
    </row>
    <row r="3333" ht="19.5" customHeight="1">
      <c r="A3333" s="26" t="s">
        <v>8981</v>
      </c>
      <c r="B3333" s="27" t="s">
        <v>8982</v>
      </c>
      <c r="C3333" s="28" t="s">
        <v>178</v>
      </c>
      <c r="D3333" s="29">
        <v>67.0</v>
      </c>
      <c r="E3333" s="28" t="s">
        <v>8983</v>
      </c>
      <c r="F3333" s="7" t="str">
        <f>IFERROR(__xludf.DUMMYFUNCTION("GOOGLETRANSLATE(B3333:B5064,""en"",""fr"")"),"canapé")</f>
        <v>canapé</v>
      </c>
    </row>
    <row r="3334" ht="19.5" customHeight="1">
      <c r="A3334" s="26" t="s">
        <v>8984</v>
      </c>
      <c r="B3334" s="27" t="s">
        <v>3135</v>
      </c>
      <c r="C3334" s="28" t="s">
        <v>178</v>
      </c>
      <c r="D3334" s="29">
        <v>67.0</v>
      </c>
      <c r="E3334" s="28" t="s">
        <v>8985</v>
      </c>
      <c r="F3334" s="7" t="str">
        <f>IFERROR(__xludf.DUMMYFUNCTION("GOOGLETRANSLATE(B3334:B5064,""en"",""fr"")"),"changer")</f>
        <v>changer</v>
      </c>
    </row>
    <row r="3335" ht="19.5" customHeight="1">
      <c r="A3335" s="26" t="s">
        <v>8986</v>
      </c>
      <c r="B3335" s="27" t="s">
        <v>8987</v>
      </c>
      <c r="C3335" s="28" t="s">
        <v>178</v>
      </c>
      <c r="D3335" s="29">
        <v>67.0</v>
      </c>
      <c r="E3335" s="28" t="s">
        <v>8988</v>
      </c>
      <c r="F3335" s="7" t="str">
        <f>IFERROR(__xludf.DUMMYFUNCTION("GOOGLETRANSLATE(B3335:B5064,""en"",""fr"")"),"taverne")</f>
        <v>taverne</v>
      </c>
    </row>
    <row r="3336" ht="19.5" customHeight="1">
      <c r="A3336" s="26" t="s">
        <v>8989</v>
      </c>
      <c r="B3336" s="27" t="s">
        <v>8990</v>
      </c>
      <c r="C3336" s="28" t="s">
        <v>178</v>
      </c>
      <c r="D3336" s="29">
        <v>67.0</v>
      </c>
      <c r="E3336" s="28" t="s">
        <v>8991</v>
      </c>
      <c r="F3336" s="7" t="str">
        <f>IFERROR(__xludf.DUMMYFUNCTION("GOOGLETRANSLATE(B3336:B5064,""en"",""fr"")"),"grille-pain")</f>
        <v>grille-pain</v>
      </c>
    </row>
    <row r="3337" ht="19.5" customHeight="1">
      <c r="A3337" s="26" t="s">
        <v>8992</v>
      </c>
      <c r="B3337" s="27" t="s">
        <v>8993</v>
      </c>
      <c r="C3337" s="28" t="s">
        <v>134</v>
      </c>
      <c r="D3337" s="29">
        <v>66.0</v>
      </c>
      <c r="E3337" s="28" t="s">
        <v>8993</v>
      </c>
      <c r="F3337" s="7" t="str">
        <f>IFERROR(__xludf.DUMMYFUNCTION("GOOGLETRANSLATE(B3337:B5064,""en"",""fr"")"),"annuel")</f>
        <v>annuel</v>
      </c>
    </row>
    <row r="3338" ht="19.5" customHeight="1">
      <c r="A3338" s="26" t="s">
        <v>8994</v>
      </c>
      <c r="B3338" s="27" t="s">
        <v>8995</v>
      </c>
      <c r="C3338" s="28" t="s">
        <v>32</v>
      </c>
      <c r="D3338" s="29">
        <v>66.0</v>
      </c>
      <c r="E3338" s="28" t="s">
        <v>8996</v>
      </c>
      <c r="F3338" s="7" t="str">
        <f>IFERROR(__xludf.DUMMYFUNCTION("GOOGLETRANSLATE(B3338:B5064,""en"",""fr"")"),"baigner")</f>
        <v>baigner</v>
      </c>
    </row>
    <row r="3339" ht="19.5" customHeight="1">
      <c r="A3339" s="26" t="s">
        <v>8997</v>
      </c>
      <c r="B3339" s="27" t="s">
        <v>4544</v>
      </c>
      <c r="C3339" s="28" t="s">
        <v>32</v>
      </c>
      <c r="D3339" s="29">
        <v>66.0</v>
      </c>
      <c r="E3339" s="28" t="s">
        <v>8998</v>
      </c>
      <c r="F3339" s="7" t="str">
        <f>IFERROR(__xludf.DUMMYFUNCTION("GOOGLETRANSLATE(B3339:B5064,""en"",""fr"")"),"intimidateur")</f>
        <v>intimidateur</v>
      </c>
    </row>
    <row r="3340" ht="19.5" customHeight="1">
      <c r="A3340" s="26" t="s">
        <v>8999</v>
      </c>
      <c r="B3340" s="27" t="s">
        <v>9000</v>
      </c>
      <c r="C3340" s="28" t="s">
        <v>178</v>
      </c>
      <c r="D3340" s="29">
        <v>66.0</v>
      </c>
      <c r="E3340" s="28" t="s">
        <v>9001</v>
      </c>
      <c r="F3340" s="7" t="str">
        <f>IFERROR(__xludf.DUMMYFUNCTION("GOOGLETRANSLATE(B3340:B5064,""en"",""fr"")"),"burrito")</f>
        <v>burrito</v>
      </c>
    </row>
    <row r="3341" ht="19.5" customHeight="1">
      <c r="A3341" s="26" t="s">
        <v>9002</v>
      </c>
      <c r="B3341" s="27" t="s">
        <v>9003</v>
      </c>
      <c r="C3341" s="28" t="s">
        <v>178</v>
      </c>
      <c r="D3341" s="29">
        <v>66.0</v>
      </c>
      <c r="E3341" s="28" t="s">
        <v>9004</v>
      </c>
      <c r="F3341" s="7" t="str">
        <f>IFERROR(__xludf.DUMMYFUNCTION("GOOGLETRANSLATE(B3341:B5064,""en"",""fr"")"),"catalogue")</f>
        <v>catalogue</v>
      </c>
    </row>
    <row r="3342" ht="19.5" customHeight="1">
      <c r="A3342" s="26" t="s">
        <v>9005</v>
      </c>
      <c r="B3342" s="27" t="s">
        <v>9006</v>
      </c>
      <c r="C3342" s="28" t="s">
        <v>178</v>
      </c>
      <c r="D3342" s="29">
        <v>66.0</v>
      </c>
      <c r="E3342" s="28" t="s">
        <v>9007</v>
      </c>
      <c r="F3342" s="7" t="str">
        <f>IFERROR(__xludf.DUMMYFUNCTION("GOOGLETRANSLATE(B3342:B5064,""en"",""fr"")"),"Majorette")</f>
        <v>Majorette</v>
      </c>
    </row>
    <row r="3343" ht="19.5" customHeight="1">
      <c r="A3343" s="26" t="s">
        <v>9008</v>
      </c>
      <c r="B3343" s="27" t="s">
        <v>9009</v>
      </c>
      <c r="C3343" s="28" t="s">
        <v>178</v>
      </c>
      <c r="D3343" s="29">
        <v>66.0</v>
      </c>
      <c r="E3343" s="28" t="s">
        <v>9010</v>
      </c>
      <c r="F3343" s="7" t="str">
        <f>IFERROR(__xludf.DUMMYFUNCTION("GOOGLETRANSLATE(B3343:B5064,""en"",""fr"")"),"combinaison")</f>
        <v>combinaison</v>
      </c>
    </row>
    <row r="3344" ht="19.5" customHeight="1">
      <c r="A3344" s="26" t="s">
        <v>9011</v>
      </c>
      <c r="B3344" s="27" t="s">
        <v>9012</v>
      </c>
      <c r="C3344" s="28" t="s">
        <v>32</v>
      </c>
      <c r="D3344" s="29">
        <v>66.0</v>
      </c>
      <c r="E3344" s="28" t="s">
        <v>9013</v>
      </c>
      <c r="F3344" s="7" t="str">
        <f>IFERROR(__xludf.DUMMYFUNCTION("GOOGLETRANSLATE(B3344:B5064,""en"",""fr"")"),"combiner")</f>
        <v>combiner</v>
      </c>
    </row>
    <row r="3345" ht="19.5" customHeight="1">
      <c r="A3345" s="26" t="s">
        <v>9014</v>
      </c>
      <c r="B3345" s="27" t="s">
        <v>3340</v>
      </c>
      <c r="C3345" s="28" t="s">
        <v>32</v>
      </c>
      <c r="D3345" s="29">
        <v>66.0</v>
      </c>
      <c r="E3345" s="28" t="s">
        <v>9015</v>
      </c>
      <c r="F3345" s="7" t="str">
        <f>IFERROR(__xludf.DUMMYFUNCTION("GOOGLETRANSLATE(B3345:B5064,""en"",""fr"")"),"complet")</f>
        <v>complet</v>
      </c>
    </row>
    <row r="3346" ht="19.5" customHeight="1">
      <c r="A3346" s="26" t="s">
        <v>9016</v>
      </c>
      <c r="B3346" s="27" t="s">
        <v>9017</v>
      </c>
      <c r="C3346" s="28" t="s">
        <v>178</v>
      </c>
      <c r="D3346" s="29">
        <v>66.0</v>
      </c>
      <c r="E3346" s="28" t="s">
        <v>9018</v>
      </c>
      <c r="F3346" s="7" t="str">
        <f>IFERROR(__xludf.DUMMYFUNCTION("GOOGLETRANSLATE(B3346:B5064,""en"",""fr"")"),"conclusion")</f>
        <v>conclusion</v>
      </c>
    </row>
    <row r="3347" ht="19.5" customHeight="1">
      <c r="A3347" s="26" t="s">
        <v>9019</v>
      </c>
      <c r="B3347" s="27" t="s">
        <v>9020</v>
      </c>
      <c r="C3347" s="28" t="s">
        <v>178</v>
      </c>
      <c r="D3347" s="29">
        <v>66.0</v>
      </c>
      <c r="E3347" s="28" t="s">
        <v>9021</v>
      </c>
      <c r="F3347" s="7" t="str">
        <f>IFERROR(__xludf.DUMMYFUNCTION("GOOGLETRANSLATE(B3347:B5064,""en"",""fr"")"),"coton")</f>
        <v>coton</v>
      </c>
    </row>
    <row r="3348" ht="19.5" customHeight="1">
      <c r="A3348" s="26" t="s">
        <v>9022</v>
      </c>
      <c r="B3348" s="27" t="s">
        <v>9023</v>
      </c>
      <c r="C3348" s="28" t="s">
        <v>178</v>
      </c>
      <c r="D3348" s="29">
        <v>66.0</v>
      </c>
      <c r="E3348" s="28" t="s">
        <v>9024</v>
      </c>
      <c r="F3348" s="7" t="str">
        <f>IFERROR(__xludf.DUMMYFUNCTION("GOOGLETRANSLATE(B3348:B5064,""en"",""fr"")"),"crabe")</f>
        <v>crabe</v>
      </c>
    </row>
    <row r="3349" ht="19.5" customHeight="1">
      <c r="A3349" s="26" t="s">
        <v>9025</v>
      </c>
      <c r="B3349" s="27" t="s">
        <v>6432</v>
      </c>
      <c r="C3349" s="28" t="s">
        <v>32</v>
      </c>
      <c r="D3349" s="29">
        <v>66.0</v>
      </c>
      <c r="E3349" s="28" t="s">
        <v>9026</v>
      </c>
      <c r="F3349" s="7" t="str">
        <f>IFERROR(__xludf.DUMMYFUNCTION("GOOGLETRANSLATE(B3349:B5064,""en"",""fr"")"),"dommage")</f>
        <v>dommage</v>
      </c>
    </row>
    <row r="3350" ht="19.5" customHeight="1">
      <c r="A3350" s="26" t="s">
        <v>9027</v>
      </c>
      <c r="B3350" s="27" t="s">
        <v>9028</v>
      </c>
      <c r="C3350" s="28" t="s">
        <v>32</v>
      </c>
      <c r="D3350" s="29">
        <v>66.0</v>
      </c>
      <c r="E3350" s="28" t="s">
        <v>9029</v>
      </c>
      <c r="F3350" s="7" t="str">
        <f>IFERROR(__xludf.DUMMYFUNCTION("GOOGLETRANSLATE(B3350:B5064,""en"",""fr"")"),"effacer")</f>
        <v>effacer</v>
      </c>
    </row>
    <row r="3351" ht="19.5" customHeight="1">
      <c r="A3351" s="26" t="s">
        <v>9030</v>
      </c>
      <c r="B3351" s="27" t="s">
        <v>9031</v>
      </c>
      <c r="C3351" s="28" t="s">
        <v>100</v>
      </c>
      <c r="D3351" s="29">
        <v>66.0</v>
      </c>
      <c r="E3351" s="28" t="s">
        <v>9031</v>
      </c>
      <c r="F3351" s="7" t="str">
        <f>IFERROR(__xludf.DUMMYFUNCTION("GOOGLETRANSLATE(B3351:B5064,""en"",""fr"")"),"assez")</f>
        <v>assez</v>
      </c>
    </row>
    <row r="3352" ht="19.5" customHeight="1">
      <c r="A3352" s="26" t="s">
        <v>9032</v>
      </c>
      <c r="B3352" s="27" t="s">
        <v>9033</v>
      </c>
      <c r="C3352" s="28" t="s">
        <v>178</v>
      </c>
      <c r="D3352" s="29">
        <v>66.0</v>
      </c>
      <c r="E3352" s="28" t="s">
        <v>9034</v>
      </c>
      <c r="F3352" s="7" t="str">
        <f>IFERROR(__xludf.DUMMYFUNCTION("GOOGLETRANSLATE(B3352:B5064,""en"",""fr"")"),"fonds")</f>
        <v>fonds</v>
      </c>
    </row>
    <row r="3353" ht="19.5" customHeight="1">
      <c r="A3353" s="26" t="s">
        <v>9035</v>
      </c>
      <c r="B3353" s="27" t="s">
        <v>9036</v>
      </c>
      <c r="C3353" s="28" t="s">
        <v>32</v>
      </c>
      <c r="D3353" s="29">
        <v>66.0</v>
      </c>
      <c r="E3353" s="28" t="s">
        <v>9037</v>
      </c>
      <c r="F3353" s="7" t="str">
        <f>IFERROR(__xludf.DUMMYFUNCTION("GOOGLETRANSLATE(B3353:B5064,""en"",""fr"")"),"porc")</f>
        <v>porc</v>
      </c>
    </row>
    <row r="3354" ht="19.5" customHeight="1">
      <c r="A3354" s="26" t="s">
        <v>9038</v>
      </c>
      <c r="B3354" s="27" t="s">
        <v>9039</v>
      </c>
      <c r="C3354" s="28" t="s">
        <v>178</v>
      </c>
      <c r="D3354" s="29">
        <v>66.0</v>
      </c>
      <c r="E3354" s="28" t="s">
        <v>9040</v>
      </c>
      <c r="F3354" s="7" t="str">
        <f>IFERROR(__xludf.DUMMYFUNCTION("GOOGLETRANSLATE(B3354:B5064,""en"",""fr"")"),"ouragan")</f>
        <v>ouragan</v>
      </c>
    </row>
    <row r="3355" ht="19.5" customHeight="1">
      <c r="A3355" s="26" t="s">
        <v>9041</v>
      </c>
      <c r="B3355" s="27" t="s">
        <v>9042</v>
      </c>
      <c r="C3355" s="28" t="s">
        <v>728</v>
      </c>
      <c r="D3355" s="29">
        <v>66.0</v>
      </c>
      <c r="E3355" s="28" t="s">
        <v>9043</v>
      </c>
      <c r="F3355" s="7" t="str">
        <f>IFERROR(__xludf.DUMMYFUNCTION("GOOGLETRANSLATE(B3355:B5064,""en"",""fr"")"),"Juillet")</f>
        <v>Juillet</v>
      </c>
    </row>
    <row r="3356" ht="19.5" customHeight="1">
      <c r="A3356" s="26" t="s">
        <v>9044</v>
      </c>
      <c r="B3356" s="27" t="s">
        <v>9045</v>
      </c>
      <c r="C3356" s="28" t="s">
        <v>178</v>
      </c>
      <c r="D3356" s="29">
        <v>66.0</v>
      </c>
      <c r="E3356" s="28" t="s">
        <v>9046</v>
      </c>
      <c r="F3356" s="7" t="str">
        <f>IFERROR(__xludf.DUMMYFUNCTION("GOOGLETRANSLATE(B3356:B5064,""en"",""fr"")"),"manoir")</f>
        <v>manoir</v>
      </c>
    </row>
    <row r="3357" ht="19.5" customHeight="1">
      <c r="A3357" s="26" t="s">
        <v>9047</v>
      </c>
      <c r="B3357" s="27" t="s">
        <v>9048</v>
      </c>
      <c r="C3357" s="28" t="s">
        <v>178</v>
      </c>
      <c r="D3357" s="29">
        <v>66.0</v>
      </c>
      <c r="E3357" s="28" t="s">
        <v>9049</v>
      </c>
      <c r="F3357" s="7" t="str">
        <f>IFERROR(__xludf.DUMMYFUNCTION("GOOGLETRANSLATE(B3357:B5064,""en"",""fr"")"),"moto")</f>
        <v>moto</v>
      </c>
    </row>
    <row r="3358" ht="19.5" customHeight="1">
      <c r="A3358" s="26" t="s">
        <v>9050</v>
      </c>
      <c r="B3358" s="27" t="s">
        <v>311</v>
      </c>
      <c r="C3358" s="28" t="s">
        <v>100</v>
      </c>
      <c r="D3358" s="29">
        <v>66.0</v>
      </c>
      <c r="E3358" s="28" t="s">
        <v>311</v>
      </c>
      <c r="F3358" s="7" t="str">
        <f>IFERROR(__xludf.DUMMYFUNCTION("GOOGLETRANSLATE(B3358:B5064,""en"",""fr"")"),"désactivé")</f>
        <v>désactivé</v>
      </c>
    </row>
    <row r="3359" ht="19.5" customHeight="1">
      <c r="A3359" s="26" t="s">
        <v>9051</v>
      </c>
      <c r="B3359" s="27" t="s">
        <v>9052</v>
      </c>
      <c r="C3359" s="28" t="s">
        <v>178</v>
      </c>
      <c r="D3359" s="29">
        <v>66.0</v>
      </c>
      <c r="E3359" s="28" t="s">
        <v>9053</v>
      </c>
      <c r="F3359" s="7" t="str">
        <f>IFERROR(__xludf.DUMMYFUNCTION("GOOGLETRANSLATE(B3359:B5064,""en"",""fr"")"),"pigeon")</f>
        <v>pigeon</v>
      </c>
    </row>
    <row r="3360" ht="19.5" customHeight="1">
      <c r="A3360" s="26" t="s">
        <v>9054</v>
      </c>
      <c r="B3360" s="27" t="s">
        <v>9055</v>
      </c>
      <c r="C3360" s="28" t="s">
        <v>178</v>
      </c>
      <c r="D3360" s="29">
        <v>66.0</v>
      </c>
      <c r="E3360" s="28" t="s">
        <v>9055</v>
      </c>
      <c r="F3360" s="7" t="str">
        <f>IFERROR(__xludf.DUMMYFUNCTION("GOOGLETRANSLATE(B3360:B5064,""en"",""fr"")"),"politique")</f>
        <v>politique</v>
      </c>
    </row>
    <row r="3361" ht="19.5" customHeight="1">
      <c r="A3361" s="26" t="s">
        <v>9056</v>
      </c>
      <c r="B3361" s="27" t="s">
        <v>9057</v>
      </c>
      <c r="C3361" s="28" t="s">
        <v>134</v>
      </c>
      <c r="D3361" s="29">
        <v>66.0</v>
      </c>
      <c r="E3361" s="28" t="s">
        <v>9058</v>
      </c>
      <c r="F3361" s="7" t="str">
        <f>IFERROR(__xludf.DUMMYFUNCTION("GOOGLETRANSLATE(B3361:B5064,""en"",""fr"")"),"approprié")</f>
        <v>approprié</v>
      </c>
    </row>
    <row r="3362" ht="19.5" customHeight="1">
      <c r="A3362" s="26" t="s">
        <v>9059</v>
      </c>
      <c r="B3362" s="27" t="s">
        <v>9060</v>
      </c>
      <c r="C3362" s="28" t="s">
        <v>32</v>
      </c>
      <c r="D3362" s="29">
        <v>66.0</v>
      </c>
      <c r="E3362" s="28" t="s">
        <v>9061</v>
      </c>
      <c r="F3362" s="7" t="str">
        <f>IFERROR(__xludf.DUMMYFUNCTION("GOOGLETRANSLATE(B3362:B5064,""en"",""fr"")"),"qualifier")</f>
        <v>qualifier</v>
      </c>
    </row>
    <row r="3363" ht="19.5" customHeight="1">
      <c r="A3363" s="26" t="s">
        <v>9062</v>
      </c>
      <c r="B3363" s="27" t="s">
        <v>9063</v>
      </c>
      <c r="C3363" s="28" t="s">
        <v>178</v>
      </c>
      <c r="D3363" s="29">
        <v>66.0</v>
      </c>
      <c r="E3363" s="28" t="s">
        <v>9064</v>
      </c>
      <c r="F3363" s="7" t="str">
        <f>IFERROR(__xludf.DUMMYFUNCTION("GOOGLETRANSLATE(B3363:B5064,""en"",""fr"")"),"réceptionniste")</f>
        <v>réceptionniste</v>
      </c>
    </row>
    <row r="3364" ht="19.5" customHeight="1">
      <c r="A3364" s="26" t="s">
        <v>9065</v>
      </c>
      <c r="B3364" s="27" t="s">
        <v>9066</v>
      </c>
      <c r="C3364" s="28" t="s">
        <v>32</v>
      </c>
      <c r="D3364" s="29">
        <v>66.0</v>
      </c>
      <c r="E3364" s="28" t="s">
        <v>9067</v>
      </c>
      <c r="F3364" s="7" t="str">
        <f>IFERROR(__xludf.DUMMYFUNCTION("GOOGLETRANSLATE(B3364:B5064,""en"",""fr"")"),"récupérer")</f>
        <v>récupérer</v>
      </c>
    </row>
    <row r="3365" ht="19.5" customHeight="1">
      <c r="A3365" s="26" t="s">
        <v>9068</v>
      </c>
      <c r="B3365" s="27" t="s">
        <v>5081</v>
      </c>
      <c r="C3365" s="28" t="s">
        <v>178</v>
      </c>
      <c r="D3365" s="29">
        <v>66.0</v>
      </c>
      <c r="E3365" s="28" t="s">
        <v>9069</v>
      </c>
      <c r="F3365" s="7" t="str">
        <f>IFERROR(__xludf.DUMMYFUNCTION("GOOGLETRANSLATE(B3365:B5064,""en"",""fr"")"),"libérer")</f>
        <v>libérer</v>
      </c>
    </row>
    <row r="3366" ht="19.5" customHeight="1">
      <c r="A3366" s="26" t="s">
        <v>9070</v>
      </c>
      <c r="B3366" s="27" t="s">
        <v>9071</v>
      </c>
      <c r="C3366" s="28" t="s">
        <v>178</v>
      </c>
      <c r="D3366" s="29">
        <v>66.0</v>
      </c>
      <c r="E3366" s="28" t="s">
        <v>9072</v>
      </c>
      <c r="F3366" s="7" t="str">
        <f>IFERROR(__xludf.DUMMYFUNCTION("GOOGLETRANSLATE(B3366:B5064,""en"",""fr"")"),"sarcasme")</f>
        <v>sarcasme</v>
      </c>
    </row>
    <row r="3367" ht="19.5" customHeight="1">
      <c r="A3367" s="26" t="s">
        <v>9073</v>
      </c>
      <c r="B3367" s="27" t="s">
        <v>9074</v>
      </c>
      <c r="C3367" s="28" t="s">
        <v>178</v>
      </c>
      <c r="D3367" s="29">
        <v>66.0</v>
      </c>
      <c r="E3367" s="28" t="s">
        <v>9075</v>
      </c>
      <c r="F3367" s="7" t="str">
        <f>IFERROR(__xludf.DUMMYFUNCTION("GOOGLETRANSLATE(B3367:B5064,""en"",""fr"")"),"shérif")</f>
        <v>shérif</v>
      </c>
    </row>
    <row r="3368" ht="19.5" customHeight="1">
      <c r="A3368" s="26" t="s">
        <v>9076</v>
      </c>
      <c r="B3368" s="27" t="s">
        <v>9077</v>
      </c>
      <c r="C3368" s="28" t="s">
        <v>85</v>
      </c>
      <c r="D3368" s="29">
        <v>66.0</v>
      </c>
      <c r="E3368" s="28" t="s">
        <v>9077</v>
      </c>
      <c r="F3368" s="7" t="str">
        <f>IFERROR(__xludf.DUMMYFUNCTION("GOOGLETRANSLATE(B3368:B5064,""en"",""fr"")"),"faire des bousculades")</f>
        <v>faire des bousculades</v>
      </c>
    </row>
    <row r="3369" ht="19.5" customHeight="1">
      <c r="A3369" s="26" t="s">
        <v>9078</v>
      </c>
      <c r="B3369" s="27" t="s">
        <v>9079</v>
      </c>
      <c r="C3369" s="28" t="s">
        <v>178</v>
      </c>
      <c r="D3369" s="29">
        <v>66.0</v>
      </c>
      <c r="E3369" s="28" t="s">
        <v>9080</v>
      </c>
      <c r="F3369" s="7" t="str">
        <f>IFERROR(__xludf.DUMMYFUNCTION("GOOGLETRANSLATE(B3369:B5064,""en"",""fr"")"),"soja")</f>
        <v>soja</v>
      </c>
    </row>
    <row r="3370" ht="19.5" customHeight="1">
      <c r="A3370" s="26" t="s">
        <v>9081</v>
      </c>
      <c r="B3370" s="27" t="s">
        <v>9082</v>
      </c>
      <c r="C3370" s="28" t="s">
        <v>134</v>
      </c>
      <c r="D3370" s="29">
        <v>66.0</v>
      </c>
      <c r="E3370" s="28" t="s">
        <v>9082</v>
      </c>
      <c r="F3370" s="7" t="str">
        <f>IFERROR(__xludf.DUMMYFUNCTION("GOOGLETRANSLATE(B3370:B5064,""en"",""fr"")"),"suspect")</f>
        <v>suspect</v>
      </c>
    </row>
    <row r="3371" ht="19.5" customHeight="1">
      <c r="A3371" s="26" t="s">
        <v>9083</v>
      </c>
      <c r="B3371" s="27" t="s">
        <v>9084</v>
      </c>
      <c r="C3371" s="28" t="s">
        <v>134</v>
      </c>
      <c r="D3371" s="29">
        <v>66.0</v>
      </c>
      <c r="E3371" s="28" t="s">
        <v>9085</v>
      </c>
      <c r="F3371" s="7" t="str">
        <f>IFERROR(__xludf.DUMMYFUNCTION("GOOGLETRANSLATE(B3371:B5064,""en"",""fr"")"),"en sueur")</f>
        <v>en sueur</v>
      </c>
    </row>
    <row r="3372" ht="19.5" customHeight="1">
      <c r="A3372" s="26" t="s">
        <v>9086</v>
      </c>
      <c r="B3372" s="27" t="s">
        <v>9087</v>
      </c>
      <c r="C3372" s="28" t="s">
        <v>178</v>
      </c>
      <c r="D3372" s="29">
        <v>66.0</v>
      </c>
      <c r="E3372" s="28" t="s">
        <v>9088</v>
      </c>
      <c r="F3372" s="7" t="str">
        <f>IFERROR(__xludf.DUMMYFUNCTION("GOOGLETRANSLATE(B3372:B5064,""en"",""fr"")"),"technique")</f>
        <v>technique</v>
      </c>
    </row>
    <row r="3373" ht="19.5" customHeight="1">
      <c r="A3373" s="26" t="s">
        <v>9089</v>
      </c>
      <c r="B3373" s="27" t="s">
        <v>9090</v>
      </c>
      <c r="C3373" s="28" t="s">
        <v>178</v>
      </c>
      <c r="D3373" s="29">
        <v>66.0</v>
      </c>
      <c r="E3373" s="28" t="s">
        <v>9091</v>
      </c>
      <c r="F3373" s="7" t="str">
        <f>IFERROR(__xludf.DUMMYFUNCTION("GOOGLETRANSLATE(B3373:B5064,""en"",""fr"")"),"cuisse")</f>
        <v>cuisse</v>
      </c>
    </row>
    <row r="3374" ht="19.5" customHeight="1">
      <c r="A3374" s="26" t="s">
        <v>9092</v>
      </c>
      <c r="B3374" s="27" t="s">
        <v>9093</v>
      </c>
      <c r="C3374" s="28" t="s">
        <v>134</v>
      </c>
      <c r="D3374" s="29">
        <v>66.0</v>
      </c>
      <c r="E3374" s="28" t="s">
        <v>9093</v>
      </c>
      <c r="F3374" s="7" t="str">
        <f>IFERROR(__xludf.DUMMYFUNCTION("GOOGLETRANSLATE(B3374:B5064,""en"",""fr"")"),"toxique")</f>
        <v>toxique</v>
      </c>
    </row>
    <row r="3375" ht="19.5" customHeight="1">
      <c r="A3375" s="26" t="s">
        <v>9094</v>
      </c>
      <c r="B3375" s="27" t="s">
        <v>9095</v>
      </c>
      <c r="C3375" s="28" t="s">
        <v>150</v>
      </c>
      <c r="D3375" s="29">
        <v>66.0</v>
      </c>
      <c r="E3375" s="28" t="s">
        <v>9095</v>
      </c>
      <c r="F3375" s="7" t="str">
        <f>IFERROR(__xludf.DUMMYFUNCTION("GOOGLETRANSLATE(B3375:B5064,""en"",""fr"")"),"vingt sept")</f>
        <v>vingt sept</v>
      </c>
    </row>
    <row r="3376" ht="19.5" customHeight="1">
      <c r="A3376" s="26" t="s">
        <v>9096</v>
      </c>
      <c r="B3376" s="27" t="s">
        <v>9097</v>
      </c>
      <c r="C3376" s="28" t="s">
        <v>85</v>
      </c>
      <c r="D3376" s="29">
        <v>66.0</v>
      </c>
      <c r="E3376" s="28" t="s">
        <v>9097</v>
      </c>
      <c r="F3376" s="7" t="str">
        <f>IFERROR(__xludf.DUMMYFUNCTION("GOOGLETRANSLATE(B3376:B5064,""en"",""fr"")"),"uh-uh")</f>
        <v>uh-uh</v>
      </c>
    </row>
    <row r="3377" ht="19.5" customHeight="1">
      <c r="A3377" s="26" t="s">
        <v>9098</v>
      </c>
      <c r="B3377" s="27" t="s">
        <v>9099</v>
      </c>
      <c r="C3377" s="28" t="s">
        <v>178</v>
      </c>
      <c r="D3377" s="29">
        <v>66.0</v>
      </c>
      <c r="E3377" s="28" t="s">
        <v>9100</v>
      </c>
      <c r="F3377" s="7" t="str">
        <f>IFERROR(__xludf.DUMMYFUNCTION("GOOGLETRANSLATE(B3377:B5064,""en"",""fr"")"),"gilet")</f>
        <v>gilet</v>
      </c>
    </row>
    <row r="3378" ht="19.5" customHeight="1">
      <c r="A3378" s="26" t="s">
        <v>9101</v>
      </c>
      <c r="B3378" s="27" t="s">
        <v>9102</v>
      </c>
      <c r="C3378" s="28" t="s">
        <v>178</v>
      </c>
      <c r="D3378" s="29">
        <v>66.0</v>
      </c>
      <c r="E3378" s="28" t="s">
        <v>9103</v>
      </c>
      <c r="F3378" s="7" t="str">
        <f>IFERROR(__xludf.DUMMYFUNCTION("GOOGLETRANSLATE(B3378:B5064,""en"",""fr"")"),"berceau")</f>
        <v>berceau</v>
      </c>
    </row>
    <row r="3379" ht="19.5" customHeight="1">
      <c r="A3379" s="26" t="s">
        <v>9104</v>
      </c>
      <c r="B3379" s="27" t="s">
        <v>9105</v>
      </c>
      <c r="C3379" s="28" t="s">
        <v>178</v>
      </c>
      <c r="D3379" s="29">
        <v>65.0</v>
      </c>
      <c r="E3379" s="28" t="s">
        <v>9106</v>
      </c>
      <c r="F3379" s="7" t="str">
        <f>IFERROR(__xludf.DUMMYFUNCTION("GOOGLETRANSLATE(B3379:B5064,""en"",""fr"")"),"amusement")</f>
        <v>amusement</v>
      </c>
    </row>
    <row r="3380" ht="19.5" customHeight="1">
      <c r="A3380" s="26" t="s">
        <v>9107</v>
      </c>
      <c r="B3380" s="27" t="s">
        <v>9108</v>
      </c>
      <c r="C3380" s="28" t="s">
        <v>178</v>
      </c>
      <c r="D3380" s="29">
        <v>65.0</v>
      </c>
      <c r="E3380" s="28" t="s">
        <v>9109</v>
      </c>
      <c r="F3380" s="7" t="str">
        <f>IFERROR(__xludf.DUMMYFUNCTION("GOOGLETRANSLATE(B3380:B5064,""en"",""fr"")"),"moyenne")</f>
        <v>moyenne</v>
      </c>
    </row>
    <row r="3381" ht="19.5" customHeight="1">
      <c r="A3381" s="26" t="s">
        <v>9110</v>
      </c>
      <c r="B3381" s="27" t="s">
        <v>9111</v>
      </c>
      <c r="C3381" s="28" t="s">
        <v>178</v>
      </c>
      <c r="D3381" s="29">
        <v>65.0</v>
      </c>
      <c r="E3381" s="28" t="s">
        <v>9112</v>
      </c>
      <c r="F3381" s="7" t="str">
        <f>IFERROR(__xludf.DUMMYFUNCTION("GOOGLETRANSLATE(B3381:B5064,""en"",""fr"")"),"sac à dos")</f>
        <v>sac à dos</v>
      </c>
    </row>
    <row r="3382" ht="19.5" customHeight="1">
      <c r="A3382" s="26" t="s">
        <v>9113</v>
      </c>
      <c r="B3382" s="27" t="s">
        <v>9114</v>
      </c>
      <c r="C3382" s="28" t="s">
        <v>178</v>
      </c>
      <c r="D3382" s="29">
        <v>65.0</v>
      </c>
      <c r="E3382" s="28" t="s">
        <v>9115</v>
      </c>
      <c r="F3382" s="7" t="str">
        <f>IFERROR(__xludf.DUMMYFUNCTION("GOOGLETRANSLATE(B3382:B5064,""en"",""fr"")"),"équilibre")</f>
        <v>équilibre</v>
      </c>
    </row>
    <row r="3383" ht="19.5" customHeight="1">
      <c r="A3383" s="26" t="s">
        <v>9116</v>
      </c>
      <c r="B3383" s="27" t="s">
        <v>9117</v>
      </c>
      <c r="C3383" s="28" t="s">
        <v>178</v>
      </c>
      <c r="D3383" s="29">
        <v>65.0</v>
      </c>
      <c r="E3383" s="28" t="s">
        <v>9118</v>
      </c>
      <c r="F3383" s="7" t="str">
        <f>IFERROR(__xludf.DUMMYFUNCTION("GOOGLETRANSLATE(B3383:B5064,""en"",""fr"")"),"boisson")</f>
        <v>boisson</v>
      </c>
    </row>
    <row r="3384" ht="19.5" customHeight="1">
      <c r="A3384" s="26" t="s">
        <v>9119</v>
      </c>
      <c r="B3384" s="27" t="s">
        <v>9120</v>
      </c>
      <c r="C3384" s="28" t="s">
        <v>178</v>
      </c>
      <c r="D3384" s="29">
        <v>65.0</v>
      </c>
      <c r="E3384" s="28" t="s">
        <v>9121</v>
      </c>
      <c r="F3384" s="7" t="str">
        <f>IFERROR(__xludf.DUMMYFUNCTION("GOOGLETRANSLATE(B3384:B5064,""en"",""fr"")"),"boxeur")</f>
        <v>boxeur</v>
      </c>
    </row>
    <row r="3385" ht="19.5" customHeight="1">
      <c r="A3385" s="26" t="s">
        <v>9122</v>
      </c>
      <c r="B3385" s="27" t="s">
        <v>9123</v>
      </c>
      <c r="C3385" s="28" t="s">
        <v>178</v>
      </c>
      <c r="D3385" s="29">
        <v>65.0</v>
      </c>
      <c r="E3385" s="28" t="s">
        <v>9124</v>
      </c>
      <c r="F3385" s="7" t="str">
        <f>IFERROR(__xludf.DUMMYFUNCTION("GOOGLETRANSLATE(B3385:B5064,""en"",""fr"")"),"confession")</f>
        <v>confession</v>
      </c>
    </row>
    <row r="3386" ht="19.5" customHeight="1">
      <c r="A3386" s="26" t="s">
        <v>9125</v>
      </c>
      <c r="B3386" s="27" t="s">
        <v>9126</v>
      </c>
      <c r="C3386" s="28" t="s">
        <v>100</v>
      </c>
      <c r="D3386" s="29">
        <v>65.0</v>
      </c>
      <c r="E3386" s="28" t="s">
        <v>9127</v>
      </c>
      <c r="F3386" s="7" t="str">
        <f>IFERROR(__xludf.DUMMYFUNCTION("GOOGLETRANSLATE(B3386:B5064,""en"",""fr"")"),"profondément")</f>
        <v>profondément</v>
      </c>
    </row>
    <row r="3387" ht="19.5" customHeight="1">
      <c r="A3387" s="26" t="s">
        <v>9128</v>
      </c>
      <c r="B3387" s="27" t="s">
        <v>9129</v>
      </c>
      <c r="C3387" s="28" t="s">
        <v>178</v>
      </c>
      <c r="D3387" s="29">
        <v>65.0</v>
      </c>
      <c r="E3387" s="28" t="s">
        <v>9130</v>
      </c>
      <c r="F3387" s="7" t="str">
        <f>IFERROR(__xludf.DUMMYFUNCTION("GOOGLETRANSLATE(B3387:B5064,""en"",""fr"")"),"tissu")</f>
        <v>tissu</v>
      </c>
    </row>
    <row r="3388" ht="19.5" customHeight="1">
      <c r="A3388" s="26" t="s">
        <v>9131</v>
      </c>
      <c r="B3388" s="27" t="s">
        <v>9132</v>
      </c>
      <c r="C3388" s="28" t="s">
        <v>178</v>
      </c>
      <c r="D3388" s="29">
        <v>65.0</v>
      </c>
      <c r="E3388" s="28" t="s">
        <v>9133</v>
      </c>
      <c r="F3388" s="7" t="str">
        <f>IFERROR(__xludf.DUMMYFUNCTION("GOOGLETRANSLATE(B3388:B5064,""en"",""fr"")"),"herpès")</f>
        <v>herpès</v>
      </c>
    </row>
    <row r="3389" ht="19.5" customHeight="1">
      <c r="A3389" s="26" t="s">
        <v>9134</v>
      </c>
      <c r="B3389" s="27" t="s">
        <v>9135</v>
      </c>
      <c r="C3389" s="28" t="s">
        <v>178</v>
      </c>
      <c r="D3389" s="29">
        <v>65.0</v>
      </c>
      <c r="E3389" s="28" t="s">
        <v>9136</v>
      </c>
      <c r="F3389" s="7" t="str">
        <f>IFERROR(__xludf.DUMMYFUNCTION("GOOGLETRANSLATE(B3389:B5064,""en"",""fr"")"),"clochard")</f>
        <v>clochard</v>
      </c>
    </row>
    <row r="3390" ht="19.5" customHeight="1">
      <c r="A3390" s="26" t="s">
        <v>9137</v>
      </c>
      <c r="B3390" s="27" t="s">
        <v>5904</v>
      </c>
      <c r="C3390" s="28" t="s">
        <v>32</v>
      </c>
      <c r="D3390" s="29">
        <v>65.0</v>
      </c>
      <c r="E3390" s="28" t="s">
        <v>9138</v>
      </c>
      <c r="F3390" s="7" t="str">
        <f>IFERROR(__xludf.DUMMYFUNCTION("GOOGLETRANSLATE(B3390:B5064,""en"",""fr"")"),"hôte")</f>
        <v>hôte</v>
      </c>
    </row>
    <row r="3391" ht="19.5" customHeight="1">
      <c r="A3391" s="26" t="s">
        <v>9139</v>
      </c>
      <c r="B3391" s="27" t="s">
        <v>9140</v>
      </c>
      <c r="C3391" s="28" t="s">
        <v>178</v>
      </c>
      <c r="D3391" s="29">
        <v>65.0</v>
      </c>
      <c r="E3391" s="28" t="s">
        <v>9141</v>
      </c>
      <c r="F3391" s="7" t="str">
        <f>IFERROR(__xludf.DUMMYFUNCTION("GOOGLETRANSLATE(B3391:B5064,""en"",""fr"")"),"hybride")</f>
        <v>hybride</v>
      </c>
    </row>
    <row r="3392" ht="19.5" customHeight="1">
      <c r="A3392" s="26" t="s">
        <v>9142</v>
      </c>
      <c r="B3392" s="27" t="s">
        <v>9143</v>
      </c>
      <c r="C3392" s="28" t="s">
        <v>32</v>
      </c>
      <c r="D3392" s="29">
        <v>65.0</v>
      </c>
      <c r="E3392" s="28" t="s">
        <v>9144</v>
      </c>
      <c r="F3392" s="7" t="str">
        <f>IFERROR(__xludf.DUMMYFUNCTION("GOOGLETRANSLATE(B3392:B5064,""en"",""fr"")"),"augmenter")</f>
        <v>augmenter</v>
      </c>
    </row>
    <row r="3393" ht="19.5" customHeight="1">
      <c r="A3393" s="26" t="s">
        <v>9145</v>
      </c>
      <c r="B3393" s="27" t="s">
        <v>9146</v>
      </c>
      <c r="C3393" s="28" t="s">
        <v>178</v>
      </c>
      <c r="D3393" s="29">
        <v>65.0</v>
      </c>
      <c r="E3393" s="28" t="s">
        <v>9147</v>
      </c>
      <c r="F3393" s="7" t="str">
        <f>IFERROR(__xludf.DUMMYFUNCTION("GOOGLETRANSLATE(B3393:B5064,""en"",""fr"")"),"meth")</f>
        <v>meth</v>
      </c>
    </row>
    <row r="3394" ht="19.5" customHeight="1">
      <c r="A3394" s="26" t="s">
        <v>9148</v>
      </c>
      <c r="B3394" s="27" t="s">
        <v>9149</v>
      </c>
      <c r="C3394" s="28" t="s">
        <v>32</v>
      </c>
      <c r="D3394" s="29">
        <v>65.0</v>
      </c>
      <c r="E3394" s="28" t="s">
        <v>9150</v>
      </c>
      <c r="F3394" s="7" t="str">
        <f>IFERROR(__xludf.DUMMYFUNCTION("GOOGLETRANSLATE(B3394:B5064,""en"",""fr"")"),"prévenir")</f>
        <v>prévenir</v>
      </c>
    </row>
    <row r="3395" ht="19.5" customHeight="1">
      <c r="A3395" s="26" t="s">
        <v>9151</v>
      </c>
      <c r="B3395" s="27" t="s">
        <v>9152</v>
      </c>
      <c r="C3395" s="28" t="s">
        <v>178</v>
      </c>
      <c r="D3395" s="29">
        <v>65.0</v>
      </c>
      <c r="E3395" s="28" t="s">
        <v>9153</v>
      </c>
      <c r="F3395" s="7" t="str">
        <f>IFERROR(__xludf.DUMMYFUNCTION("GOOGLETRANSLATE(B3395:B5064,""en"",""fr"")"),"prisonnier")</f>
        <v>prisonnier</v>
      </c>
    </row>
    <row r="3396" ht="19.5" customHeight="1">
      <c r="A3396" s="26" t="s">
        <v>9154</v>
      </c>
      <c r="B3396" s="27" t="s">
        <v>9155</v>
      </c>
      <c r="C3396" s="28" t="s">
        <v>178</v>
      </c>
      <c r="D3396" s="29">
        <v>65.0</v>
      </c>
      <c r="E3396" s="28" t="s">
        <v>9156</v>
      </c>
      <c r="F3396" s="7" t="str">
        <f>IFERROR(__xludf.DUMMYFUNCTION("GOOGLETRANSLATE(B3396:B5064,""en"",""fr"")"),"protection")</f>
        <v>protection</v>
      </c>
    </row>
    <row r="3397" ht="19.5" customHeight="1">
      <c r="A3397" s="26" t="s">
        <v>9157</v>
      </c>
      <c r="B3397" s="27" t="s">
        <v>9158</v>
      </c>
      <c r="C3397" s="28" t="s">
        <v>134</v>
      </c>
      <c r="D3397" s="29">
        <v>65.0</v>
      </c>
      <c r="E3397" s="28" t="s">
        <v>9159</v>
      </c>
      <c r="F3397" s="7" t="str">
        <f>IFERROR(__xludf.DUMMYFUNCTION("GOOGLETRANSLATE(B3397:B5064,""en"",""fr"")"),"bizarre")</f>
        <v>bizarre</v>
      </c>
    </row>
    <row r="3398" ht="19.5" customHeight="1">
      <c r="A3398" s="26" t="s">
        <v>9160</v>
      </c>
      <c r="B3398" s="27" t="s">
        <v>9161</v>
      </c>
      <c r="C3398" s="28" t="s">
        <v>32</v>
      </c>
      <c r="D3398" s="29">
        <v>65.0</v>
      </c>
      <c r="E3398" s="28" t="s">
        <v>9162</v>
      </c>
      <c r="F3398" s="7" t="str">
        <f>IFERROR(__xludf.DUMMYFUNCTION("GOOGLETRANSLATE(B3398:B5064,""en"",""fr"")"),"rafraîchir")</f>
        <v>rafraîchir</v>
      </c>
    </row>
    <row r="3399" ht="19.5" customHeight="1">
      <c r="A3399" s="26" t="s">
        <v>9163</v>
      </c>
      <c r="B3399" s="27" t="s">
        <v>8005</v>
      </c>
      <c r="C3399" s="28" t="s">
        <v>32</v>
      </c>
      <c r="D3399" s="29">
        <v>65.0</v>
      </c>
      <c r="E3399" s="28" t="s">
        <v>9164</v>
      </c>
      <c r="F3399" s="7" t="str">
        <f>IFERROR(__xludf.DUMMYFUNCTION("GOOGLETRANSLATE(B3399:B5064,""en"",""fr"")"),"demande")</f>
        <v>demande</v>
      </c>
    </row>
    <row r="3400" ht="19.5" customHeight="1">
      <c r="A3400" s="26" t="s">
        <v>9165</v>
      </c>
      <c r="B3400" s="27" t="s">
        <v>9166</v>
      </c>
      <c r="C3400" s="28" t="s">
        <v>85</v>
      </c>
      <c r="D3400" s="29">
        <v>65.0</v>
      </c>
      <c r="E3400" s="28" t="s">
        <v>9166</v>
      </c>
      <c r="F3400" s="7" t="str">
        <f>IFERROR(__xludf.DUMMYFUNCTION("GOOGLETRANSLATE(B3400:B5064,""en"",""fr"")"),"Chut")</f>
        <v>Chut</v>
      </c>
    </row>
    <row r="3401" ht="19.5" customHeight="1">
      <c r="A3401" s="26" t="s">
        <v>9167</v>
      </c>
      <c r="B3401" s="27" t="s">
        <v>8083</v>
      </c>
      <c r="C3401" s="28" t="s">
        <v>134</v>
      </c>
      <c r="D3401" s="29">
        <v>65.0</v>
      </c>
      <c r="E3401" s="28" t="s">
        <v>8083</v>
      </c>
      <c r="F3401" s="7" t="str">
        <f>IFERROR(__xludf.DUMMYFUNCTION("GOOGLETRANSLATE(B3401:B5064,""en"",""fr"")"),"standard")</f>
        <v>standard</v>
      </c>
    </row>
    <row r="3402" ht="19.5" customHeight="1">
      <c r="A3402" s="26" t="s">
        <v>9168</v>
      </c>
      <c r="B3402" s="27" t="s">
        <v>9169</v>
      </c>
      <c r="C3402" s="28" t="s">
        <v>32</v>
      </c>
      <c r="D3402" s="29">
        <v>65.0</v>
      </c>
      <c r="E3402" s="28" t="s">
        <v>9170</v>
      </c>
      <c r="F3402" s="7" t="str">
        <f>IFERROR(__xludf.DUMMYFUNCTION("GOOGLETRANSLATE(B3402:B5064,""en"",""fr"")"),"sangle")</f>
        <v>sangle</v>
      </c>
    </row>
    <row r="3403" ht="19.5" customHeight="1">
      <c r="A3403" s="26" t="s">
        <v>9171</v>
      </c>
      <c r="B3403" s="27" t="s">
        <v>9172</v>
      </c>
      <c r="C3403" s="28" t="s">
        <v>178</v>
      </c>
      <c r="D3403" s="29">
        <v>65.0</v>
      </c>
      <c r="E3403" s="28" t="s">
        <v>9173</v>
      </c>
      <c r="F3403" s="7" t="str">
        <f>IFERROR(__xludf.DUMMYFUNCTION("GOOGLETRANSLATE(B3403:B5064,""en"",""fr"")"),"plateau")</f>
        <v>plateau</v>
      </c>
    </row>
    <row r="3404" ht="19.5" customHeight="1">
      <c r="A3404" s="26" t="s">
        <v>9174</v>
      </c>
      <c r="B3404" s="27" t="s">
        <v>3264</v>
      </c>
      <c r="C3404" s="28" t="s">
        <v>32</v>
      </c>
      <c r="D3404" s="29">
        <v>65.0</v>
      </c>
      <c r="E3404" s="28" t="s">
        <v>9175</v>
      </c>
      <c r="F3404" s="7" t="str">
        <f>IFERROR(__xludf.DUMMYFUNCTION("GOOGLETRANSLATE(B3404:B5064,""en"",""fr"")"),"taper")</f>
        <v>taper</v>
      </c>
    </row>
    <row r="3405" ht="19.5" customHeight="1">
      <c r="A3405" s="26" t="s">
        <v>9176</v>
      </c>
      <c r="B3405" s="27" t="s">
        <v>9177</v>
      </c>
      <c r="C3405" s="28" t="s">
        <v>85</v>
      </c>
      <c r="D3405" s="29">
        <v>65.0</v>
      </c>
      <c r="E3405" s="28" t="s">
        <v>9177</v>
      </c>
      <c r="F3405" s="7" t="str">
        <f>IFERROR(__xludf.DUMMYFUNCTION("GOOGLETRANSLATE(B3405:B5064,""en"",""fr"")"),"beurk")</f>
        <v>beurk</v>
      </c>
    </row>
    <row r="3406" ht="19.5" customHeight="1">
      <c r="A3406" s="26" t="s">
        <v>9178</v>
      </c>
      <c r="B3406" s="27" t="s">
        <v>9179</v>
      </c>
      <c r="C3406" s="28" t="s">
        <v>32</v>
      </c>
      <c r="D3406" s="29">
        <v>64.0</v>
      </c>
      <c r="E3406" s="28" t="s">
        <v>9180</v>
      </c>
      <c r="F3406" s="7" t="str">
        <f>IFERROR(__xludf.DUMMYFUNCTION("GOOGLETRANSLATE(B3406:B5064,""en"",""fr"")"),"vomir")</f>
        <v>vomir</v>
      </c>
    </row>
    <row r="3407" ht="19.5" customHeight="1">
      <c r="A3407" s="26" t="s">
        <v>9181</v>
      </c>
      <c r="B3407" s="27" t="s">
        <v>9182</v>
      </c>
      <c r="C3407" s="28" t="s">
        <v>178</v>
      </c>
      <c r="D3407" s="29">
        <v>64.0</v>
      </c>
      <c r="E3407" s="28" t="s">
        <v>9183</v>
      </c>
      <c r="F3407" s="7" t="str">
        <f>IFERROR(__xludf.DUMMYFUNCTION("GOOGLETRANSLATE(B3407:B5064,""en"",""fr"")"),"académie")</f>
        <v>académie</v>
      </c>
    </row>
    <row r="3408" ht="19.5" customHeight="1">
      <c r="A3408" s="26" t="s">
        <v>9184</v>
      </c>
      <c r="B3408" s="27" t="s">
        <v>9185</v>
      </c>
      <c r="C3408" s="28" t="s">
        <v>178</v>
      </c>
      <c r="D3408" s="29">
        <v>64.0</v>
      </c>
      <c r="E3408" s="28" t="s">
        <v>9186</v>
      </c>
      <c r="F3408" s="7" t="str">
        <f>IFERROR(__xludf.DUMMYFUNCTION("GOOGLETRANSLATE(B3408:B5064,""en"",""fr"")"),"anus")</f>
        <v>anus</v>
      </c>
    </row>
    <row r="3409" ht="19.5" customHeight="1">
      <c r="A3409" s="26" t="s">
        <v>9187</v>
      </c>
      <c r="B3409" s="27" t="s">
        <v>9188</v>
      </c>
      <c r="C3409" s="28" t="s">
        <v>178</v>
      </c>
      <c r="D3409" s="29">
        <v>64.0</v>
      </c>
      <c r="E3409" s="28" t="s">
        <v>9189</v>
      </c>
      <c r="F3409" s="7" t="str">
        <f>IFERROR(__xludf.DUMMYFUNCTION("GOOGLETRANSLATE(B3409:B5064,""en"",""fr"")"),"Baby-sitter")</f>
        <v>Baby-sitter</v>
      </c>
    </row>
    <row r="3410" ht="19.5" customHeight="1">
      <c r="A3410" s="26" t="s">
        <v>9190</v>
      </c>
      <c r="B3410" s="27" t="s">
        <v>9191</v>
      </c>
      <c r="C3410" s="28" t="s">
        <v>178</v>
      </c>
      <c r="D3410" s="29">
        <v>64.0</v>
      </c>
      <c r="E3410" s="28" t="s">
        <v>9192</v>
      </c>
      <c r="F3410" s="7" t="str">
        <f>IFERROR(__xludf.DUMMYFUNCTION("GOOGLETRANSLATE(B3410:B5064,""en"",""fr"")"),"bannière")</f>
        <v>bannière</v>
      </c>
    </row>
    <row r="3411" ht="19.5" customHeight="1">
      <c r="A3411" s="26" t="s">
        <v>9193</v>
      </c>
      <c r="B3411" s="27" t="s">
        <v>9194</v>
      </c>
      <c r="C3411" s="28" t="s">
        <v>36</v>
      </c>
      <c r="D3411" s="29">
        <v>64.0</v>
      </c>
      <c r="E3411" s="28" t="s">
        <v>9194</v>
      </c>
      <c r="F3411" s="7" t="str">
        <f>IFERROR(__xludf.DUMMYFUNCTION("GOOGLETRANSLATE(B3411:B5064,""en"",""fr"")"),"sous")</f>
        <v>sous</v>
      </c>
    </row>
    <row r="3412" ht="19.5" customHeight="1">
      <c r="A3412" s="26" t="s">
        <v>9195</v>
      </c>
      <c r="B3412" s="27" t="s">
        <v>9196</v>
      </c>
      <c r="C3412" s="28" t="s">
        <v>32</v>
      </c>
      <c r="D3412" s="29">
        <v>64.0</v>
      </c>
      <c r="E3412" s="28" t="s">
        <v>9197</v>
      </c>
      <c r="F3412" s="7" t="str">
        <f>IFERROR(__xludf.DUMMYFUNCTION("GOOGLETRANSLATE(B3412:B5064,""en"",""fr"")"),"offre")</f>
        <v>offre</v>
      </c>
    </row>
    <row r="3413" ht="19.5" customHeight="1">
      <c r="A3413" s="26" t="s">
        <v>9198</v>
      </c>
      <c r="B3413" s="27" t="s">
        <v>9199</v>
      </c>
      <c r="C3413" s="28" t="s">
        <v>178</v>
      </c>
      <c r="D3413" s="29">
        <v>64.0</v>
      </c>
      <c r="E3413" s="28" t="s">
        <v>9200</v>
      </c>
      <c r="F3413" s="7" t="str">
        <f>IFERROR(__xludf.DUMMYFUNCTION("GOOGLETRANSLATE(B3413:B5064,""en"",""fr"")"),"vessie")</f>
        <v>vessie</v>
      </c>
    </row>
    <row r="3414" ht="19.5" customHeight="1">
      <c r="A3414" s="26" t="s">
        <v>9201</v>
      </c>
      <c r="B3414" s="27" t="s">
        <v>9202</v>
      </c>
      <c r="C3414" s="28" t="s">
        <v>178</v>
      </c>
      <c r="D3414" s="29">
        <v>64.0</v>
      </c>
      <c r="E3414" s="28" t="s">
        <v>9203</v>
      </c>
      <c r="F3414" s="7" t="str">
        <f>IFERROR(__xludf.DUMMYFUNCTION("GOOGLETRANSLATE(B3414:B5064,""en"",""fr"")"),"culte")</f>
        <v>culte</v>
      </c>
    </row>
    <row r="3415" ht="19.5" customHeight="1">
      <c r="A3415" s="26" t="s">
        <v>9204</v>
      </c>
      <c r="B3415" s="27" t="s">
        <v>9205</v>
      </c>
      <c r="C3415" s="28" t="s">
        <v>178</v>
      </c>
      <c r="D3415" s="29">
        <v>64.0</v>
      </c>
      <c r="E3415" s="28" t="s">
        <v>9206</v>
      </c>
      <c r="F3415" s="7" t="str">
        <f>IFERROR(__xludf.DUMMYFUNCTION("GOOGLETRANSLATE(B3415:B5064,""en"",""fr"")"),"Marchand")</f>
        <v>Marchand</v>
      </c>
    </row>
    <row r="3416" ht="19.5" customHeight="1">
      <c r="A3416" s="26" t="s">
        <v>9207</v>
      </c>
      <c r="B3416" s="27" t="s">
        <v>9208</v>
      </c>
      <c r="C3416" s="28" t="s">
        <v>178</v>
      </c>
      <c r="D3416" s="29">
        <v>64.0</v>
      </c>
      <c r="E3416" s="28" t="s">
        <v>9209</v>
      </c>
      <c r="F3416" s="7" t="str">
        <f>IFERROR(__xludf.DUMMYFUNCTION("GOOGLETRANSLATE(B3416:B5064,""en"",""fr"")"),"chair")</f>
        <v>chair</v>
      </c>
    </row>
    <row r="3417" ht="19.5" customHeight="1">
      <c r="A3417" s="26" t="s">
        <v>9210</v>
      </c>
      <c r="B3417" s="27" t="s">
        <v>9211</v>
      </c>
      <c r="C3417" s="28" t="s">
        <v>32</v>
      </c>
      <c r="D3417" s="29">
        <v>64.0</v>
      </c>
      <c r="E3417" s="28" t="s">
        <v>9212</v>
      </c>
      <c r="F3417" s="7" t="str">
        <f>IFERROR(__xludf.DUMMYFUNCTION("GOOGLETRANSLATE(B3417:B5064,""en"",""fr"")"),"remplir")</f>
        <v>remplir</v>
      </c>
    </row>
    <row r="3418" ht="19.5" customHeight="1">
      <c r="A3418" s="26" t="s">
        <v>9213</v>
      </c>
      <c r="B3418" s="27" t="s">
        <v>5610</v>
      </c>
      <c r="C3418" s="28" t="s">
        <v>85</v>
      </c>
      <c r="D3418" s="29">
        <v>64.0</v>
      </c>
      <c r="E3418" s="28" t="s">
        <v>5610</v>
      </c>
      <c r="F3418" s="7" t="str">
        <f>IFERROR(__xludf.DUMMYFUNCTION("GOOGLETRANSLATE(B3418:B5064,""en"",""fr"")"),"Zut")</f>
        <v>Zut</v>
      </c>
    </row>
    <row r="3419" ht="19.5" customHeight="1">
      <c r="A3419" s="26" t="s">
        <v>9214</v>
      </c>
      <c r="B3419" s="27" t="s">
        <v>9215</v>
      </c>
      <c r="C3419" s="28" t="s">
        <v>178</v>
      </c>
      <c r="D3419" s="29">
        <v>64.0</v>
      </c>
      <c r="E3419" s="28" t="s">
        <v>9216</v>
      </c>
      <c r="F3419" s="7" t="str">
        <f>IFERROR(__xludf.DUMMYFUNCTION("GOOGLETRANSLATE(B3419:B5064,""en"",""fr"")"),"indice")</f>
        <v>indice</v>
      </c>
    </row>
    <row r="3420" ht="19.5" customHeight="1">
      <c r="A3420" s="26" t="s">
        <v>9217</v>
      </c>
      <c r="B3420" s="27" t="s">
        <v>9218</v>
      </c>
      <c r="C3420" s="28" t="s">
        <v>32</v>
      </c>
      <c r="D3420" s="29">
        <v>64.0</v>
      </c>
      <c r="E3420" s="28" t="s">
        <v>9219</v>
      </c>
      <c r="F3420" s="7" t="str">
        <f>IFERROR(__xludf.DUMMYFUNCTION("GOOGLETRANSLATE(B3420:B5064,""en"",""fr"")"),"bosse")</f>
        <v>bosse</v>
      </c>
    </row>
    <row r="3421" ht="19.5" customHeight="1">
      <c r="A3421" s="26" t="s">
        <v>9220</v>
      </c>
      <c r="B3421" s="27" t="s">
        <v>9221</v>
      </c>
      <c r="C3421" s="28" t="s">
        <v>32</v>
      </c>
      <c r="D3421" s="29">
        <v>64.0</v>
      </c>
      <c r="E3421" s="28" t="s">
        <v>9222</v>
      </c>
      <c r="F3421" s="7" t="str">
        <f>IFERROR(__xludf.DUMMYFUNCTION("GOOGLETRANSLATE(B3421:B5064,""en"",""fr"")"),"identifier")</f>
        <v>identifier</v>
      </c>
    </row>
    <row r="3422" ht="19.5" customHeight="1">
      <c r="A3422" s="26" t="s">
        <v>9223</v>
      </c>
      <c r="B3422" s="27" t="s">
        <v>9224</v>
      </c>
      <c r="C3422" s="28" t="s">
        <v>32</v>
      </c>
      <c r="D3422" s="29">
        <v>64.0</v>
      </c>
      <c r="E3422" s="28" t="s">
        <v>9225</v>
      </c>
      <c r="F3422" s="7" t="str">
        <f>IFERROR(__xludf.DUMMYFUNCTION("GOOGLETRANSLATE(B3422:B5064,""en"",""fr"")"),"intimider")</f>
        <v>intimider</v>
      </c>
    </row>
    <row r="3423" ht="19.5" customHeight="1">
      <c r="A3423" s="26" t="s">
        <v>9226</v>
      </c>
      <c r="B3423" s="27" t="s">
        <v>9227</v>
      </c>
      <c r="C3423" s="28" t="s">
        <v>178</v>
      </c>
      <c r="D3423" s="29">
        <v>64.0</v>
      </c>
      <c r="E3423" s="28" t="s">
        <v>9228</v>
      </c>
      <c r="F3423" s="7" t="str">
        <f>IFERROR(__xludf.DUMMYFUNCTION("GOOGLETRANSLATE(B3423:B5064,""en"",""fr"")"),"cuir")</f>
        <v>cuir</v>
      </c>
    </row>
    <row r="3424" ht="19.5" customHeight="1">
      <c r="A3424" s="26" t="s">
        <v>9229</v>
      </c>
      <c r="B3424" s="27" t="s">
        <v>1897</v>
      </c>
      <c r="C3424" s="28" t="s">
        <v>32</v>
      </c>
      <c r="D3424" s="29">
        <v>64.0</v>
      </c>
      <c r="E3424" s="28" t="s">
        <v>9230</v>
      </c>
      <c r="F3424" s="7" t="str">
        <f>IFERROR(__xludf.DUMMYFUNCTION("GOOGLETRANSLATE(B3424:B5064,""en"",""fr"")"),"liste")</f>
        <v>liste</v>
      </c>
    </row>
    <row r="3425" ht="19.5" customHeight="1">
      <c r="A3425" s="26" t="s">
        <v>9231</v>
      </c>
      <c r="B3425" s="27" t="s">
        <v>9232</v>
      </c>
      <c r="C3425" s="28" t="s">
        <v>178</v>
      </c>
      <c r="D3425" s="29">
        <v>64.0</v>
      </c>
      <c r="E3425" s="28" t="s">
        <v>9233</v>
      </c>
      <c r="F3425" s="7" t="str">
        <f>IFERROR(__xludf.DUMMYFUNCTION("GOOGLETRANSLATE(B3425:B5064,""en"",""fr"")"),"folie")</f>
        <v>folie</v>
      </c>
    </row>
    <row r="3426" ht="19.5" customHeight="1">
      <c r="A3426" s="26" t="s">
        <v>9234</v>
      </c>
      <c r="B3426" s="27" t="s">
        <v>9235</v>
      </c>
      <c r="C3426" s="28" t="s">
        <v>100</v>
      </c>
      <c r="D3426" s="29">
        <v>64.0</v>
      </c>
      <c r="E3426" s="28" t="s">
        <v>9235</v>
      </c>
      <c r="F3426" s="7" t="str">
        <f>IFERROR(__xludf.DUMMYFUNCTION("GOOGLETRANSLATE(B3426:B5064,""en"",""fr"")"),"simplement")</f>
        <v>simplement</v>
      </c>
    </row>
    <row r="3427" ht="19.5" customHeight="1">
      <c r="A3427" s="26" t="s">
        <v>9236</v>
      </c>
      <c r="B3427" s="27" t="s">
        <v>9237</v>
      </c>
      <c r="C3427" s="28" t="s">
        <v>178</v>
      </c>
      <c r="D3427" s="29">
        <v>64.0</v>
      </c>
      <c r="E3427" s="28" t="s">
        <v>9238</v>
      </c>
      <c r="F3427" s="7" t="str">
        <f>IFERROR(__xludf.DUMMYFUNCTION("GOOGLETRANSLATE(B3427:B5064,""en"",""fr"")"),"taupe")</f>
        <v>taupe</v>
      </c>
    </row>
    <row r="3428" ht="19.5" customHeight="1">
      <c r="A3428" s="26" t="s">
        <v>9239</v>
      </c>
      <c r="B3428" s="27" t="s">
        <v>9240</v>
      </c>
      <c r="C3428" s="28" t="s">
        <v>728</v>
      </c>
      <c r="D3428" s="29">
        <v>64.0</v>
      </c>
      <c r="E3428" s="28" t="s">
        <v>9241</v>
      </c>
      <c r="F3428" s="7" t="str">
        <f>IFERROR(__xludf.DUMMYFUNCTION("GOOGLETRANSLATE(B3428:B5064,""en"",""fr"")"),"nazi")</f>
        <v>nazi</v>
      </c>
    </row>
    <row r="3429" ht="19.5" customHeight="1">
      <c r="A3429" s="26" t="s">
        <v>9242</v>
      </c>
      <c r="B3429" s="27" t="s">
        <v>9243</v>
      </c>
      <c r="C3429" s="28" t="s">
        <v>134</v>
      </c>
      <c r="D3429" s="29">
        <v>64.0</v>
      </c>
      <c r="E3429" s="28" t="s">
        <v>9243</v>
      </c>
      <c r="F3429" s="7" t="str">
        <f>IFERROR(__xludf.DUMMYFUNCTION("GOOGLETRANSLATE(B3429:B5064,""en"",""fr"")"),"passionné")</f>
        <v>passionné</v>
      </c>
    </row>
    <row r="3430" ht="19.5" customHeight="1">
      <c r="A3430" s="26" t="s">
        <v>9244</v>
      </c>
      <c r="B3430" s="27" t="s">
        <v>7654</v>
      </c>
      <c r="C3430" s="28" t="s">
        <v>178</v>
      </c>
      <c r="D3430" s="29">
        <v>64.0</v>
      </c>
      <c r="E3430" s="28" t="s">
        <v>9245</v>
      </c>
      <c r="F3430" s="7" t="str">
        <f>IFERROR(__xludf.DUMMYFUNCTION("GOOGLETRANSLATE(B3430:B5064,""en"",""fr"")"),"poste")</f>
        <v>poste</v>
      </c>
    </row>
    <row r="3431" ht="19.5" customHeight="1">
      <c r="A3431" s="26" t="s">
        <v>9246</v>
      </c>
      <c r="B3431" s="27" t="s">
        <v>3581</v>
      </c>
      <c r="C3431" s="28" t="s">
        <v>32</v>
      </c>
      <c r="D3431" s="29">
        <v>64.0</v>
      </c>
      <c r="E3431" s="28" t="s">
        <v>9247</v>
      </c>
      <c r="F3431" s="7" t="str">
        <f>IFERROR(__xludf.DUMMYFUNCTION("GOOGLETRANSLATE(B3431:B5064,""en"",""fr"")"),"programme")</f>
        <v>programme</v>
      </c>
    </row>
    <row r="3432" ht="19.5" customHeight="1">
      <c r="A3432" s="26" t="s">
        <v>9248</v>
      </c>
      <c r="B3432" s="27" t="s">
        <v>9249</v>
      </c>
      <c r="C3432" s="28" t="s">
        <v>178</v>
      </c>
      <c r="D3432" s="29">
        <v>64.0</v>
      </c>
      <c r="E3432" s="28" t="s">
        <v>9249</v>
      </c>
      <c r="F3432" s="7" t="str">
        <f>IFERROR(__xludf.DUMMYFUNCTION("GOOGLETRANSLATE(B3432:B5064,""en"",""fr"")"),"rap")</f>
        <v>rap</v>
      </c>
    </row>
    <row r="3433" ht="19.5" customHeight="1">
      <c r="A3433" s="26" t="s">
        <v>9250</v>
      </c>
      <c r="B3433" s="27" t="s">
        <v>9251</v>
      </c>
      <c r="C3433" s="28" t="s">
        <v>134</v>
      </c>
      <c r="D3433" s="29">
        <v>64.0</v>
      </c>
      <c r="E3433" s="28" t="s">
        <v>9252</v>
      </c>
      <c r="F3433" s="7" t="str">
        <f>IFERROR(__xludf.DUMMYFUNCTION("GOOGLETRANSLATE(B3433:B5064,""en"",""fr"")"),"récent")</f>
        <v>récent</v>
      </c>
    </row>
    <row r="3434" ht="19.5" customHeight="1">
      <c r="A3434" s="26" t="s">
        <v>9253</v>
      </c>
      <c r="B3434" s="27" t="s">
        <v>9254</v>
      </c>
      <c r="C3434" s="28" t="s">
        <v>178</v>
      </c>
      <c r="D3434" s="29">
        <v>64.0</v>
      </c>
      <c r="E3434" s="28" t="s">
        <v>9255</v>
      </c>
      <c r="F3434" s="7" t="str">
        <f>IFERROR(__xludf.DUMMYFUNCTION("GOOGLETRANSLATE(B3434:B5064,""en"",""fr"")"),"Satellite")</f>
        <v>Satellite</v>
      </c>
    </row>
    <row r="3435" ht="19.5" customHeight="1">
      <c r="A3435" s="26" t="s">
        <v>9256</v>
      </c>
      <c r="B3435" s="27" t="s">
        <v>9257</v>
      </c>
      <c r="C3435" s="28" t="s">
        <v>178</v>
      </c>
      <c r="D3435" s="29">
        <v>64.0</v>
      </c>
      <c r="E3435" s="28" t="s">
        <v>9258</v>
      </c>
      <c r="F3435" s="7" t="str">
        <f>IFERROR(__xludf.DUMMYFUNCTION("GOOGLETRANSLATE(B3435:B5064,""en"",""fr"")"),"shampooing")</f>
        <v>shampooing</v>
      </c>
    </row>
    <row r="3436" ht="19.5" customHeight="1">
      <c r="A3436" s="26" t="s">
        <v>9259</v>
      </c>
      <c r="B3436" s="27" t="s">
        <v>1915</v>
      </c>
      <c r="C3436" s="28" t="s">
        <v>178</v>
      </c>
      <c r="D3436" s="29">
        <v>64.0</v>
      </c>
      <c r="E3436" s="28" t="s">
        <v>9260</v>
      </c>
      <c r="F3436" s="7" t="str">
        <f>IFERROR(__xludf.DUMMYFUNCTION("GOOGLETRANSLATE(B3436:B5064,""en"",""fr"")"),"partager")</f>
        <v>partager</v>
      </c>
    </row>
    <row r="3437" ht="19.5" customHeight="1">
      <c r="A3437" s="26" t="s">
        <v>9261</v>
      </c>
      <c r="B3437" s="27" t="s">
        <v>5768</v>
      </c>
      <c r="C3437" s="28" t="s">
        <v>178</v>
      </c>
      <c r="D3437" s="29">
        <v>64.0</v>
      </c>
      <c r="E3437" s="28" t="s">
        <v>9262</v>
      </c>
      <c r="F3437" s="7" t="str">
        <f>IFERROR(__xludf.DUMMYFUNCTION("GOOGLETRANSLATE(B3437:B5064,""en"",""fr"")"),"couler")</f>
        <v>couler</v>
      </c>
    </row>
    <row r="3438" ht="19.5" customHeight="1">
      <c r="A3438" s="26" t="s">
        <v>9263</v>
      </c>
      <c r="B3438" s="27" t="s">
        <v>9264</v>
      </c>
      <c r="C3438" s="28" t="s">
        <v>134</v>
      </c>
      <c r="D3438" s="29">
        <v>64.0</v>
      </c>
      <c r="E3438" s="28" t="s">
        <v>9265</v>
      </c>
      <c r="F3438" s="7" t="str">
        <f>IFERROR(__xludf.DUMMYFUNCTION("GOOGLETRANSLATE(B3438:B5064,""en"",""fr"")"),"somnolent")</f>
        <v>somnolent</v>
      </c>
    </row>
    <row r="3439" ht="19.5" customHeight="1">
      <c r="A3439" s="26" t="s">
        <v>9266</v>
      </c>
      <c r="B3439" s="27" t="s">
        <v>9267</v>
      </c>
      <c r="C3439" s="28" t="s">
        <v>134</v>
      </c>
      <c r="D3439" s="29">
        <v>64.0</v>
      </c>
      <c r="E3439" s="28" t="s">
        <v>9268</v>
      </c>
      <c r="F3439" s="7" t="str">
        <f>IFERROR(__xludf.DUMMYFUNCTION("GOOGLETRANSLATE(B3439:B5064,""en"",""fr"")"),"suffisant")</f>
        <v>suffisant</v>
      </c>
    </row>
    <row r="3440" ht="19.5" customHeight="1">
      <c r="A3440" s="26" t="s">
        <v>9269</v>
      </c>
      <c r="B3440" s="27" t="s">
        <v>9270</v>
      </c>
      <c r="C3440" s="28" t="s">
        <v>32</v>
      </c>
      <c r="D3440" s="29">
        <v>64.0</v>
      </c>
      <c r="E3440" s="28" t="s">
        <v>9271</v>
      </c>
      <c r="F3440" s="7" t="str">
        <f>IFERROR(__xludf.DUMMYFUNCTION("GOOGLETRANSLATE(B3440:B5064,""en"",""fr"")"),"vaporisateur")</f>
        <v>vaporisateur</v>
      </c>
    </row>
    <row r="3441" ht="19.5" customHeight="1">
      <c r="A3441" s="26" t="s">
        <v>9272</v>
      </c>
      <c r="B3441" s="27" t="s">
        <v>9273</v>
      </c>
      <c r="C3441" s="28" t="s">
        <v>178</v>
      </c>
      <c r="D3441" s="29">
        <v>64.0</v>
      </c>
      <c r="E3441" s="28" t="s">
        <v>9274</v>
      </c>
      <c r="F3441" s="7" t="str">
        <f>IFERROR(__xludf.DUMMYFUNCTION("GOOGLETRANSLATE(B3441:B5064,""en"",""fr"")"),"paille")</f>
        <v>paille</v>
      </c>
    </row>
    <row r="3442" ht="19.5" customHeight="1">
      <c r="A3442" s="26" t="s">
        <v>9275</v>
      </c>
      <c r="B3442" s="27" t="s">
        <v>9276</v>
      </c>
      <c r="C3442" s="28" t="s">
        <v>178</v>
      </c>
      <c r="D3442" s="29">
        <v>64.0</v>
      </c>
      <c r="E3442" s="28" t="s">
        <v>9277</v>
      </c>
      <c r="F3442" s="7" t="str">
        <f>IFERROR(__xludf.DUMMYFUNCTION("GOOGLETRANSLATE(B3442:B5064,""en"",""fr"")"),"supermarché")</f>
        <v>supermarché</v>
      </c>
    </row>
    <row r="3443" ht="19.5" customHeight="1">
      <c r="A3443" s="26" t="s">
        <v>9278</v>
      </c>
      <c r="B3443" s="27" t="s">
        <v>9279</v>
      </c>
      <c r="C3443" s="28" t="s">
        <v>32</v>
      </c>
      <c r="D3443" s="29">
        <v>64.0</v>
      </c>
      <c r="E3443" s="28" t="s">
        <v>9280</v>
      </c>
      <c r="F3443" s="7" t="str">
        <f>IFERROR(__xludf.DUMMYFUNCTION("GOOGLETRANSLATE(B3443:B5064,""en"",""fr"")"),"tendre")</f>
        <v>tendre</v>
      </c>
    </row>
    <row r="3444" ht="19.5" customHeight="1">
      <c r="A3444" s="26" t="s">
        <v>9281</v>
      </c>
      <c r="B3444" s="27" t="s">
        <v>9282</v>
      </c>
      <c r="C3444" s="28" t="s">
        <v>150</v>
      </c>
      <c r="D3444" s="29">
        <v>64.0</v>
      </c>
      <c r="E3444" s="28" t="s">
        <v>9282</v>
      </c>
      <c r="F3444" s="7" t="str">
        <f>IFERROR(__xludf.DUMMYFUNCTION("GOOGLETRANSLATE(B3444:B5064,""en"",""fr"")"),"vingt-et-un")</f>
        <v>vingt-et-un</v>
      </c>
    </row>
    <row r="3445" ht="19.5" customHeight="1">
      <c r="A3445" s="26" t="s">
        <v>9283</v>
      </c>
      <c r="B3445" s="27" t="s">
        <v>9284</v>
      </c>
      <c r="C3445" s="28" t="s">
        <v>178</v>
      </c>
      <c r="D3445" s="29">
        <v>64.0</v>
      </c>
      <c r="E3445" s="28" t="s">
        <v>9285</v>
      </c>
      <c r="F3445" s="7" t="str">
        <f>IFERROR(__xludf.DUMMYFUNCTION("GOOGLETRANSLATE(B3445:B5064,""en"",""fr"")"),"parapluie")</f>
        <v>parapluie</v>
      </c>
    </row>
    <row r="3446" ht="19.5" customHeight="1">
      <c r="A3446" s="26" t="s">
        <v>9286</v>
      </c>
      <c r="B3446" s="27" t="s">
        <v>9287</v>
      </c>
      <c r="C3446" s="28" t="s">
        <v>178</v>
      </c>
      <c r="D3446" s="29">
        <v>64.0</v>
      </c>
      <c r="E3446" s="28" t="s">
        <v>9288</v>
      </c>
      <c r="F3446" s="7" t="str">
        <f>IFERROR(__xludf.DUMMYFUNCTION("GOOGLETRANSLATE(B3446:B5064,""en"",""fr"")"),"lutteur")</f>
        <v>lutteur</v>
      </c>
    </row>
    <row r="3447" ht="19.5" customHeight="1">
      <c r="A3447" s="26" t="s">
        <v>9289</v>
      </c>
      <c r="B3447" s="27" t="s">
        <v>9290</v>
      </c>
      <c r="C3447" s="28" t="s">
        <v>178</v>
      </c>
      <c r="D3447" s="29">
        <v>64.0</v>
      </c>
      <c r="E3447" s="28" t="s">
        <v>9291</v>
      </c>
      <c r="F3447" s="7" t="str">
        <f>IFERROR(__xludf.DUMMYFUNCTION("GOOGLETRANSLATE(B3447:B5064,""en"",""fr"")"),"bourgeon")</f>
        <v>bourgeon</v>
      </c>
    </row>
    <row r="3448" ht="19.5" customHeight="1">
      <c r="A3448" s="26" t="s">
        <v>9292</v>
      </c>
      <c r="B3448" s="27" t="s">
        <v>9293</v>
      </c>
      <c r="C3448" s="28" t="s">
        <v>178</v>
      </c>
      <c r="D3448" s="29">
        <v>64.0</v>
      </c>
      <c r="E3448" s="28" t="s">
        <v>9294</v>
      </c>
      <c r="F3448" s="7" t="str">
        <f>IFERROR(__xludf.DUMMYFUNCTION("GOOGLETRANSLATE(B3448:B5064,""en"",""fr"")"),"gaffe")</f>
        <v>gaffe</v>
      </c>
    </row>
    <row r="3449" ht="19.5" customHeight="1">
      <c r="A3449" s="26" t="s">
        <v>9295</v>
      </c>
      <c r="B3449" s="27" t="s">
        <v>9296</v>
      </c>
      <c r="C3449" s="28" t="s">
        <v>178</v>
      </c>
      <c r="D3449" s="29">
        <v>64.0</v>
      </c>
      <c r="E3449" s="28" t="s">
        <v>9297</v>
      </c>
      <c r="F3449" s="7" t="str">
        <f>IFERROR(__xludf.DUMMYFUNCTION("GOOGLETRANSLATE(B3449:B5064,""en"",""fr"")"),"émeute")</f>
        <v>émeute</v>
      </c>
    </row>
    <row r="3450" ht="19.5" customHeight="1">
      <c r="A3450" s="26" t="s">
        <v>9298</v>
      </c>
      <c r="B3450" s="27" t="s">
        <v>8507</v>
      </c>
      <c r="C3450" s="28" t="s">
        <v>32</v>
      </c>
      <c r="D3450" s="29">
        <v>63.0</v>
      </c>
      <c r="E3450" s="28" t="s">
        <v>9299</v>
      </c>
      <c r="F3450" s="7" t="str">
        <f>IFERROR(__xludf.DUMMYFUNCTION("GOOGLETRANSLATE(B3450:B5064,""en"",""fr"")"),"explosion")</f>
        <v>explosion</v>
      </c>
    </row>
    <row r="3451" ht="19.5" customHeight="1">
      <c r="A3451" s="26" t="s">
        <v>9300</v>
      </c>
      <c r="B3451" s="27" t="s">
        <v>9301</v>
      </c>
      <c r="C3451" s="28" t="s">
        <v>178</v>
      </c>
      <c r="D3451" s="29">
        <v>63.0</v>
      </c>
      <c r="E3451" s="28" t="s">
        <v>9301</v>
      </c>
      <c r="F3451" s="7" t="str">
        <f>IFERROR(__xludf.DUMMYFUNCTION("GOOGLETRANSLATE(B3451:B5064,""en"",""fr"")"),"échecs")</f>
        <v>échecs</v>
      </c>
    </row>
    <row r="3452" ht="19.5" customHeight="1">
      <c r="A3452" s="26" t="s">
        <v>9302</v>
      </c>
      <c r="B3452" s="27" t="s">
        <v>9303</v>
      </c>
      <c r="C3452" s="28" t="s">
        <v>178</v>
      </c>
      <c r="D3452" s="29">
        <v>63.0</v>
      </c>
      <c r="E3452" s="28" t="s">
        <v>9304</v>
      </c>
      <c r="F3452" s="7" t="str">
        <f>IFERROR(__xludf.DUMMYFUNCTION("GOOGLETRANSLATE(B3452:B5064,""en"",""fr"")"),"menton")</f>
        <v>menton</v>
      </c>
    </row>
    <row r="3453" ht="19.5" customHeight="1">
      <c r="A3453" s="26" t="s">
        <v>9305</v>
      </c>
      <c r="B3453" s="27" t="s">
        <v>9306</v>
      </c>
      <c r="C3453" s="28" t="s">
        <v>178</v>
      </c>
      <c r="D3453" s="29">
        <v>63.0</v>
      </c>
      <c r="E3453" s="28" t="s">
        <v>9307</v>
      </c>
      <c r="F3453" s="7" t="str">
        <f>IFERROR(__xludf.DUMMYFUNCTION("GOOGLETRANSLATE(B3453:B5064,""en"",""fr"")"),"agrafe")</f>
        <v>agrafe</v>
      </c>
    </row>
    <row r="3454" ht="19.5" customHeight="1">
      <c r="A3454" s="26" t="s">
        <v>9308</v>
      </c>
      <c r="B3454" s="27" t="s">
        <v>9309</v>
      </c>
      <c r="C3454" s="28" t="s">
        <v>178</v>
      </c>
      <c r="D3454" s="29">
        <v>63.0</v>
      </c>
      <c r="E3454" s="28" t="s">
        <v>9310</v>
      </c>
      <c r="F3454" s="7" t="str">
        <f>IFERROR(__xludf.DUMMYFUNCTION("GOOGLETRANSLATE(B3454:B5064,""en"",""fr"")"),"concept")</f>
        <v>concept</v>
      </c>
    </row>
    <row r="3455" ht="19.5" customHeight="1">
      <c r="A3455" s="26" t="s">
        <v>9311</v>
      </c>
      <c r="B3455" s="27" t="s">
        <v>9312</v>
      </c>
      <c r="C3455" s="28" t="s">
        <v>178</v>
      </c>
      <c r="D3455" s="29">
        <v>63.0</v>
      </c>
      <c r="E3455" s="28" t="s">
        <v>9313</v>
      </c>
      <c r="F3455" s="7" t="str">
        <f>IFERROR(__xludf.DUMMYFUNCTION("GOOGLETRANSLATE(B3455:B5064,""en"",""fr"")"),"cœur")</f>
        <v>cœur</v>
      </c>
    </row>
    <row r="3456" ht="19.5" customHeight="1">
      <c r="A3456" s="26" t="s">
        <v>9314</v>
      </c>
      <c r="B3456" s="27" t="s">
        <v>9315</v>
      </c>
      <c r="C3456" s="28" t="s">
        <v>178</v>
      </c>
      <c r="D3456" s="29">
        <v>63.0</v>
      </c>
      <c r="E3456" s="28" t="s">
        <v>9316</v>
      </c>
      <c r="F3456" s="7" t="str">
        <f>IFERROR(__xludf.DUMMYFUNCTION("GOOGLETRANSLATE(B3456:B5064,""en"",""fr"")"),"acte")</f>
        <v>acte</v>
      </c>
    </row>
    <row r="3457" ht="19.5" customHeight="1">
      <c r="A3457" s="26" t="s">
        <v>9317</v>
      </c>
      <c r="B3457" s="27" t="s">
        <v>9318</v>
      </c>
      <c r="C3457" s="28" t="s">
        <v>178</v>
      </c>
      <c r="D3457" s="29">
        <v>63.0</v>
      </c>
      <c r="E3457" s="28" t="s">
        <v>9319</v>
      </c>
      <c r="F3457" s="7" t="str">
        <f>IFERROR(__xludf.DUMMYFUNCTION("GOOGLETRANSLATE(B3457:B5064,""en"",""fr"")"),"destruction")</f>
        <v>destruction</v>
      </c>
    </row>
    <row r="3458" ht="19.5" customHeight="1">
      <c r="A3458" s="26" t="s">
        <v>9320</v>
      </c>
      <c r="B3458" s="27" t="s">
        <v>9321</v>
      </c>
      <c r="C3458" s="28" t="s">
        <v>178</v>
      </c>
      <c r="D3458" s="29">
        <v>63.0</v>
      </c>
      <c r="E3458" s="28" t="s">
        <v>9322</v>
      </c>
      <c r="F3458" s="7" t="str">
        <f>IFERROR(__xludf.DUMMYFUNCTION("GOOGLETRANSLATE(B3458:B5064,""en"",""fr"")"),"afficher")</f>
        <v>afficher</v>
      </c>
    </row>
    <row r="3459" ht="19.5" customHeight="1">
      <c r="A3459" s="26" t="s">
        <v>9323</v>
      </c>
      <c r="B3459" s="27" t="s">
        <v>9324</v>
      </c>
      <c r="C3459" s="28" t="s">
        <v>4654</v>
      </c>
      <c r="D3459" s="29">
        <v>63.0</v>
      </c>
      <c r="E3459" s="28" t="s">
        <v>9324</v>
      </c>
      <c r="F3459" s="7" t="str">
        <f>IFERROR(__xludf.DUMMYFUNCTION("GOOGLETRANSLATE(B3459:B5064,""en"",""fr"")"),"ADN")</f>
        <v>ADN</v>
      </c>
    </row>
    <row r="3460" ht="19.5" customHeight="1">
      <c r="A3460" s="26" t="s">
        <v>9325</v>
      </c>
      <c r="B3460" s="27" t="s">
        <v>9326</v>
      </c>
      <c r="C3460" s="28" t="s">
        <v>150</v>
      </c>
      <c r="D3460" s="29">
        <v>63.0</v>
      </c>
      <c r="E3460" s="28" t="s">
        <v>9327</v>
      </c>
      <c r="F3460" s="7" t="str">
        <f>IFERROR(__xludf.DUMMYFUNCTION("GOOGLETRANSLATE(B3460:B5064,""en"",""fr"")"),"huitième")</f>
        <v>huitième</v>
      </c>
    </row>
    <row r="3461" ht="19.5" customHeight="1">
      <c r="A3461" s="26" t="s">
        <v>9328</v>
      </c>
      <c r="B3461" s="27" t="s">
        <v>9329</v>
      </c>
      <c r="C3461" s="28" t="s">
        <v>32</v>
      </c>
      <c r="D3461" s="29">
        <v>63.0</v>
      </c>
      <c r="E3461" s="28" t="s">
        <v>9330</v>
      </c>
      <c r="F3461" s="7" t="str">
        <f>IFERROR(__xludf.DUMMYFUNCTION("GOOGLETRANSLATE(B3461:B5064,""en"",""fr"")"),"éliminer")</f>
        <v>éliminer</v>
      </c>
    </row>
    <row r="3462" ht="19.5" customHeight="1">
      <c r="A3462" s="26" t="s">
        <v>9331</v>
      </c>
      <c r="B3462" s="27" t="s">
        <v>9332</v>
      </c>
      <c r="C3462" s="28" t="s">
        <v>178</v>
      </c>
      <c r="D3462" s="29">
        <v>63.0</v>
      </c>
      <c r="E3462" s="28" t="s">
        <v>9333</v>
      </c>
      <c r="F3462" s="7" t="str">
        <f>IFERROR(__xludf.DUMMYFUNCTION("GOOGLETRANSLATE(B3462:B5064,""en"",""fr"")"),"oie")</f>
        <v>oie</v>
      </c>
    </row>
    <row r="3463" ht="19.5" customHeight="1">
      <c r="A3463" s="26" t="s">
        <v>9334</v>
      </c>
      <c r="B3463" s="27" t="s">
        <v>9335</v>
      </c>
      <c r="C3463" s="28" t="s">
        <v>178</v>
      </c>
      <c r="D3463" s="29">
        <v>63.0</v>
      </c>
      <c r="E3463" s="28" t="s">
        <v>9336</v>
      </c>
      <c r="F3463" s="7" t="str">
        <f>IFERROR(__xludf.DUMMYFUNCTION("GOOGLETRANSLATE(B3463:B5064,""en"",""fr"")"),"homosexuel")</f>
        <v>homosexuel</v>
      </c>
    </row>
    <row r="3464" ht="19.5" customHeight="1">
      <c r="A3464" s="26" t="s">
        <v>9337</v>
      </c>
      <c r="B3464" s="27" t="s">
        <v>9338</v>
      </c>
      <c r="C3464" s="28" t="s">
        <v>178</v>
      </c>
      <c r="D3464" s="29">
        <v>63.0</v>
      </c>
      <c r="E3464" s="28" t="s">
        <v>9339</v>
      </c>
      <c r="F3464" s="7" t="str">
        <f>IFERROR(__xludf.DUMMYFUNCTION("GOOGLETRANSLATE(B3464:B5064,""en"",""fr"")"),"invention")</f>
        <v>invention</v>
      </c>
    </row>
    <row r="3465" ht="19.5" customHeight="1">
      <c r="A3465" s="26" t="s">
        <v>9340</v>
      </c>
      <c r="B3465" s="27" t="s">
        <v>9341</v>
      </c>
      <c r="C3465" s="28" t="s">
        <v>178</v>
      </c>
      <c r="D3465" s="29">
        <v>63.0</v>
      </c>
      <c r="E3465" s="28" t="s">
        <v>9342</v>
      </c>
      <c r="F3465" s="7" t="str">
        <f>IFERROR(__xludf.DUMMYFUNCTION("GOOGLETRANSLATE(B3465:B5064,""en"",""fr"")"),"marathon")</f>
        <v>marathon</v>
      </c>
    </row>
    <row r="3466" ht="19.5" customHeight="1">
      <c r="A3466" s="26" t="s">
        <v>9343</v>
      </c>
      <c r="B3466" s="27" t="s">
        <v>9344</v>
      </c>
      <c r="C3466" s="28" t="s">
        <v>178</v>
      </c>
      <c r="D3466" s="29">
        <v>63.0</v>
      </c>
      <c r="E3466" s="28" t="s">
        <v>9345</v>
      </c>
      <c r="F3466" s="7" t="str">
        <f>IFERROR(__xludf.DUMMYFUNCTION("GOOGLETRANSLATE(B3466:B5064,""en"",""fr"")"),"signification")</f>
        <v>signification</v>
      </c>
    </row>
    <row r="3467" ht="19.5" customHeight="1">
      <c r="A3467" s="26" t="s">
        <v>9346</v>
      </c>
      <c r="B3467" s="27" t="s">
        <v>9347</v>
      </c>
      <c r="C3467" s="28" t="s">
        <v>36</v>
      </c>
      <c r="D3467" s="29">
        <v>63.0</v>
      </c>
      <c r="E3467" s="28" t="s">
        <v>9348</v>
      </c>
      <c r="F3467" s="7" t="str">
        <f>IFERROR(__xludf.DUMMYFUNCTION("GOOGLETRANSLATE(B3467:B5064,""en"",""fr"")"),"moins")</f>
        <v>moins</v>
      </c>
    </row>
    <row r="3468" ht="19.5" customHeight="1">
      <c r="A3468" s="26" t="s">
        <v>9349</v>
      </c>
      <c r="B3468" s="27" t="s">
        <v>9350</v>
      </c>
      <c r="C3468" s="28" t="s">
        <v>85</v>
      </c>
      <c r="D3468" s="29">
        <v>63.0</v>
      </c>
      <c r="E3468" s="28" t="s">
        <v>9350</v>
      </c>
      <c r="F3468" s="7" t="str">
        <f>IFERROR(__xludf.DUMMYFUNCTION("GOOGLETRANSLATE(B3468:B5064,""en"",""fr"")"),"Aie")</f>
        <v>Aie</v>
      </c>
    </row>
    <row r="3469" ht="19.5" customHeight="1">
      <c r="A3469" s="26" t="s">
        <v>9351</v>
      </c>
      <c r="B3469" s="27" t="s">
        <v>9352</v>
      </c>
      <c r="C3469" s="28" t="s">
        <v>178</v>
      </c>
      <c r="D3469" s="29">
        <v>63.0</v>
      </c>
      <c r="E3469" s="28" t="s">
        <v>9352</v>
      </c>
      <c r="F3469" s="7" t="str">
        <f>IFERROR(__xludf.DUMMYFUNCTION("GOOGLETRANSLATE(B3469:B5064,""en"",""fr"")"),"formalités administratives")</f>
        <v>formalités administratives</v>
      </c>
    </row>
    <row r="3470" ht="19.5" customHeight="1">
      <c r="A3470" s="26" t="s">
        <v>9353</v>
      </c>
      <c r="B3470" s="27" t="s">
        <v>5738</v>
      </c>
      <c r="C3470" s="28" t="s">
        <v>178</v>
      </c>
      <c r="D3470" s="29">
        <v>63.0</v>
      </c>
      <c r="E3470" s="28" t="s">
        <v>9354</v>
      </c>
      <c r="F3470" s="7" t="str">
        <f>IFERROR(__xludf.DUMMYFUNCTION("GOOGLETRANSLATE(B3470:B5064,""en"",""fr"")"),"physique")</f>
        <v>physique</v>
      </c>
    </row>
    <row r="3471" ht="19.5" customHeight="1">
      <c r="A3471" s="26" t="s">
        <v>9355</v>
      </c>
      <c r="B3471" s="27" t="s">
        <v>9356</v>
      </c>
      <c r="C3471" s="28" t="s">
        <v>178</v>
      </c>
      <c r="D3471" s="29">
        <v>63.0</v>
      </c>
      <c r="E3471" s="28" t="s">
        <v>9357</v>
      </c>
      <c r="F3471" s="7" t="str">
        <f>IFERROR(__xludf.DUMMYFUNCTION("GOOGLETRANSLATE(B3471:B5064,""en"",""fr"")"),"pèlerin")</f>
        <v>pèlerin</v>
      </c>
    </row>
    <row r="3472" ht="19.5" customHeight="1">
      <c r="A3472" s="26" t="s">
        <v>9358</v>
      </c>
      <c r="B3472" s="27" t="s">
        <v>6616</v>
      </c>
      <c r="C3472" s="28" t="s">
        <v>178</v>
      </c>
      <c r="D3472" s="29">
        <v>63.0</v>
      </c>
      <c r="E3472" s="28" t="s">
        <v>9359</v>
      </c>
      <c r="F3472" s="7" t="str">
        <f>IFERROR(__xludf.DUMMYFUNCTION("GOOGLETRANSLATE(B3472:B5064,""en"",""fr"")"),"pas")</f>
        <v>pas</v>
      </c>
    </row>
    <row r="3473" ht="19.5" customHeight="1">
      <c r="A3473" s="26" t="s">
        <v>9360</v>
      </c>
      <c r="B3473" s="27" t="s">
        <v>9361</v>
      </c>
      <c r="C3473" s="28" t="s">
        <v>32</v>
      </c>
      <c r="D3473" s="29">
        <v>63.0</v>
      </c>
      <c r="E3473" s="28" t="s">
        <v>9362</v>
      </c>
      <c r="F3473" s="7" t="str">
        <f>IFERROR(__xludf.DUMMYFUNCTION("GOOGLETRANSLATE(B3473:B5064,""en"",""fr"")"),"prise")</f>
        <v>prise</v>
      </c>
    </row>
    <row r="3474" ht="19.5" customHeight="1">
      <c r="A3474" s="26" t="s">
        <v>9363</v>
      </c>
      <c r="B3474" s="27" t="s">
        <v>9364</v>
      </c>
      <c r="C3474" s="28" t="s">
        <v>85</v>
      </c>
      <c r="D3474" s="29">
        <v>63.0</v>
      </c>
      <c r="E3474" s="28" t="s">
        <v>9364</v>
      </c>
      <c r="F3474" s="7" t="str">
        <f>IFERROR(__xludf.DUMMYFUNCTION("GOOGLETRANSLATE(B3474:B5064,""en"",""fr"")"),"psst")</f>
        <v>psst</v>
      </c>
    </row>
    <row r="3475" ht="19.5" customHeight="1">
      <c r="A3475" s="26" t="s">
        <v>9365</v>
      </c>
      <c r="B3475" s="27" t="s">
        <v>9366</v>
      </c>
      <c r="C3475" s="28" t="s">
        <v>178</v>
      </c>
      <c r="D3475" s="29">
        <v>63.0</v>
      </c>
      <c r="E3475" s="28" t="s">
        <v>9367</v>
      </c>
      <c r="F3475" s="7" t="str">
        <f>IFERROR(__xludf.DUMMYFUNCTION("GOOGLETRANSLATE(B3475:B5064,""en"",""fr"")"),"remplacement")</f>
        <v>remplacement</v>
      </c>
    </row>
    <row r="3476" ht="19.5" customHeight="1">
      <c r="A3476" s="26" t="s">
        <v>9368</v>
      </c>
      <c r="B3476" s="27" t="s">
        <v>5807</v>
      </c>
      <c r="C3476" s="28" t="s">
        <v>32</v>
      </c>
      <c r="D3476" s="29">
        <v>63.0</v>
      </c>
      <c r="E3476" s="28" t="s">
        <v>9369</v>
      </c>
      <c r="F3476" s="7" t="str">
        <f>IFERROR(__xludf.DUMMYFUNCTION("GOOGLETRANSLATE(B3476:B5064,""en"",""fr"")"),"revoir")</f>
        <v>revoir</v>
      </c>
    </row>
    <row r="3477" ht="19.5" customHeight="1">
      <c r="A3477" s="26" t="s">
        <v>9370</v>
      </c>
      <c r="B3477" s="27" t="s">
        <v>9371</v>
      </c>
      <c r="C3477" s="28" t="s">
        <v>32</v>
      </c>
      <c r="D3477" s="29">
        <v>63.0</v>
      </c>
      <c r="E3477" s="28" t="s">
        <v>9372</v>
      </c>
      <c r="F3477" s="7" t="str">
        <f>IFERROR(__xludf.DUMMYFUNCTION("GOOGLETRANSLATE(B3477:B5064,""en"",""fr"")"),"se rendre")</f>
        <v>se rendre</v>
      </c>
    </row>
    <row r="3478" ht="19.5" customHeight="1">
      <c r="A3478" s="26" t="s">
        <v>9373</v>
      </c>
      <c r="B3478" s="27" t="s">
        <v>9374</v>
      </c>
      <c r="C3478" s="28" t="s">
        <v>36</v>
      </c>
      <c r="D3478" s="29">
        <v>63.0</v>
      </c>
      <c r="E3478" s="28" t="s">
        <v>9374</v>
      </c>
      <c r="F3478" s="7" t="str">
        <f>IFERROR(__xludf.DUMMYFUNCTION("GOOGLETRANSLATE(B3478:B5064,""en"",""fr"")"),"vers")</f>
        <v>vers</v>
      </c>
    </row>
    <row r="3479" ht="19.5" customHeight="1">
      <c r="A3479" s="26" t="s">
        <v>9375</v>
      </c>
      <c r="B3479" s="27" t="s">
        <v>9376</v>
      </c>
      <c r="C3479" s="28" t="s">
        <v>178</v>
      </c>
      <c r="D3479" s="29">
        <v>63.0</v>
      </c>
      <c r="E3479" s="28" t="s">
        <v>9377</v>
      </c>
      <c r="F3479" s="7" t="str">
        <f>IFERROR(__xludf.DUMMYFUNCTION("GOOGLETRANSLATE(B3479:B5064,""en"",""fr"")"),"vide")</f>
        <v>vide</v>
      </c>
    </row>
    <row r="3480" ht="19.5" customHeight="1">
      <c r="A3480" s="26" t="s">
        <v>9378</v>
      </c>
      <c r="B3480" s="27" t="s">
        <v>9379</v>
      </c>
      <c r="C3480" s="28" t="s">
        <v>85</v>
      </c>
      <c r="D3480" s="29">
        <v>62.0</v>
      </c>
      <c r="E3480" s="28" t="s">
        <v>9379</v>
      </c>
      <c r="F3480" s="7" t="str">
        <f>IFERROR(__xludf.DUMMYFUNCTION("GOOGLETRANSLATE(B3480:B5064,""en"",""fr"")"),"ahoy")</f>
        <v>ahoy</v>
      </c>
    </row>
    <row r="3481" ht="19.5" customHeight="1">
      <c r="A3481" s="26" t="s">
        <v>9380</v>
      </c>
      <c r="B3481" s="27" t="s">
        <v>2567</v>
      </c>
      <c r="C3481" s="28" t="s">
        <v>32</v>
      </c>
      <c r="D3481" s="29">
        <v>62.0</v>
      </c>
      <c r="E3481" s="28" t="s">
        <v>9381</v>
      </c>
      <c r="F3481" s="7" t="str">
        <f>IFERROR(__xludf.DUMMYFUNCTION("GOOGLETRANSLATE(B3481:B5064,""en"",""fr"")"),"conseil")</f>
        <v>conseil</v>
      </c>
    </row>
    <row r="3482" ht="19.5" customHeight="1">
      <c r="A3482" s="26" t="s">
        <v>9382</v>
      </c>
      <c r="B3482" s="27" t="s">
        <v>9383</v>
      </c>
      <c r="C3482" s="28" t="s">
        <v>178</v>
      </c>
      <c r="D3482" s="29">
        <v>62.0</v>
      </c>
      <c r="E3482" s="28" t="s">
        <v>9384</v>
      </c>
      <c r="F3482" s="7" t="str">
        <f>IFERROR(__xludf.DUMMYFUNCTION("GOOGLETRANSLATE(B3482:B5064,""en"",""fr"")"),"cristal")</f>
        <v>cristal</v>
      </c>
    </row>
    <row r="3483" ht="19.5" customHeight="1">
      <c r="A3483" s="26" t="s">
        <v>9385</v>
      </c>
      <c r="B3483" s="27" t="s">
        <v>9386</v>
      </c>
      <c r="C3483" s="28" t="s">
        <v>178</v>
      </c>
      <c r="D3483" s="29">
        <v>62.0</v>
      </c>
      <c r="E3483" s="28" t="s">
        <v>9386</v>
      </c>
      <c r="F3483" s="7" t="str">
        <f>IFERROR(__xludf.DUMMYFUNCTION("GOOGLETRANSLATE(B3483:B5064,""en"",""fr"")"),"données")</f>
        <v>données</v>
      </c>
    </row>
    <row r="3484" ht="19.5" customHeight="1">
      <c r="A3484" s="26" t="s">
        <v>9387</v>
      </c>
      <c r="B3484" s="27" t="s">
        <v>9388</v>
      </c>
      <c r="C3484" s="28" t="s">
        <v>134</v>
      </c>
      <c r="D3484" s="29">
        <v>62.0</v>
      </c>
      <c r="E3484" s="28" t="s">
        <v>9388</v>
      </c>
      <c r="F3484" s="7" t="str">
        <f>IFERROR(__xludf.DUMMYFUNCTION("GOOGLETRANSLATE(B3484:B5064,""en"",""fr"")"),"fait")</f>
        <v>fait</v>
      </c>
    </row>
    <row r="3485" ht="19.5" customHeight="1">
      <c r="A3485" s="26" t="s">
        <v>9389</v>
      </c>
      <c r="B3485" s="27" t="s">
        <v>9390</v>
      </c>
      <c r="C3485" s="28" t="s">
        <v>178</v>
      </c>
      <c r="D3485" s="29">
        <v>62.0</v>
      </c>
      <c r="E3485" s="28" t="s">
        <v>9391</v>
      </c>
      <c r="F3485" s="7" t="str">
        <f>IFERROR(__xludf.DUMMYFUNCTION("GOOGLETRANSLATE(B3485:B5064,""en"",""fr"")"),"séchoir")</f>
        <v>séchoir</v>
      </c>
    </row>
    <row r="3486" ht="19.5" customHeight="1">
      <c r="A3486" s="26" t="s">
        <v>9392</v>
      </c>
      <c r="B3486" s="27" t="s">
        <v>9393</v>
      </c>
      <c r="C3486" s="28" t="s">
        <v>178</v>
      </c>
      <c r="D3486" s="29">
        <v>62.0</v>
      </c>
      <c r="E3486" s="28" t="s">
        <v>9394</v>
      </c>
      <c r="F3486" s="7" t="str">
        <f>IFERROR(__xludf.DUMMYFUNCTION("GOOGLETRANSLATE(B3486:B5064,""en"",""fr"")"),"éditeur")</f>
        <v>éditeur</v>
      </c>
    </row>
    <row r="3487" ht="19.5" customHeight="1">
      <c r="A3487" s="26" t="s">
        <v>9395</v>
      </c>
      <c r="B3487" s="27" t="s">
        <v>9396</v>
      </c>
      <c r="C3487" s="28" t="s">
        <v>32</v>
      </c>
      <c r="D3487" s="29">
        <v>62.0</v>
      </c>
      <c r="E3487" s="28" t="s">
        <v>9397</v>
      </c>
      <c r="F3487" s="7" t="str">
        <f>IFERROR(__xludf.DUMMYFUNCTION("GOOGLETRANSLATE(B3487:B5064,""en"",""fr"")"),"évoluer")</f>
        <v>évoluer</v>
      </c>
    </row>
    <row r="3488" ht="19.5" customHeight="1">
      <c r="A3488" s="26" t="s">
        <v>9398</v>
      </c>
      <c r="B3488" s="27" t="s">
        <v>9399</v>
      </c>
      <c r="C3488" s="28" t="s">
        <v>178</v>
      </c>
      <c r="D3488" s="29">
        <v>62.0</v>
      </c>
      <c r="E3488" s="28" t="s">
        <v>9400</v>
      </c>
      <c r="F3488" s="7" t="str">
        <f>IFERROR(__xludf.DUMMYFUNCTION("GOOGLETRANSLATE(B3488:B5064,""en"",""fr"")"),"couler")</f>
        <v>couler</v>
      </c>
    </row>
    <row r="3489" ht="19.5" customHeight="1">
      <c r="A3489" s="26" t="s">
        <v>9401</v>
      </c>
      <c r="B3489" s="27" t="s">
        <v>9402</v>
      </c>
      <c r="C3489" s="28" t="s">
        <v>178</v>
      </c>
      <c r="D3489" s="29">
        <v>62.0</v>
      </c>
      <c r="E3489" s="28" t="s">
        <v>9403</v>
      </c>
      <c r="F3489" s="7" t="str">
        <f>IFERROR(__xludf.DUMMYFUNCTION("GOOGLETRANSLATE(B3489:B5064,""en"",""fr"")"),"germe")</f>
        <v>germe</v>
      </c>
    </row>
    <row r="3490" ht="19.5" customHeight="1">
      <c r="A3490" s="26" t="s">
        <v>9404</v>
      </c>
      <c r="B3490" s="27" t="s">
        <v>9405</v>
      </c>
      <c r="C3490" s="28" t="s">
        <v>178</v>
      </c>
      <c r="D3490" s="29">
        <v>62.0</v>
      </c>
      <c r="E3490" s="28" t="s">
        <v>9406</v>
      </c>
      <c r="F3490" s="7" t="str">
        <f>IFERROR(__xludf.DUMMYFUNCTION("GOOGLETRANSLATE(B3490:B5064,""en"",""fr"")"),"la grâce")</f>
        <v>la grâce</v>
      </c>
    </row>
    <row r="3491" ht="19.5" customHeight="1">
      <c r="A3491" s="26" t="s">
        <v>9407</v>
      </c>
      <c r="B3491" s="27" t="s">
        <v>9408</v>
      </c>
      <c r="C3491" s="28" t="s">
        <v>134</v>
      </c>
      <c r="D3491" s="29">
        <v>62.0</v>
      </c>
      <c r="E3491" s="28" t="s">
        <v>9409</v>
      </c>
      <c r="F3491" s="7" t="str">
        <f>IFERROR(__xludf.DUMMYFUNCTION("GOOGLETRANSLATE(B3491:B5064,""en"",""fr"")"),"rude")</f>
        <v>rude</v>
      </c>
    </row>
    <row r="3492" ht="19.5" customHeight="1">
      <c r="A3492" s="26" t="s">
        <v>9410</v>
      </c>
      <c r="B3492" s="27" t="s">
        <v>9411</v>
      </c>
      <c r="C3492" s="28" t="s">
        <v>178</v>
      </c>
      <c r="D3492" s="29">
        <v>62.0</v>
      </c>
      <c r="E3492" s="28" t="s">
        <v>9412</v>
      </c>
      <c r="F3492" s="7" t="str">
        <f>IFERROR(__xludf.DUMMYFUNCTION("GOOGLETRANSLATE(B3492:B5064,""en"",""fr"")"),"intelligence")</f>
        <v>intelligence</v>
      </c>
    </row>
    <row r="3493" ht="19.5" customHeight="1">
      <c r="A3493" s="26" t="s">
        <v>9413</v>
      </c>
      <c r="B3493" s="27" t="s">
        <v>9414</v>
      </c>
      <c r="C3493" s="28" t="s">
        <v>178</v>
      </c>
      <c r="D3493" s="29">
        <v>62.0</v>
      </c>
      <c r="E3493" s="28" t="s">
        <v>9415</v>
      </c>
      <c r="F3493" s="7" t="str">
        <f>IFERROR(__xludf.DUMMYFUNCTION("GOOGLETRANSLATE(B3493:B5064,""en"",""fr"")"),"mâchoire")</f>
        <v>mâchoire</v>
      </c>
    </row>
    <row r="3494" ht="19.5" customHeight="1">
      <c r="A3494" s="26" t="s">
        <v>9416</v>
      </c>
      <c r="B3494" s="27" t="s">
        <v>9417</v>
      </c>
      <c r="C3494" s="28" t="s">
        <v>134</v>
      </c>
      <c r="D3494" s="29">
        <v>62.0</v>
      </c>
      <c r="E3494" s="28" t="s">
        <v>9418</v>
      </c>
      <c r="F3494" s="7" t="str">
        <f>IFERROR(__xludf.DUMMYFUNCTION("GOOGLETRANSLATE(B3494:B5064,""en"",""fr"")"),"juteux")</f>
        <v>juteux</v>
      </c>
    </row>
    <row r="3495" ht="19.5" customHeight="1">
      <c r="A3495" s="26" t="s">
        <v>9419</v>
      </c>
      <c r="B3495" s="27" t="s">
        <v>9420</v>
      </c>
      <c r="C3495" s="28" t="s">
        <v>178</v>
      </c>
      <c r="D3495" s="29">
        <v>62.0</v>
      </c>
      <c r="E3495" s="28" t="s">
        <v>9421</v>
      </c>
      <c r="F3495" s="7" t="str">
        <f>IFERROR(__xludf.DUMMYFUNCTION("GOOGLETRANSLATE(B3495:B5064,""en"",""fr"")"),"rouge à lèvres")</f>
        <v>rouge à lèvres</v>
      </c>
    </row>
    <row r="3496" ht="19.5" customHeight="1">
      <c r="A3496" s="26" t="s">
        <v>9422</v>
      </c>
      <c r="B3496" s="27" t="s">
        <v>9423</v>
      </c>
      <c r="C3496" s="28" t="s">
        <v>100</v>
      </c>
      <c r="D3496" s="29">
        <v>62.0</v>
      </c>
      <c r="E3496" s="28" t="s">
        <v>9423</v>
      </c>
      <c r="F3496" s="7" t="str">
        <f>IFERROR(__xludf.DUMMYFUNCTION("GOOGLETRANSLATE(B3496:B5064,""en"",""fr"")"),"Heureusement")</f>
        <v>Heureusement</v>
      </c>
    </row>
    <row r="3497" ht="19.5" customHeight="1">
      <c r="A3497" s="26" t="s">
        <v>9424</v>
      </c>
      <c r="B3497" s="27" t="s">
        <v>5035</v>
      </c>
      <c r="C3497" s="28" t="s">
        <v>178</v>
      </c>
      <c r="D3497" s="29">
        <v>62.0</v>
      </c>
      <c r="E3497" s="28" t="s">
        <v>9425</v>
      </c>
      <c r="F3497" s="7" t="str">
        <f>IFERROR(__xludf.DUMMYFUNCTION("GOOGLETRANSLATE(B3497:B5064,""en"",""fr"")"),"mâle")</f>
        <v>mâle</v>
      </c>
    </row>
    <row r="3498" ht="19.5" customHeight="1">
      <c r="A3498" s="26" t="s">
        <v>9426</v>
      </c>
      <c r="B3498" s="27" t="s">
        <v>9427</v>
      </c>
      <c r="C3498" s="28" t="s">
        <v>134</v>
      </c>
      <c r="D3498" s="29">
        <v>62.0</v>
      </c>
      <c r="E3498" s="28" t="s">
        <v>9427</v>
      </c>
      <c r="F3498" s="7" t="str">
        <f>IFERROR(__xludf.DUMMYFUNCTION("GOOGLETRANSLATE(B3498:B5064,""en"",""fr"")"),"moyen")</f>
        <v>moyen</v>
      </c>
    </row>
    <row r="3499" ht="19.5" customHeight="1">
      <c r="A3499" s="26" t="s">
        <v>9428</v>
      </c>
      <c r="B3499" s="27" t="s">
        <v>9429</v>
      </c>
      <c r="C3499" s="28" t="s">
        <v>178</v>
      </c>
      <c r="D3499" s="29">
        <v>62.0</v>
      </c>
      <c r="E3499" s="28" t="s">
        <v>9430</v>
      </c>
      <c r="F3499" s="7" t="str">
        <f>IFERROR(__xludf.DUMMYFUNCTION("GOOGLETRANSLATE(B3499:B5064,""en"",""fr"")"),"minorité")</f>
        <v>minorité</v>
      </c>
    </row>
    <row r="3500" ht="19.5" customHeight="1">
      <c r="A3500" s="26" t="s">
        <v>9431</v>
      </c>
      <c r="B3500" s="27" t="s">
        <v>9432</v>
      </c>
      <c r="C3500" s="28" t="s">
        <v>100</v>
      </c>
      <c r="D3500" s="29">
        <v>62.0</v>
      </c>
      <c r="E3500" s="28" t="s">
        <v>9432</v>
      </c>
      <c r="F3500" s="7" t="str">
        <f>IFERROR(__xludf.DUMMYFUNCTION("GOOGLETRANSLATE(B3500:B5064,""en"",""fr"")"),"pendant la nuit")</f>
        <v>pendant la nuit</v>
      </c>
    </row>
    <row r="3501" ht="19.5" customHeight="1">
      <c r="A3501" s="26" t="s">
        <v>9433</v>
      </c>
      <c r="B3501" s="27" t="s">
        <v>9434</v>
      </c>
      <c r="C3501" s="28" t="s">
        <v>100</v>
      </c>
      <c r="D3501" s="29">
        <v>62.0</v>
      </c>
      <c r="E3501" s="28" t="s">
        <v>9434</v>
      </c>
      <c r="F3501" s="7" t="str">
        <f>IFERROR(__xludf.DUMMYFUNCTION("GOOGLETRANSLATE(B3501:B5064,""en"",""fr"")"),"particulièrement")</f>
        <v>particulièrement</v>
      </c>
    </row>
    <row r="3502" ht="19.5" customHeight="1">
      <c r="A3502" s="26" t="s">
        <v>9435</v>
      </c>
      <c r="B3502" s="27" t="s">
        <v>9436</v>
      </c>
      <c r="C3502" s="28" t="s">
        <v>178</v>
      </c>
      <c r="D3502" s="29">
        <v>62.0</v>
      </c>
      <c r="E3502" s="28" t="s">
        <v>9437</v>
      </c>
      <c r="F3502" s="7" t="str">
        <f>IFERROR(__xludf.DUMMYFUNCTION("GOOGLETRANSLATE(B3502:B5064,""en"",""fr"")"),"paiement")</f>
        <v>paiement</v>
      </c>
    </row>
    <row r="3503" ht="19.5" customHeight="1">
      <c r="A3503" s="26" t="s">
        <v>9438</v>
      </c>
      <c r="B3503" s="27" t="s">
        <v>9439</v>
      </c>
      <c r="C3503" s="28" t="s">
        <v>178</v>
      </c>
      <c r="D3503" s="29">
        <v>62.0</v>
      </c>
      <c r="E3503" s="28" t="s">
        <v>9440</v>
      </c>
      <c r="F3503" s="7" t="str">
        <f>IFERROR(__xludf.DUMMYFUNCTION("GOOGLETRANSLATE(B3503:B5064,""en"",""fr"")"),"scénario")</f>
        <v>scénario</v>
      </c>
    </row>
    <row r="3504" ht="19.5" customHeight="1">
      <c r="A3504" s="26" t="s">
        <v>9441</v>
      </c>
      <c r="B3504" s="27" t="s">
        <v>9442</v>
      </c>
      <c r="C3504" s="28" t="s">
        <v>32</v>
      </c>
      <c r="D3504" s="29">
        <v>62.0</v>
      </c>
      <c r="E3504" s="28" t="s">
        <v>9443</v>
      </c>
      <c r="F3504" s="7" t="str">
        <f>IFERROR(__xludf.DUMMYFUNCTION("GOOGLETRANSLATE(B3504:B5064,""en"",""fr"")"),"frotter")</f>
        <v>frotter</v>
      </c>
    </row>
    <row r="3505" ht="19.5" customHeight="1">
      <c r="A3505" s="26" t="s">
        <v>9444</v>
      </c>
      <c r="B3505" s="27" t="s">
        <v>9445</v>
      </c>
      <c r="C3505" s="28" t="s">
        <v>134</v>
      </c>
      <c r="D3505" s="29">
        <v>62.0</v>
      </c>
      <c r="E3505" s="28" t="s">
        <v>9446</v>
      </c>
      <c r="F3505" s="7" t="str">
        <f>IFERROR(__xludf.DUMMYFUNCTION("GOOGLETRANSLATE(B3505:B5064,""en"",""fr"")"),"brillant")</f>
        <v>brillant</v>
      </c>
    </row>
    <row r="3506" ht="19.5" customHeight="1">
      <c r="A3506" s="26" t="s">
        <v>9447</v>
      </c>
      <c r="B3506" s="27" t="s">
        <v>9448</v>
      </c>
      <c r="C3506" s="28" t="s">
        <v>134</v>
      </c>
      <c r="D3506" s="29">
        <v>62.0</v>
      </c>
      <c r="E3506" s="28" t="s">
        <v>9448</v>
      </c>
      <c r="F3506" s="7" t="str">
        <f>IFERROR(__xludf.DUMMYFUNCTION("GOOGLETRANSLATE(B3506:B5064,""en"",""fr"")"),"réfléchi")</f>
        <v>réfléchi</v>
      </c>
    </row>
    <row r="3507" ht="19.5" customHeight="1">
      <c r="A3507" s="26" t="s">
        <v>9449</v>
      </c>
      <c r="B3507" s="27" t="s">
        <v>9450</v>
      </c>
      <c r="C3507" s="28" t="s">
        <v>178</v>
      </c>
      <c r="D3507" s="29">
        <v>62.0</v>
      </c>
      <c r="E3507" s="28" t="s">
        <v>9450</v>
      </c>
      <c r="F3507" s="7" t="str">
        <f>IFERROR(__xludf.DUMMYFUNCTION("GOOGLETRANSLATE(B3507:B5064,""en"",""fr"")"),"hauts")</f>
        <v>hauts</v>
      </c>
    </row>
    <row r="3508" ht="19.5" customHeight="1">
      <c r="A3508" s="26" t="s">
        <v>9451</v>
      </c>
      <c r="B3508" s="27" t="s">
        <v>9452</v>
      </c>
      <c r="C3508" s="28" t="s">
        <v>178</v>
      </c>
      <c r="D3508" s="29">
        <v>62.0</v>
      </c>
      <c r="E3508" s="28" t="s">
        <v>9453</v>
      </c>
      <c r="F3508" s="7" t="str">
        <f>IFERROR(__xludf.DUMMYFUNCTION("GOOGLETRANSLATE(B3508:B5064,""en"",""fr"")"),"tribu")</f>
        <v>tribu</v>
      </c>
    </row>
    <row r="3509" ht="19.5" customHeight="1">
      <c r="A3509" s="26" t="s">
        <v>9454</v>
      </c>
      <c r="B3509" s="27" t="s">
        <v>9455</v>
      </c>
      <c r="C3509" s="28" t="s">
        <v>134</v>
      </c>
      <c r="D3509" s="29">
        <v>62.0</v>
      </c>
      <c r="E3509" s="28" t="s">
        <v>9455</v>
      </c>
      <c r="F3509" s="7" t="str">
        <f>IFERROR(__xludf.DUMMYFUNCTION("GOOGLETRANSLATE(B3509:B5064,""en"",""fr"")"),"sans valeur")</f>
        <v>sans valeur</v>
      </c>
    </row>
    <row r="3510" ht="19.5" customHeight="1">
      <c r="A3510" s="26" t="s">
        <v>9456</v>
      </c>
      <c r="B3510" s="27" t="s">
        <v>9457</v>
      </c>
      <c r="C3510" s="28" t="s">
        <v>178</v>
      </c>
      <c r="D3510" s="29">
        <v>62.0</v>
      </c>
      <c r="E3510" s="28" t="s">
        <v>9458</v>
      </c>
      <c r="F3510" s="7" t="str">
        <f>IFERROR(__xludf.DUMMYFUNCTION("GOOGLETRANSLATE(B3510:B5064,""en"",""fr"")"),"retraite")</f>
        <v>retraite</v>
      </c>
    </row>
    <row r="3511" ht="19.5" customHeight="1">
      <c r="A3511" s="26" t="s">
        <v>9459</v>
      </c>
      <c r="B3511" s="27" t="s">
        <v>9460</v>
      </c>
      <c r="C3511" s="28" t="s">
        <v>134</v>
      </c>
      <c r="D3511" s="29">
        <v>62.0</v>
      </c>
      <c r="E3511" s="28" t="s">
        <v>9460</v>
      </c>
      <c r="F3511" s="7" t="str">
        <f>IFERROR(__xludf.DUMMYFUNCTION("GOOGLETRANSLATE(B3511:B5064,""en"",""fr"")"),"droit")</f>
        <v>droit</v>
      </c>
    </row>
    <row r="3512" ht="19.5" customHeight="1">
      <c r="A3512" s="26" t="s">
        <v>9461</v>
      </c>
      <c r="B3512" s="27" t="s">
        <v>9462</v>
      </c>
      <c r="C3512" s="28" t="s">
        <v>134</v>
      </c>
      <c r="D3512" s="29">
        <v>62.0</v>
      </c>
      <c r="E3512" s="28" t="s">
        <v>9462</v>
      </c>
      <c r="F3512" s="7" t="str">
        <f>IFERROR(__xludf.DUMMYFUNCTION("GOOGLETRANSLATE(B3512:B5064,""en"",""fr"")"),"absolu")</f>
        <v>absolu</v>
      </c>
    </row>
    <row r="3513" ht="19.5" customHeight="1">
      <c r="A3513" s="26" t="s">
        <v>9463</v>
      </c>
      <c r="B3513" s="27" t="s">
        <v>9464</v>
      </c>
      <c r="C3513" s="28" t="s">
        <v>178</v>
      </c>
      <c r="D3513" s="29">
        <v>62.0</v>
      </c>
      <c r="E3513" s="28" t="s">
        <v>9465</v>
      </c>
      <c r="F3513" s="7" t="str">
        <f>IFERROR(__xludf.DUMMYFUNCTION("GOOGLETRANSLATE(B3513:B5064,""en"",""fr"")"),"brise")</f>
        <v>brise</v>
      </c>
    </row>
    <row r="3514" ht="19.5" customHeight="1">
      <c r="A3514" s="26" t="s">
        <v>9466</v>
      </c>
      <c r="B3514" s="27" t="s">
        <v>9467</v>
      </c>
      <c r="C3514" s="28" t="s">
        <v>150</v>
      </c>
      <c r="D3514" s="29">
        <v>61.0</v>
      </c>
      <c r="E3514" s="28" t="s">
        <v>9468</v>
      </c>
      <c r="F3514" s="7" t="str">
        <f>IFERROR(__xludf.DUMMYFUNCTION("GOOGLETRANSLATE(B3514:B5064,""en"",""fr"")"),"9-1-1")</f>
        <v>9-1-1</v>
      </c>
    </row>
    <row r="3515" ht="19.5" customHeight="1">
      <c r="A3515" s="26" t="s">
        <v>9469</v>
      </c>
      <c r="B3515" s="27" t="s">
        <v>9470</v>
      </c>
      <c r="C3515" s="28" t="s">
        <v>178</v>
      </c>
      <c r="D3515" s="29">
        <v>61.0</v>
      </c>
      <c r="E3515" s="28" t="s">
        <v>9471</v>
      </c>
      <c r="F3515" s="7" t="str">
        <f>IFERROR(__xludf.DUMMYFUNCTION("GOOGLETRANSLATE(B3515:B5064,""en"",""fr"")"),"ajustement")</f>
        <v>ajustement</v>
      </c>
    </row>
    <row r="3516" ht="19.5" customHeight="1">
      <c r="A3516" s="26" t="s">
        <v>9472</v>
      </c>
      <c r="B3516" s="27" t="s">
        <v>9473</v>
      </c>
      <c r="C3516" s="28" t="s">
        <v>178</v>
      </c>
      <c r="D3516" s="29">
        <v>61.0</v>
      </c>
      <c r="E3516" s="28" t="s">
        <v>9474</v>
      </c>
      <c r="F3516" s="7" t="str">
        <f>IFERROR(__xludf.DUMMYFUNCTION("GOOGLETRANSLATE(B3516:B5064,""en"",""fr"")"),"adoption")</f>
        <v>adoption</v>
      </c>
    </row>
    <row r="3517" ht="19.5" customHeight="1">
      <c r="A3517" s="26" t="s">
        <v>9475</v>
      </c>
      <c r="B3517" s="27" t="s">
        <v>9476</v>
      </c>
      <c r="C3517" s="28" t="s">
        <v>100</v>
      </c>
      <c r="D3517" s="29">
        <v>61.0</v>
      </c>
      <c r="E3517" s="28" t="s">
        <v>9476</v>
      </c>
      <c r="F3517" s="7" t="str">
        <f>IFERROR(__xludf.DUMMYFUNCTION("GOOGLETRANSLATE(B3517:B5064,""en"",""fr"")"),"de toute façon")</f>
        <v>de toute façon</v>
      </c>
    </row>
    <row r="3518" ht="19.5" customHeight="1">
      <c r="A3518" s="26" t="s">
        <v>9477</v>
      </c>
      <c r="B3518" s="27" t="s">
        <v>9478</v>
      </c>
      <c r="C3518" s="28" t="s">
        <v>178</v>
      </c>
      <c r="D3518" s="29">
        <v>61.0</v>
      </c>
      <c r="E3518" s="28" t="s">
        <v>9479</v>
      </c>
      <c r="F3518" s="7" t="str">
        <f>IFERROR(__xludf.DUMMYFUNCTION("GOOGLETRANSLATE(B3518:B5064,""en"",""fr"")"),"athlète")</f>
        <v>athlète</v>
      </c>
    </row>
    <row r="3519" ht="19.5" customHeight="1">
      <c r="A3519" s="26" t="s">
        <v>9480</v>
      </c>
      <c r="B3519" s="27" t="s">
        <v>9481</v>
      </c>
      <c r="C3519" s="28" t="s">
        <v>32</v>
      </c>
      <c r="D3519" s="29">
        <v>61.0</v>
      </c>
      <c r="E3519" s="28" t="s">
        <v>9482</v>
      </c>
      <c r="F3519" s="7" t="str">
        <f>IFERROR(__xludf.DUMMYFUNCTION("GOOGLETRANSLATE(B3519:B5064,""en"",""fr"")"),"éclatement")</f>
        <v>éclatement</v>
      </c>
    </row>
    <row r="3520" ht="19.5" customHeight="1">
      <c r="A3520" s="26" t="s">
        <v>9483</v>
      </c>
      <c r="B3520" s="27" t="s">
        <v>9484</v>
      </c>
      <c r="C3520" s="28" t="s">
        <v>178</v>
      </c>
      <c r="D3520" s="29">
        <v>61.0</v>
      </c>
      <c r="E3520" s="28" t="s">
        <v>9485</v>
      </c>
      <c r="F3520" s="7" t="str">
        <f>IFERROR(__xludf.DUMMYFUNCTION("GOOGLETRANSLATE(B3520:B5064,""en"",""fr"")"),"cacao")</f>
        <v>cacao</v>
      </c>
    </row>
    <row r="3521" ht="19.5" customHeight="1">
      <c r="A3521" s="26" t="s">
        <v>9486</v>
      </c>
      <c r="B3521" s="27" t="s">
        <v>9487</v>
      </c>
      <c r="C3521" s="28" t="s">
        <v>178</v>
      </c>
      <c r="D3521" s="29">
        <v>61.0</v>
      </c>
      <c r="E3521" s="28" t="s">
        <v>9488</v>
      </c>
      <c r="F3521" s="7" t="str">
        <f>IFERROR(__xludf.DUMMYFUNCTION("GOOGLETRANSLATE(B3521:B5064,""en"",""fr"")"),"courtoisie")</f>
        <v>courtoisie</v>
      </c>
    </row>
    <row r="3522" ht="19.5" customHeight="1">
      <c r="A3522" s="26" t="s">
        <v>9489</v>
      </c>
      <c r="B3522" s="27" t="s">
        <v>9490</v>
      </c>
      <c r="C3522" s="28" t="s">
        <v>134</v>
      </c>
      <c r="D3522" s="29">
        <v>61.0</v>
      </c>
      <c r="E3522" s="28" t="s">
        <v>9490</v>
      </c>
      <c r="F3522" s="7" t="str">
        <f>IFERROR(__xludf.DUMMYFUNCTION("GOOGLETRANSLATE(B3522:B5064,""en"",""fr"")"),"actuel")</f>
        <v>actuel</v>
      </c>
    </row>
    <row r="3523" ht="19.5" customHeight="1">
      <c r="A3523" s="26" t="s">
        <v>9491</v>
      </c>
      <c r="B3523" s="27" t="s">
        <v>9492</v>
      </c>
      <c r="C3523" s="28" t="s">
        <v>178</v>
      </c>
      <c r="D3523" s="29">
        <v>61.0</v>
      </c>
      <c r="E3523" s="28" t="s">
        <v>9492</v>
      </c>
      <c r="F3523" s="7" t="str">
        <f>IFERROR(__xludf.DUMMYFUNCTION("GOOGLETRANSLATE(B3523:B5064,""en"",""fr"")"),"pâte")</f>
        <v>pâte</v>
      </c>
    </row>
    <row r="3524" ht="19.5" customHeight="1">
      <c r="A3524" s="26" t="s">
        <v>9493</v>
      </c>
      <c r="B3524" s="27" t="s">
        <v>9494</v>
      </c>
      <c r="C3524" s="28" t="s">
        <v>32</v>
      </c>
      <c r="D3524" s="29">
        <v>61.0</v>
      </c>
      <c r="E3524" s="28" t="s">
        <v>9495</v>
      </c>
      <c r="F3524" s="7" t="str">
        <f>IFERROR(__xludf.DUMMYFUNCTION("GOOGLETRANSLATE(B3524:B5064,""en"",""fr"")"),"embrasser")</f>
        <v>embrasser</v>
      </c>
    </row>
    <row r="3525" ht="19.5" customHeight="1">
      <c r="A3525" s="26" t="s">
        <v>9496</v>
      </c>
      <c r="B3525" s="27" t="s">
        <v>9497</v>
      </c>
      <c r="C3525" s="28" t="s">
        <v>32</v>
      </c>
      <c r="D3525" s="29">
        <v>61.0</v>
      </c>
      <c r="E3525" s="28" t="s">
        <v>9498</v>
      </c>
      <c r="F3525" s="7" t="str">
        <f>IFERROR(__xludf.DUMMYFUNCTION("GOOGLETRANSLATE(B3525:B5064,""en"",""fr"")"),"fax")</f>
        <v>fax</v>
      </c>
    </row>
    <row r="3526" ht="19.5" customHeight="1">
      <c r="A3526" s="26" t="s">
        <v>9499</v>
      </c>
      <c r="B3526" s="27" t="s">
        <v>9500</v>
      </c>
      <c r="C3526" s="28" t="s">
        <v>134</v>
      </c>
      <c r="D3526" s="29">
        <v>61.0</v>
      </c>
      <c r="E3526" s="28" t="s">
        <v>9500</v>
      </c>
      <c r="F3526" s="7" t="str">
        <f>IFERROR(__xludf.DUMMYFUNCTION("GOOGLETRANSLATE(B3526:B5064,""en"",""fr"")"),"idiot")</f>
        <v>idiot</v>
      </c>
    </row>
    <row r="3527" ht="19.5" customHeight="1">
      <c r="A3527" s="26" t="s">
        <v>9501</v>
      </c>
      <c r="B3527" s="27" t="s">
        <v>9502</v>
      </c>
      <c r="C3527" s="28" t="s">
        <v>32</v>
      </c>
      <c r="D3527" s="29">
        <v>61.0</v>
      </c>
      <c r="E3527" s="28" t="s">
        <v>9503</v>
      </c>
      <c r="F3527" s="7" t="str">
        <f>IFERROR(__xludf.DUMMYFUNCTION("GOOGLETRANSLATE(B3527:B5064,""en"",""fr"")"),"Localiser")</f>
        <v>Localiser</v>
      </c>
    </row>
    <row r="3528" ht="19.5" customHeight="1">
      <c r="A3528" s="26" t="s">
        <v>9504</v>
      </c>
      <c r="B3528" s="27" t="s">
        <v>9505</v>
      </c>
      <c r="C3528" s="28" t="s">
        <v>178</v>
      </c>
      <c r="D3528" s="29">
        <v>61.0</v>
      </c>
      <c r="E3528" s="28" t="s">
        <v>9506</v>
      </c>
      <c r="F3528" s="7" t="str">
        <f>IFERROR(__xludf.DUMMYFUNCTION("GOOGLETRANSLATE(B3528:B5064,""en"",""fr"")"),"note")</f>
        <v>note</v>
      </c>
    </row>
    <row r="3529" ht="19.5" customHeight="1">
      <c r="A3529" s="26" t="s">
        <v>9507</v>
      </c>
      <c r="B3529" s="27" t="s">
        <v>9508</v>
      </c>
      <c r="C3529" s="28" t="s">
        <v>100</v>
      </c>
      <c r="D3529" s="29">
        <v>61.0</v>
      </c>
      <c r="E3529" s="28" t="s">
        <v>9508</v>
      </c>
      <c r="F3529" s="7" t="str">
        <f>IFERROR(__xludf.DUMMYFUNCTION("GOOGLETRANSLATE(B3529:B5064,""en"",""fr"")"),"mentalement")</f>
        <v>mentalement</v>
      </c>
    </row>
    <row r="3530" ht="19.5" customHeight="1">
      <c r="A3530" s="26" t="s">
        <v>9509</v>
      </c>
      <c r="B3530" s="27" t="s">
        <v>9510</v>
      </c>
      <c r="C3530" s="28" t="s">
        <v>134</v>
      </c>
      <c r="D3530" s="29">
        <v>61.0</v>
      </c>
      <c r="E3530" s="28" t="s">
        <v>9510</v>
      </c>
      <c r="F3530" s="7" t="str">
        <f>IFERROR(__xludf.DUMMYFUNCTION("GOOGLETRANSLATE(B3530:B5064,""en"",""fr"")"),"mineure")</f>
        <v>mineure</v>
      </c>
    </row>
    <row r="3531" ht="19.5" customHeight="1">
      <c r="A3531" s="26" t="s">
        <v>9511</v>
      </c>
      <c r="B3531" s="27" t="s">
        <v>9512</v>
      </c>
      <c r="C3531" s="28" t="s">
        <v>32</v>
      </c>
      <c r="D3531" s="29">
        <v>61.0</v>
      </c>
      <c r="E3531" s="28" t="s">
        <v>9513</v>
      </c>
      <c r="F3531" s="7" t="str">
        <f>IFERROR(__xludf.DUMMYFUNCTION("GOOGLETRANSLATE(B3531:B5064,""en"",""fr"")"),"moniteur")</f>
        <v>moniteur</v>
      </c>
    </row>
    <row r="3532" ht="19.5" customHeight="1">
      <c r="A3532" s="26" t="s">
        <v>9514</v>
      </c>
      <c r="B3532" s="27" t="s">
        <v>9515</v>
      </c>
      <c r="C3532" s="28" t="s">
        <v>32</v>
      </c>
      <c r="D3532" s="29">
        <v>61.0</v>
      </c>
      <c r="E3532" s="28" t="s">
        <v>9516</v>
      </c>
      <c r="F3532" s="7" t="str">
        <f>IFERROR(__xludf.DUMMYFUNCTION("GOOGLETRANSLATE(B3532:B5064,""en"",""fr"")"),"meuglement")</f>
        <v>meuglement</v>
      </c>
    </row>
    <row r="3533" ht="19.5" customHeight="1">
      <c r="A3533" s="26" t="s">
        <v>9517</v>
      </c>
      <c r="B3533" s="27" t="s">
        <v>9518</v>
      </c>
      <c r="C3533" s="28" t="s">
        <v>32</v>
      </c>
      <c r="D3533" s="29">
        <v>61.0</v>
      </c>
      <c r="E3533" s="28" t="s">
        <v>9519</v>
      </c>
      <c r="F3533" s="7" t="str">
        <f>IFERROR(__xludf.DUMMYFUNCTION("GOOGLETRANSLATE(B3533:B5064,""en"",""fr"")"),"citation")</f>
        <v>citation</v>
      </c>
    </row>
    <row r="3534" ht="19.5" customHeight="1">
      <c r="A3534" s="26" t="s">
        <v>9520</v>
      </c>
      <c r="B3534" s="27" t="s">
        <v>9521</v>
      </c>
      <c r="C3534" s="28" t="s">
        <v>178</v>
      </c>
      <c r="D3534" s="29">
        <v>61.0</v>
      </c>
      <c r="E3534" s="28" t="s">
        <v>9522</v>
      </c>
      <c r="F3534" s="7" t="str">
        <f>IFERROR(__xludf.DUMMYFUNCTION("GOOGLETRANSLATE(B3534:B5064,""en"",""fr"")"),"raton laveur")</f>
        <v>raton laveur</v>
      </c>
    </row>
    <row r="3535" ht="19.5" customHeight="1">
      <c r="A3535" s="26" t="s">
        <v>9523</v>
      </c>
      <c r="B3535" s="27" t="s">
        <v>9524</v>
      </c>
      <c r="C3535" s="28" t="s">
        <v>32</v>
      </c>
      <c r="D3535" s="29">
        <v>61.0</v>
      </c>
      <c r="E3535" s="28" t="s">
        <v>9525</v>
      </c>
      <c r="F3535" s="7" t="str">
        <f>IFERROR(__xludf.DUMMYFUNCTION("GOOGLETRANSLATE(B3535:B5064,""en"",""fr"")"),"séduire")</f>
        <v>séduire</v>
      </c>
    </row>
    <row r="3536" ht="19.5" customHeight="1">
      <c r="A3536" s="26" t="s">
        <v>9526</v>
      </c>
      <c r="B3536" s="27" t="s">
        <v>9527</v>
      </c>
      <c r="C3536" s="28" t="s">
        <v>178</v>
      </c>
      <c r="D3536" s="29">
        <v>61.0</v>
      </c>
      <c r="E3536" s="28" t="s">
        <v>9528</v>
      </c>
      <c r="F3536" s="7" t="str">
        <f>IFERROR(__xludf.DUMMYFUNCTION("GOOGLETRANSLATE(B3536:B5064,""en"",""fr"")"),"manche")</f>
        <v>manche</v>
      </c>
    </row>
    <row r="3537" ht="19.5" customHeight="1">
      <c r="A3537" s="26" t="s">
        <v>9529</v>
      </c>
      <c r="B3537" s="27" t="s">
        <v>9530</v>
      </c>
      <c r="C3537" s="28" t="s">
        <v>32</v>
      </c>
      <c r="D3537" s="29">
        <v>61.0</v>
      </c>
      <c r="E3537" s="28" t="s">
        <v>9531</v>
      </c>
      <c r="F3537" s="7" t="str">
        <f>IFERROR(__xludf.DUMMYFUNCTION("GOOGLETRANSLATE(B3537:B5064,""en"",""fr"")"),"étrangler")</f>
        <v>étrangler</v>
      </c>
    </row>
    <row r="3538" ht="19.5" customHeight="1">
      <c r="A3538" s="26" t="s">
        <v>9532</v>
      </c>
      <c r="B3538" s="27" t="s">
        <v>9533</v>
      </c>
      <c r="C3538" s="28" t="s">
        <v>178</v>
      </c>
      <c r="D3538" s="29">
        <v>61.0</v>
      </c>
      <c r="E3538" s="28" t="s">
        <v>9533</v>
      </c>
      <c r="F3538" s="7" t="str">
        <f>IFERROR(__xludf.DUMMYFUNCTION("GOOGLETRANSLATE(B3538:B5064,""en"",""fr"")"),"soleil")</f>
        <v>soleil</v>
      </c>
    </row>
    <row r="3539" ht="19.5" customHeight="1">
      <c r="A3539" s="26" t="s">
        <v>9534</v>
      </c>
      <c r="B3539" s="27" t="s">
        <v>9535</v>
      </c>
      <c r="C3539" s="28" t="s">
        <v>32</v>
      </c>
      <c r="D3539" s="29">
        <v>61.0</v>
      </c>
      <c r="E3539" s="28" t="s">
        <v>9536</v>
      </c>
      <c r="F3539" s="7" t="str">
        <f>IFERROR(__xludf.DUMMYFUNCTION("GOOGLETRANSLATE(B3539:B5064,""en"",""fr"")"),"chatouiller")</f>
        <v>chatouiller</v>
      </c>
    </row>
    <row r="3540" ht="19.5" customHeight="1">
      <c r="A3540" s="26" t="s">
        <v>9537</v>
      </c>
      <c r="B3540" s="27" t="s">
        <v>9538</v>
      </c>
      <c r="C3540" s="28" t="s">
        <v>178</v>
      </c>
      <c r="D3540" s="29">
        <v>61.0</v>
      </c>
      <c r="E3540" s="28" t="s">
        <v>9539</v>
      </c>
      <c r="F3540" s="7" t="str">
        <f>IFERROR(__xludf.DUMMYFUNCTION("GOOGLETRANSLATE(B3540:B5064,""en"",""fr"")"),"la tour")</f>
        <v>la tour</v>
      </c>
    </row>
    <row r="3541" ht="19.5" customHeight="1">
      <c r="A3541" s="26" t="s">
        <v>9540</v>
      </c>
      <c r="B3541" s="27" t="s">
        <v>9541</v>
      </c>
      <c r="C3541" s="28" t="s">
        <v>178</v>
      </c>
      <c r="D3541" s="29">
        <v>61.0</v>
      </c>
      <c r="E3541" s="28" t="s">
        <v>9542</v>
      </c>
      <c r="F3541" s="7" t="str">
        <f>IFERROR(__xludf.DUMMYFUNCTION("GOOGLETRANSLATE(B3541:B5064,""en"",""fr"")"),"troupe")</f>
        <v>troupe</v>
      </c>
    </row>
    <row r="3542" ht="19.5" customHeight="1">
      <c r="A3542" s="26" t="s">
        <v>9543</v>
      </c>
      <c r="B3542" s="27" t="s">
        <v>397</v>
      </c>
      <c r="C3542" s="28" t="s">
        <v>178</v>
      </c>
      <c r="D3542" s="29">
        <v>61.0</v>
      </c>
      <c r="E3542" s="28" t="s">
        <v>9544</v>
      </c>
      <c r="F3542" s="7" t="str">
        <f>IFERROR(__xludf.DUMMYFUNCTION("GOOGLETRANSLATE(B3542:B5064,""en"",""fr"")"),"utiliser")</f>
        <v>utiliser</v>
      </c>
    </row>
    <row r="3543" ht="19.5" customHeight="1">
      <c r="A3543" s="26" t="s">
        <v>9545</v>
      </c>
      <c r="B3543" s="27" t="s">
        <v>9546</v>
      </c>
      <c r="C3543" s="28" t="s">
        <v>178</v>
      </c>
      <c r="D3543" s="29">
        <v>61.0</v>
      </c>
      <c r="E3543" s="28" t="s">
        <v>9547</v>
      </c>
      <c r="F3543" s="7" t="str">
        <f>IFERROR(__xludf.DUMMYFUNCTION("GOOGLETRANSLATE(B3543:B5064,""en"",""fr"")"),"volume")</f>
        <v>volume</v>
      </c>
    </row>
    <row r="3544" ht="19.5" customHeight="1">
      <c r="A3544" s="26" t="s">
        <v>9548</v>
      </c>
      <c r="B3544" s="27" t="s">
        <v>9549</v>
      </c>
      <c r="C3544" s="28" t="s">
        <v>178</v>
      </c>
      <c r="D3544" s="29">
        <v>61.0</v>
      </c>
      <c r="E3544" s="28" t="s">
        <v>9550</v>
      </c>
      <c r="F3544" s="7" t="str">
        <f>IFERROR(__xludf.DUMMYFUNCTION("GOOGLETRANSLATE(B3544:B5064,""en"",""fr"")"),"ailier")</f>
        <v>ailier</v>
      </c>
    </row>
    <row r="3545" ht="19.5" customHeight="1">
      <c r="A3545" s="26" t="s">
        <v>9551</v>
      </c>
      <c r="B3545" s="27" t="s">
        <v>1185</v>
      </c>
      <c r="C3545" s="28" t="s">
        <v>178</v>
      </c>
      <c r="D3545" s="29">
        <v>61.0</v>
      </c>
      <c r="E3545" s="28" t="s">
        <v>9552</v>
      </c>
      <c r="F3545" s="7" t="str">
        <f>IFERROR(__xludf.DUMMYFUNCTION("GOOGLETRANSLATE(B3545:B5064,""en"",""fr"")"),"merveille")</f>
        <v>merveille</v>
      </c>
    </row>
    <row r="3546" ht="19.5" customHeight="1">
      <c r="A3546" s="26" t="s">
        <v>9553</v>
      </c>
      <c r="B3546" s="27" t="s">
        <v>9554</v>
      </c>
      <c r="C3546" s="28" t="s">
        <v>178</v>
      </c>
      <c r="D3546" s="29">
        <v>61.0</v>
      </c>
      <c r="E3546" s="28" t="s">
        <v>9555</v>
      </c>
      <c r="F3546" s="7" t="str">
        <f>IFERROR(__xludf.DUMMYFUNCTION("GOOGLETRANSLATE(B3546:B5064,""en"",""fr"")"),"se promener")</f>
        <v>se promener</v>
      </c>
    </row>
    <row r="3547" ht="19.5" customHeight="1">
      <c r="A3547" s="26" t="s">
        <v>9556</v>
      </c>
      <c r="B3547" s="27" t="s">
        <v>9557</v>
      </c>
      <c r="C3547" s="28" t="s">
        <v>134</v>
      </c>
      <c r="D3547" s="29">
        <v>61.0</v>
      </c>
      <c r="E3547" s="28" t="s">
        <v>9557</v>
      </c>
      <c r="F3547" s="7" t="str">
        <f>IFERROR(__xludf.DUMMYFUNCTION("GOOGLETRANSLATE(B3547:B5064,""en"",""fr"")"),"constante")</f>
        <v>constante</v>
      </c>
    </row>
    <row r="3548" ht="19.5" customHeight="1">
      <c r="A3548" s="26" t="s">
        <v>9558</v>
      </c>
      <c r="B3548" s="27" t="s">
        <v>9559</v>
      </c>
      <c r="C3548" s="28" t="s">
        <v>178</v>
      </c>
      <c r="D3548" s="29">
        <v>61.0</v>
      </c>
      <c r="E3548" s="28" t="s">
        <v>9560</v>
      </c>
      <c r="F3548" s="7" t="str">
        <f>IFERROR(__xludf.DUMMYFUNCTION("GOOGLETRANSLATE(B3548:B5064,""en"",""fr"")"),"signal")</f>
        <v>signal</v>
      </c>
    </row>
    <row r="3549" ht="19.5" customHeight="1">
      <c r="A3549" s="26" t="s">
        <v>9561</v>
      </c>
      <c r="B3549" s="27" t="s">
        <v>9562</v>
      </c>
      <c r="C3549" s="28" t="s">
        <v>32</v>
      </c>
      <c r="D3549" s="29">
        <v>60.0</v>
      </c>
      <c r="E3549" s="28" t="s">
        <v>9563</v>
      </c>
      <c r="F3549" s="7" t="str">
        <f>IFERROR(__xludf.DUMMYFUNCTION("GOOGLETRANSLATE(B3549:B5064,""en"",""fr"")"),"reconnaître")</f>
        <v>reconnaître</v>
      </c>
    </row>
    <row r="3550" ht="19.5" customHeight="1">
      <c r="A3550" s="26" t="s">
        <v>9564</v>
      </c>
      <c r="B3550" s="27" t="s">
        <v>9565</v>
      </c>
      <c r="C3550" s="28" t="s">
        <v>178</v>
      </c>
      <c r="D3550" s="29">
        <v>60.0</v>
      </c>
      <c r="E3550" s="28" t="s">
        <v>9566</v>
      </c>
      <c r="F3550" s="7" t="str">
        <f>IFERROR(__xludf.DUMMYFUNCTION("GOOGLETRANSLATE(B3550:B5064,""en"",""fr"")"),"ajout")</f>
        <v>ajout</v>
      </c>
    </row>
    <row r="3551" ht="19.5" customHeight="1">
      <c r="A3551" s="26" t="s">
        <v>9567</v>
      </c>
      <c r="B3551" s="27" t="s">
        <v>4808</v>
      </c>
      <c r="C3551" s="28" t="s">
        <v>32</v>
      </c>
      <c r="D3551" s="29">
        <v>60.0</v>
      </c>
      <c r="E3551" s="28" t="s">
        <v>9568</v>
      </c>
      <c r="F3551" s="7" t="str">
        <f>IFERROR(__xludf.DUMMYFUNCTION("GOOGLETRANSLATE(B3551:B5064,""en"",""fr"")"),"alarme")</f>
        <v>alarme</v>
      </c>
    </row>
    <row r="3552" ht="19.5" customHeight="1">
      <c r="A3552" s="26" t="s">
        <v>9569</v>
      </c>
      <c r="B3552" s="27" t="s">
        <v>9570</v>
      </c>
      <c r="C3552" s="28" t="s">
        <v>178</v>
      </c>
      <c r="D3552" s="29">
        <v>60.0</v>
      </c>
      <c r="E3552" s="28" t="s">
        <v>9571</v>
      </c>
      <c r="F3552" s="7" t="str">
        <f>IFERROR(__xludf.DUMMYFUNCTION("GOOGLETRANSLATE(B3552:B5064,""en"",""fr"")"),"basse")</f>
        <v>basse</v>
      </c>
    </row>
    <row r="3553" ht="19.5" customHeight="1">
      <c r="A3553" s="26" t="s">
        <v>9572</v>
      </c>
      <c r="B3553" s="27" t="s">
        <v>9573</v>
      </c>
      <c r="C3553" s="28" t="s">
        <v>178</v>
      </c>
      <c r="D3553" s="29">
        <v>60.0</v>
      </c>
      <c r="E3553" s="28" t="s">
        <v>9574</v>
      </c>
      <c r="F3553" s="7" t="str">
        <f>IFERROR(__xludf.DUMMYFUNCTION("GOOGLETRANSLATE(B3553:B5064,""en"",""fr"")"),"bénédiction")</f>
        <v>bénédiction</v>
      </c>
    </row>
    <row r="3554" ht="19.5" customHeight="1">
      <c r="A3554" s="26" t="s">
        <v>9575</v>
      </c>
      <c r="B3554" s="27" t="s">
        <v>9576</v>
      </c>
      <c r="C3554" s="28" t="s">
        <v>178</v>
      </c>
      <c r="D3554" s="29">
        <v>60.0</v>
      </c>
      <c r="E3554" s="28" t="s">
        <v>9577</v>
      </c>
      <c r="F3554" s="7" t="str">
        <f>IFERROR(__xludf.DUMMYFUNCTION("GOOGLETRANSLATE(B3554:B5064,""en"",""fr"")"),"homme d'affaire")</f>
        <v>homme d'affaire</v>
      </c>
    </row>
    <row r="3555" ht="19.5" customHeight="1">
      <c r="A3555" s="26" t="s">
        <v>9578</v>
      </c>
      <c r="B3555" s="27" t="s">
        <v>9579</v>
      </c>
      <c r="C3555" s="28" t="s">
        <v>178</v>
      </c>
      <c r="D3555" s="29">
        <v>60.0</v>
      </c>
      <c r="E3555" s="28" t="s">
        <v>9580</v>
      </c>
      <c r="F3555" s="7" t="str">
        <f>IFERROR(__xludf.DUMMYFUNCTION("GOOGLETRANSLATE(B3555:B5064,""en"",""fr"")"),"Salle de classe")</f>
        <v>Salle de classe</v>
      </c>
    </row>
    <row r="3556" ht="19.5" customHeight="1">
      <c r="A3556" s="26" t="s">
        <v>9581</v>
      </c>
      <c r="B3556" s="27" t="s">
        <v>9582</v>
      </c>
      <c r="C3556" s="28" t="s">
        <v>178</v>
      </c>
      <c r="D3556" s="29">
        <v>60.0</v>
      </c>
      <c r="E3556" s="28" t="s">
        <v>9583</v>
      </c>
      <c r="F3556" s="7" t="str">
        <f>IFERROR(__xludf.DUMMYFUNCTION("GOOGLETRANSLATE(B3556:B5064,""en"",""fr"")"),"clinique")</f>
        <v>clinique</v>
      </c>
    </row>
    <row r="3557" ht="19.5" customHeight="1">
      <c r="A3557" s="26" t="s">
        <v>9584</v>
      </c>
      <c r="B3557" s="27" t="s">
        <v>9585</v>
      </c>
      <c r="C3557" s="28" t="s">
        <v>178</v>
      </c>
      <c r="D3557" s="29">
        <v>60.0</v>
      </c>
      <c r="E3557" s="28" t="s">
        <v>9586</v>
      </c>
      <c r="F3557" s="7" t="str">
        <f>IFERROR(__xludf.DUMMYFUNCTION("GOOGLETRANSLATE(B3557:B5064,""en"",""fr"")"),"lâche")</f>
        <v>lâche</v>
      </c>
    </row>
    <row r="3558" ht="19.5" customHeight="1">
      <c r="A3558" s="26" t="s">
        <v>9587</v>
      </c>
      <c r="B3558" s="27" t="s">
        <v>9588</v>
      </c>
      <c r="C3558" s="28" t="s">
        <v>178</v>
      </c>
      <c r="D3558" s="29">
        <v>60.0</v>
      </c>
      <c r="E3558" s="28" t="s">
        <v>9589</v>
      </c>
      <c r="F3558" s="7" t="str">
        <f>IFERROR(__xludf.DUMMYFUNCTION("GOOGLETRANSLATE(B3558:B5064,""en"",""fr"")"),"allée")</f>
        <v>allée</v>
      </c>
    </row>
    <row r="3559" ht="19.5" customHeight="1">
      <c r="A3559" s="26" t="s">
        <v>9590</v>
      </c>
      <c r="B3559" s="27" t="s">
        <v>9591</v>
      </c>
      <c r="C3559" s="28" t="s">
        <v>32</v>
      </c>
      <c r="D3559" s="29">
        <v>60.0</v>
      </c>
      <c r="E3559" s="28" t="s">
        <v>9592</v>
      </c>
      <c r="F3559" s="7" t="str">
        <f>IFERROR(__xludf.DUMMYFUNCTION("GOOGLETRANSLATE(B3559:B5064,""en"",""fr"")"),"élire")</f>
        <v>élire</v>
      </c>
    </row>
    <row r="3560" ht="19.5" customHeight="1">
      <c r="A3560" s="26" t="s">
        <v>9593</v>
      </c>
      <c r="B3560" s="27" t="s">
        <v>8463</v>
      </c>
      <c r="C3560" s="28" t="s">
        <v>32</v>
      </c>
      <c r="D3560" s="29">
        <v>60.0</v>
      </c>
      <c r="E3560" s="28" t="s">
        <v>9594</v>
      </c>
      <c r="F3560" s="7" t="str">
        <f>IFERROR(__xludf.DUMMYFUNCTION("GOOGLETRANSLATE(B3560:B5064,""en"",""fr"")"),"échange")</f>
        <v>échange</v>
      </c>
    </row>
    <row r="3561" ht="19.5" customHeight="1">
      <c r="A3561" s="26" t="s">
        <v>9595</v>
      </c>
      <c r="B3561" s="27" t="s">
        <v>9596</v>
      </c>
      <c r="C3561" s="28" t="s">
        <v>178</v>
      </c>
      <c r="D3561" s="29">
        <v>60.0</v>
      </c>
      <c r="E3561" s="28" t="s">
        <v>9597</v>
      </c>
      <c r="F3561" s="7" t="str">
        <f>IFERROR(__xludf.DUMMYFUNCTION("GOOGLETRANSLATE(B3561:B5064,""en"",""fr"")"),"poing")</f>
        <v>poing</v>
      </c>
    </row>
    <row r="3562" ht="19.5" customHeight="1">
      <c r="A3562" s="26" t="s">
        <v>9598</v>
      </c>
      <c r="B3562" s="27" t="s">
        <v>2585</v>
      </c>
      <c r="C3562" s="28" t="s">
        <v>178</v>
      </c>
      <c r="D3562" s="29">
        <v>60.0</v>
      </c>
      <c r="E3562" s="28" t="s">
        <v>2586</v>
      </c>
      <c r="F3562" s="7" t="str">
        <f>IFERROR(__xludf.DUMMYFUNCTION("GOOGLETRANSLATE(B3562:B5064,""en"",""fr"")"),"géant")</f>
        <v>géant</v>
      </c>
    </row>
    <row r="3563" ht="19.5" customHeight="1">
      <c r="A3563" s="26" t="s">
        <v>9599</v>
      </c>
      <c r="B3563" s="27" t="s">
        <v>9600</v>
      </c>
      <c r="C3563" s="28" t="s">
        <v>178</v>
      </c>
      <c r="D3563" s="29">
        <v>60.0</v>
      </c>
      <c r="E3563" s="28" t="s">
        <v>9601</v>
      </c>
      <c r="F3563" s="7" t="str">
        <f>IFERROR(__xludf.DUMMYFUNCTION("GOOGLETRANSLATE(B3563:B5064,""en"",""fr"")"),"grandi")</f>
        <v>grandi</v>
      </c>
    </row>
    <row r="3564" ht="19.5" customHeight="1">
      <c r="A3564" s="26" t="s">
        <v>9602</v>
      </c>
      <c r="B3564" s="27" t="s">
        <v>9603</v>
      </c>
      <c r="C3564" s="28" t="s">
        <v>32</v>
      </c>
      <c r="D3564" s="29">
        <v>60.0</v>
      </c>
      <c r="E3564" s="28" t="s">
        <v>9604</v>
      </c>
      <c r="F3564" s="7" t="str">
        <f>IFERROR(__xludf.DUMMYFUNCTION("GOOGLETRANSLATE(B3564:B5064,""en"",""fr"")"),"indiquer")</f>
        <v>indiquer</v>
      </c>
    </row>
    <row r="3565" ht="19.5" customHeight="1">
      <c r="A3565" s="26" t="s">
        <v>9605</v>
      </c>
      <c r="B3565" s="27" t="s">
        <v>9606</v>
      </c>
      <c r="C3565" s="28" t="s">
        <v>178</v>
      </c>
      <c r="D3565" s="29">
        <v>60.0</v>
      </c>
      <c r="E3565" s="28" t="s">
        <v>9607</v>
      </c>
      <c r="F3565" s="7" t="str">
        <f>IFERROR(__xludf.DUMMYFUNCTION("GOOGLETRANSLATE(B3565:B5064,""en"",""fr"")"),"ingrédient")</f>
        <v>ingrédient</v>
      </c>
    </row>
    <row r="3566" ht="19.5" customHeight="1">
      <c r="A3566" s="26" t="s">
        <v>9608</v>
      </c>
      <c r="B3566" s="27" t="s">
        <v>9609</v>
      </c>
      <c r="C3566" s="28" t="s">
        <v>178</v>
      </c>
      <c r="D3566" s="29">
        <v>60.0</v>
      </c>
      <c r="E3566" s="28" t="s">
        <v>9610</v>
      </c>
      <c r="F3566" s="7" t="str">
        <f>IFERROR(__xludf.DUMMYFUNCTION("GOOGLETRANSLATE(B3566:B5064,""en"",""fr"")"),"exemple")</f>
        <v>exemple</v>
      </c>
    </row>
    <row r="3567" ht="19.5" customHeight="1">
      <c r="A3567" s="26" t="s">
        <v>9611</v>
      </c>
      <c r="B3567" s="27" t="s">
        <v>5304</v>
      </c>
      <c r="C3567" s="28" t="s">
        <v>178</v>
      </c>
      <c r="D3567" s="29">
        <v>60.0</v>
      </c>
      <c r="E3567" s="28" t="s">
        <v>9612</v>
      </c>
      <c r="F3567" s="7" t="str">
        <f>IFERROR(__xludf.DUMMYFUNCTION("GOOGLETRANSLATE(B3567:B5064,""en"",""fr"")"),"insulte")</f>
        <v>insulte</v>
      </c>
    </row>
    <row r="3568" ht="19.5" customHeight="1">
      <c r="A3568" s="26" t="s">
        <v>9613</v>
      </c>
      <c r="B3568" s="27" t="s">
        <v>9614</v>
      </c>
      <c r="C3568" s="28" t="s">
        <v>728</v>
      </c>
      <c r="D3568" s="29">
        <v>60.0</v>
      </c>
      <c r="E3568" s="28" t="s">
        <v>9615</v>
      </c>
      <c r="F3568" s="7" t="str">
        <f>IFERROR(__xludf.DUMMYFUNCTION("GOOGLETRANSLATE(B3568:B5064,""en"",""fr"")"),"Juin")</f>
        <v>Juin</v>
      </c>
    </row>
    <row r="3569" ht="19.5" customHeight="1">
      <c r="A3569" s="26" t="s">
        <v>9616</v>
      </c>
      <c r="B3569" s="27" t="s">
        <v>9617</v>
      </c>
      <c r="C3569" s="28" t="s">
        <v>32</v>
      </c>
      <c r="D3569" s="29">
        <v>60.0</v>
      </c>
      <c r="E3569" s="28" t="s">
        <v>9618</v>
      </c>
      <c r="F3569" s="7" t="str">
        <f>IFERROR(__xludf.DUMMYFUNCTION("GOOGLETRANSLATE(B3569:B5064,""en"",""fr"")"),"alléger")</f>
        <v>alléger</v>
      </c>
    </row>
    <row r="3570" ht="19.5" customHeight="1">
      <c r="A3570" s="26" t="s">
        <v>9619</v>
      </c>
      <c r="B3570" s="27" t="s">
        <v>6610</v>
      </c>
      <c r="C3570" s="28" t="s">
        <v>32</v>
      </c>
      <c r="D3570" s="29">
        <v>60.0</v>
      </c>
      <c r="E3570" s="28" t="s">
        <v>9620</v>
      </c>
      <c r="F3570" s="7" t="str">
        <f>IFERROR(__xludf.DUMMYFUNCTION("GOOGLETRANSLATE(B3570:B5064,""en"",""fr"")"),"limite")</f>
        <v>limite</v>
      </c>
    </row>
    <row r="3571" ht="19.5" customHeight="1">
      <c r="A3571" s="26" t="s">
        <v>9621</v>
      </c>
      <c r="B3571" s="27" t="s">
        <v>9622</v>
      </c>
      <c r="C3571" s="28" t="s">
        <v>178</v>
      </c>
      <c r="D3571" s="29">
        <v>60.0</v>
      </c>
      <c r="E3571" s="28" t="s">
        <v>9623</v>
      </c>
      <c r="F3571" s="7" t="str">
        <f>IFERROR(__xludf.DUMMYFUNCTION("GOOGLETRANSLATE(B3571:B5064,""en"",""fr"")"),"facteur")</f>
        <v>facteur</v>
      </c>
    </row>
    <row r="3572" ht="19.5" customHeight="1">
      <c r="A3572" s="26" t="s">
        <v>9624</v>
      </c>
      <c r="B3572" s="27" t="s">
        <v>4552</v>
      </c>
      <c r="C3572" s="28" t="s">
        <v>32</v>
      </c>
      <c r="D3572" s="29">
        <v>60.0</v>
      </c>
      <c r="E3572" s="28" t="s">
        <v>9625</v>
      </c>
      <c r="F3572" s="7" t="str">
        <f>IFERROR(__xludf.DUMMYFUNCTION("GOOGLETRANSLATE(B3572:B5064,""en"",""fr"")"),"massage")</f>
        <v>massage</v>
      </c>
    </row>
    <row r="3573" ht="19.5" customHeight="1">
      <c r="A3573" s="26" t="s">
        <v>9626</v>
      </c>
      <c r="B3573" s="27" t="s">
        <v>9627</v>
      </c>
      <c r="C3573" s="28" t="s">
        <v>178</v>
      </c>
      <c r="D3573" s="29">
        <v>60.0</v>
      </c>
      <c r="E3573" s="28" t="s">
        <v>9628</v>
      </c>
      <c r="F3573" s="7" t="str">
        <f>IFERROR(__xludf.DUMMYFUNCTION("GOOGLETRANSLATE(B3573:B5064,""en"",""fr"")"),"météore")</f>
        <v>météore</v>
      </c>
    </row>
    <row r="3574" ht="19.5" customHeight="1">
      <c r="A3574" s="26" t="s">
        <v>9629</v>
      </c>
      <c r="B3574" s="27" t="s">
        <v>9630</v>
      </c>
      <c r="C3574" s="28" t="s">
        <v>32</v>
      </c>
      <c r="D3574" s="29">
        <v>60.0</v>
      </c>
      <c r="E3574" s="28" t="s">
        <v>9631</v>
      </c>
      <c r="F3574" s="7" t="str">
        <f>IFERROR(__xludf.DUMMYFUNCTION("GOOGLETRANSLATE(B3574:B5064,""en"",""fr"")"),"serpillière")</f>
        <v>serpillière</v>
      </c>
    </row>
    <row r="3575" ht="19.5" customHeight="1">
      <c r="A3575" s="26" t="s">
        <v>9632</v>
      </c>
      <c r="B3575" s="27" t="s">
        <v>9633</v>
      </c>
      <c r="C3575" s="28" t="s">
        <v>134</v>
      </c>
      <c r="D3575" s="29">
        <v>60.0</v>
      </c>
      <c r="E3575" s="28" t="s">
        <v>9634</v>
      </c>
      <c r="F3575" s="7" t="str">
        <f>IFERROR(__xludf.DUMMYFUNCTION("GOOGLETRANSLATE(B3575:B5064,""en"",""fr"")"),"noble")</f>
        <v>noble</v>
      </c>
    </row>
    <row r="3576" ht="19.5" customHeight="1">
      <c r="A3576" s="26" t="s">
        <v>9635</v>
      </c>
      <c r="B3576" s="27" t="s">
        <v>6910</v>
      </c>
      <c r="C3576" s="28" t="s">
        <v>134</v>
      </c>
      <c r="D3576" s="29">
        <v>60.0</v>
      </c>
      <c r="E3576" s="28" t="s">
        <v>6910</v>
      </c>
      <c r="F3576" s="7" t="str">
        <f>IFERROR(__xludf.DUMMYFUNCTION("GOOGLETRANSLATE(B3576:B5064,""en"",""fr"")"),"opposé")</f>
        <v>opposé</v>
      </c>
    </row>
    <row r="3577" ht="19.5" customHeight="1">
      <c r="A3577" s="26" t="s">
        <v>9636</v>
      </c>
      <c r="B3577" s="27" t="s">
        <v>9637</v>
      </c>
      <c r="C3577" s="28" t="s">
        <v>178</v>
      </c>
      <c r="D3577" s="29">
        <v>60.0</v>
      </c>
      <c r="E3577" s="28" t="s">
        <v>9637</v>
      </c>
      <c r="F3577" s="7" t="str">
        <f>IFERROR(__xludf.DUMMYFUNCTION("GOOGLETRANSLATE(B3577:B5064,""en"",""fr"")"),"pyjamas")</f>
        <v>pyjamas</v>
      </c>
    </row>
    <row r="3578" ht="19.5" customHeight="1">
      <c r="A3578" s="26" t="s">
        <v>9638</v>
      </c>
      <c r="B3578" s="27" t="s">
        <v>9639</v>
      </c>
      <c r="C3578" s="28" t="s">
        <v>100</v>
      </c>
      <c r="D3578" s="29">
        <v>60.0</v>
      </c>
      <c r="E3578" s="28" t="s">
        <v>9639</v>
      </c>
      <c r="F3578" s="7" t="str">
        <f>IFERROR(__xludf.DUMMYFUNCTION("GOOGLETRANSLATE(B3578:B5064,""en"",""fr"")"),"physiquement")</f>
        <v>physiquement</v>
      </c>
    </row>
    <row r="3579" ht="19.5" customHeight="1">
      <c r="A3579" s="26" t="s">
        <v>9640</v>
      </c>
      <c r="B3579" s="27" t="s">
        <v>6280</v>
      </c>
      <c r="C3579" s="28" t="s">
        <v>178</v>
      </c>
      <c r="D3579" s="29">
        <v>60.0</v>
      </c>
      <c r="E3579" s="28" t="s">
        <v>9641</v>
      </c>
      <c r="F3579" s="7" t="str">
        <f>IFERROR(__xludf.DUMMYFUNCTION("GOOGLETRANSLATE(B3579:B5064,""en"",""fr"")"),"imprimer")</f>
        <v>imprimer</v>
      </c>
    </row>
    <row r="3580" ht="19.5" customHeight="1">
      <c r="A3580" s="26" t="s">
        <v>9642</v>
      </c>
      <c r="B3580" s="27" t="s">
        <v>9643</v>
      </c>
      <c r="C3580" s="28" t="s">
        <v>178</v>
      </c>
      <c r="D3580" s="29">
        <v>60.0</v>
      </c>
      <c r="E3580" s="28" t="s">
        <v>9644</v>
      </c>
      <c r="F3580" s="7" t="str">
        <f>IFERROR(__xludf.DUMMYFUNCTION("GOOGLETRANSLATE(B3580:B5064,""en"",""fr"")"),"pro")</f>
        <v>pro</v>
      </c>
    </row>
    <row r="3581" ht="19.5" customHeight="1">
      <c r="A3581" s="26" t="s">
        <v>9645</v>
      </c>
      <c r="B3581" s="27" t="s">
        <v>9646</v>
      </c>
      <c r="C3581" s="28" t="s">
        <v>36</v>
      </c>
      <c r="D3581" s="29">
        <v>60.0</v>
      </c>
      <c r="E3581" s="28" t="s">
        <v>9646</v>
      </c>
      <c r="F3581" s="7" t="str">
        <f>IFERROR(__xludf.DUMMYFUNCTION("GOOGLETRANSLATE(B3581:B5064,""en"",""fr"")"),"concernant")</f>
        <v>concernant</v>
      </c>
    </row>
    <row r="3582" ht="19.5" customHeight="1">
      <c r="A3582" s="26" t="s">
        <v>9647</v>
      </c>
      <c r="B3582" s="27" t="s">
        <v>9648</v>
      </c>
      <c r="C3582" s="28" t="s">
        <v>178</v>
      </c>
      <c r="D3582" s="29">
        <v>60.0</v>
      </c>
      <c r="E3582" s="28" t="s">
        <v>9649</v>
      </c>
      <c r="F3582" s="7" t="str">
        <f>IFERROR(__xludf.DUMMYFUNCTION("GOOGLETRANSLATE(B3582:B5064,""en"",""fr"")"),"révérend")</f>
        <v>révérend</v>
      </c>
    </row>
    <row r="3583" ht="19.5" customHeight="1">
      <c r="A3583" s="26" t="s">
        <v>9650</v>
      </c>
      <c r="B3583" s="27" t="s">
        <v>9651</v>
      </c>
      <c r="C3583" s="28" t="s">
        <v>32</v>
      </c>
      <c r="D3583" s="29">
        <v>60.0</v>
      </c>
      <c r="E3583" s="28" t="s">
        <v>9652</v>
      </c>
      <c r="F3583" s="7" t="str">
        <f>IFERROR(__xludf.DUMMYFUNCTION("GOOGLETRANSLATE(B3583:B5064,""en"",""fr"")"),"racine")</f>
        <v>racine</v>
      </c>
    </row>
    <row r="3584" ht="19.5" customHeight="1">
      <c r="A3584" s="26" t="s">
        <v>9653</v>
      </c>
      <c r="B3584" s="27" t="s">
        <v>3362</v>
      </c>
      <c r="C3584" s="28" t="s">
        <v>32</v>
      </c>
      <c r="D3584" s="29">
        <v>60.0</v>
      </c>
      <c r="E3584" s="28" t="s">
        <v>9654</v>
      </c>
      <c r="F3584" s="7" t="str">
        <f>IFERROR(__xludf.DUMMYFUNCTION("GOOGLETRANSLATE(B3584:B5064,""en"",""fr"")"),"bateau")</f>
        <v>bateau</v>
      </c>
    </row>
    <row r="3585" ht="19.5" customHeight="1">
      <c r="A3585" s="26" t="s">
        <v>9655</v>
      </c>
      <c r="B3585" s="27" t="s">
        <v>9656</v>
      </c>
      <c r="C3585" s="28" t="s">
        <v>134</v>
      </c>
      <c r="D3585" s="29">
        <v>60.0</v>
      </c>
      <c r="E3585" s="28" t="s">
        <v>9657</v>
      </c>
      <c r="F3585" s="7" t="str">
        <f>IFERROR(__xludf.DUMMYFUNCTION("GOOGLETRANSLATE(B3585:B5064,""en"",""fr"")"),"salope")</f>
        <v>salope</v>
      </c>
    </row>
    <row r="3586" ht="19.5" customHeight="1">
      <c r="A3586" s="26" t="s">
        <v>9658</v>
      </c>
      <c r="B3586" s="27" t="s">
        <v>9659</v>
      </c>
      <c r="C3586" s="28" t="s">
        <v>32</v>
      </c>
      <c r="D3586" s="29">
        <v>60.0</v>
      </c>
      <c r="E3586" s="28" t="s">
        <v>9660</v>
      </c>
      <c r="F3586" s="7" t="str">
        <f>IFERROR(__xludf.DUMMYFUNCTION("GOOGLETRANSLATE(B3586:B5064,""en"",""fr"")"),"renifler")</f>
        <v>renifler</v>
      </c>
    </row>
    <row r="3587" ht="19.5" customHeight="1">
      <c r="A3587" s="26" t="s">
        <v>9661</v>
      </c>
      <c r="B3587" s="27" t="s">
        <v>4861</v>
      </c>
      <c r="C3587" s="28" t="s">
        <v>178</v>
      </c>
      <c r="D3587" s="29">
        <v>60.0</v>
      </c>
      <c r="E3587" s="28" t="s">
        <v>9662</v>
      </c>
      <c r="F3587" s="7" t="str">
        <f>IFERROR(__xludf.DUMMYFUNCTION("GOOGLETRANSLATE(B3587:B5064,""en"",""fr"")"),"rotation")</f>
        <v>rotation</v>
      </c>
    </row>
    <row r="3588" ht="19.5" customHeight="1">
      <c r="A3588" s="26" t="s">
        <v>9663</v>
      </c>
      <c r="B3588" s="27" t="s">
        <v>9664</v>
      </c>
      <c r="C3588" s="28" t="s">
        <v>32</v>
      </c>
      <c r="D3588" s="29">
        <v>60.0</v>
      </c>
      <c r="E3588" s="28" t="s">
        <v>9665</v>
      </c>
      <c r="F3588" s="7" t="str">
        <f>IFERROR(__xludf.DUMMYFUNCTION("GOOGLETRANSLATE(B3588:B5064,""en"",""fr"")"),"gonfler")</f>
        <v>gonfler</v>
      </c>
    </row>
    <row r="3589" ht="19.5" customHeight="1">
      <c r="A3589" s="26" t="s">
        <v>9666</v>
      </c>
      <c r="B3589" s="27" t="s">
        <v>9667</v>
      </c>
      <c r="C3589" s="28" t="s">
        <v>150</v>
      </c>
      <c r="D3589" s="29">
        <v>60.0</v>
      </c>
      <c r="E3589" s="28" t="s">
        <v>9667</v>
      </c>
      <c r="F3589" s="7" t="str">
        <f>IFERROR(__xludf.DUMMYFUNCTION("GOOGLETRANSLATE(B3589:B5064,""en"",""fr"")"),"trente et un")</f>
        <v>trente et un</v>
      </c>
    </row>
    <row r="3590" ht="19.5" customHeight="1">
      <c r="A3590" s="26" t="s">
        <v>9668</v>
      </c>
      <c r="B3590" s="27" t="s">
        <v>5394</v>
      </c>
      <c r="C3590" s="28" t="s">
        <v>32</v>
      </c>
      <c r="D3590" s="29">
        <v>60.0</v>
      </c>
      <c r="E3590" s="28" t="s">
        <v>9669</v>
      </c>
      <c r="F3590" s="7" t="str">
        <f>IFERROR(__xludf.DUMMYFUNCTION("GOOGLETRANSLATE(B3590:B5064,""en"",""fr"")"),"valeur")</f>
        <v>valeur</v>
      </c>
    </row>
    <row r="3591" ht="19.5" customHeight="1">
      <c r="A3591" s="26" t="s">
        <v>9670</v>
      </c>
      <c r="B3591" s="27" t="s">
        <v>9671</v>
      </c>
      <c r="C3591" s="28" t="s">
        <v>178</v>
      </c>
      <c r="D3591" s="29">
        <v>60.0</v>
      </c>
      <c r="E3591" s="28" t="s">
        <v>9672</v>
      </c>
      <c r="F3591" s="7" t="str">
        <f>IFERROR(__xludf.DUMMYFUNCTION("GOOGLETRANSLATE(B3591:B5064,""en"",""fr"")"),"champignon")</f>
        <v>champignon</v>
      </c>
    </row>
    <row r="3592" ht="19.5" customHeight="1">
      <c r="A3592" s="26" t="s">
        <v>9673</v>
      </c>
      <c r="B3592" s="27" t="s">
        <v>9674</v>
      </c>
      <c r="C3592" s="28" t="s">
        <v>134</v>
      </c>
      <c r="D3592" s="29">
        <v>60.0</v>
      </c>
      <c r="E3592" s="28" t="s">
        <v>9674</v>
      </c>
      <c r="F3592" s="7" t="str">
        <f>IFERROR(__xludf.DUMMYFUNCTION("GOOGLETRANSLATE(B3592:B5064,""en"",""fr"")"),"avancé")</f>
        <v>avancé</v>
      </c>
    </row>
    <row r="3593" ht="19.5" customHeight="1">
      <c r="A3593" s="26" t="s">
        <v>9675</v>
      </c>
      <c r="B3593" s="27" t="s">
        <v>9676</v>
      </c>
      <c r="C3593" s="28" t="s">
        <v>32</v>
      </c>
      <c r="D3593" s="29">
        <v>59.0</v>
      </c>
      <c r="E3593" s="28" t="s">
        <v>9677</v>
      </c>
      <c r="F3593" s="7" t="str">
        <f>IFERROR(__xludf.DUMMYFUNCTION("GOOGLETRANSLATE(B3593:B5064,""en"",""fr"")"),"amuser")</f>
        <v>amuser</v>
      </c>
    </row>
    <row r="3594" ht="19.5" customHeight="1">
      <c r="A3594" s="26" t="s">
        <v>9678</v>
      </c>
      <c r="B3594" s="27" t="s">
        <v>9679</v>
      </c>
      <c r="C3594" s="28" t="s">
        <v>178</v>
      </c>
      <c r="D3594" s="29">
        <v>59.0</v>
      </c>
      <c r="E3594" s="28" t="s">
        <v>9680</v>
      </c>
      <c r="F3594" s="7" t="str">
        <f>IFERROR(__xludf.DUMMYFUNCTION("GOOGLETRANSLATE(B3594:B5064,""en"",""fr"")"),"ancêtre")</f>
        <v>ancêtre</v>
      </c>
    </row>
    <row r="3595" ht="19.5" customHeight="1">
      <c r="A3595" s="26" t="s">
        <v>9681</v>
      </c>
      <c r="B3595" s="27" t="s">
        <v>9682</v>
      </c>
      <c r="C3595" s="28" t="s">
        <v>178</v>
      </c>
      <c r="D3595" s="29">
        <v>59.0</v>
      </c>
      <c r="E3595" s="28" t="s">
        <v>9683</v>
      </c>
      <c r="F3595" s="7" t="str">
        <f>IFERROR(__xludf.DUMMYFUNCTION("GOOGLETRANSLATE(B3595:B5064,""en"",""fr"")"),"grenier")</f>
        <v>grenier</v>
      </c>
    </row>
    <row r="3596" ht="19.5" customHeight="1">
      <c r="A3596" s="26" t="s">
        <v>9684</v>
      </c>
      <c r="B3596" s="27" t="s">
        <v>9685</v>
      </c>
      <c r="C3596" s="28" t="s">
        <v>178</v>
      </c>
      <c r="D3596" s="29">
        <v>59.0</v>
      </c>
      <c r="E3596" s="28" t="s">
        <v>9686</v>
      </c>
      <c r="F3596" s="7" t="str">
        <f>IFERROR(__xludf.DUMMYFUNCTION("GOOGLETRANSLATE(B3596:B5064,""en"",""fr"")"),"brocoli")</f>
        <v>brocoli</v>
      </c>
    </row>
    <row r="3597" ht="19.5" customHeight="1">
      <c r="A3597" s="26" t="s">
        <v>9687</v>
      </c>
      <c r="B3597" s="27" t="s">
        <v>9688</v>
      </c>
      <c r="C3597" s="28" t="s">
        <v>178</v>
      </c>
      <c r="D3597" s="29">
        <v>59.0</v>
      </c>
      <c r="E3597" s="28" t="s">
        <v>9689</v>
      </c>
      <c r="F3597" s="7" t="str">
        <f>IFERROR(__xludf.DUMMYFUNCTION("GOOGLETRANSLATE(B3597:B5064,""en"",""fr"")"),"circonstance")</f>
        <v>circonstance</v>
      </c>
    </row>
    <row r="3598" ht="19.5" customHeight="1">
      <c r="A3598" s="26" t="s">
        <v>9690</v>
      </c>
      <c r="B3598" s="27" t="s">
        <v>9691</v>
      </c>
      <c r="C3598" s="28" t="s">
        <v>178</v>
      </c>
      <c r="D3598" s="29">
        <v>59.0</v>
      </c>
      <c r="E3598" s="28" t="s">
        <v>9692</v>
      </c>
      <c r="F3598" s="7" t="str">
        <f>IFERROR(__xludf.DUMMYFUNCTION("GOOGLETRANSLATE(B3598:B5064,""en"",""fr"")"),"vêtements")</f>
        <v>vêtements</v>
      </c>
    </row>
    <row r="3599" ht="19.5" customHeight="1">
      <c r="A3599" s="26" t="s">
        <v>9693</v>
      </c>
      <c r="B3599" s="27" t="s">
        <v>9694</v>
      </c>
      <c r="C3599" s="28" t="s">
        <v>178</v>
      </c>
      <c r="D3599" s="29">
        <v>59.0</v>
      </c>
      <c r="E3599" s="28" t="s">
        <v>9695</v>
      </c>
      <c r="F3599" s="7" t="str">
        <f>IFERROR(__xludf.DUMMYFUNCTION("GOOGLETRANSLATE(B3599:B5064,""en"",""fr"")"),"décennie")</f>
        <v>décennie</v>
      </c>
    </row>
    <row r="3600" ht="19.5" customHeight="1">
      <c r="A3600" s="26" t="s">
        <v>9696</v>
      </c>
      <c r="B3600" s="27" t="s">
        <v>9697</v>
      </c>
      <c r="C3600" s="28" t="s">
        <v>178</v>
      </c>
      <c r="D3600" s="29">
        <v>59.0</v>
      </c>
      <c r="E3600" s="28" t="s">
        <v>9698</v>
      </c>
      <c r="F3600" s="7" t="str">
        <f>IFERROR(__xludf.DUMMYFUNCTION("GOOGLETRANSLATE(B3600:B5064,""en"",""fr"")"),"désordre")</f>
        <v>désordre</v>
      </c>
    </row>
    <row r="3601" ht="19.5" customHeight="1">
      <c r="A3601" s="26" t="s">
        <v>9699</v>
      </c>
      <c r="B3601" s="27" t="s">
        <v>9700</v>
      </c>
      <c r="C3601" s="28" t="s">
        <v>178</v>
      </c>
      <c r="D3601" s="29">
        <v>59.0</v>
      </c>
      <c r="E3601" s="28" t="s">
        <v>9701</v>
      </c>
      <c r="F3601" s="7" t="str">
        <f>IFERROR(__xludf.DUMMYFUNCTION("GOOGLETRANSLATE(B3601:B5064,""en"",""fr"")"),"donjon")</f>
        <v>donjon</v>
      </c>
    </row>
    <row r="3602" ht="19.5" customHeight="1">
      <c r="A3602" s="26" t="s">
        <v>9702</v>
      </c>
      <c r="B3602" s="27" t="s">
        <v>336</v>
      </c>
      <c r="C3602" s="28" t="s">
        <v>134</v>
      </c>
      <c r="D3602" s="29">
        <v>59.0</v>
      </c>
      <c r="E3602" s="28" t="s">
        <v>9703</v>
      </c>
      <c r="F3602" s="7" t="str">
        <f>IFERROR(__xludf.DUMMYFUNCTION("GOOGLETRANSLATE(B3602:B5064,""en"",""fr"")"),"même")</f>
        <v>même</v>
      </c>
    </row>
    <row r="3603" ht="19.5" customHeight="1">
      <c r="A3603" s="26" t="s">
        <v>9704</v>
      </c>
      <c r="B3603" s="27" t="s">
        <v>9705</v>
      </c>
      <c r="C3603" s="28" t="s">
        <v>178</v>
      </c>
      <c r="D3603" s="29">
        <v>59.0</v>
      </c>
      <c r="E3603" s="28" t="s">
        <v>9706</v>
      </c>
      <c r="F3603" s="7" t="str">
        <f>IFERROR(__xludf.DUMMYFUNCTION("GOOGLETRANSLATE(B3603:B5064,""en"",""fr"")"),"évolution")</f>
        <v>évolution</v>
      </c>
    </row>
    <row r="3604" ht="19.5" customHeight="1">
      <c r="A3604" s="26" t="s">
        <v>9707</v>
      </c>
      <c r="B3604" s="27" t="s">
        <v>9708</v>
      </c>
      <c r="C3604" s="28" t="s">
        <v>178</v>
      </c>
      <c r="D3604" s="29">
        <v>59.0</v>
      </c>
      <c r="E3604" s="28" t="s">
        <v>9709</v>
      </c>
      <c r="F3604" s="7" t="str">
        <f>IFERROR(__xludf.DUMMYFUNCTION("GOOGLETRANSLATE(B3604:B5064,""en"",""fr"")"),"exception")</f>
        <v>exception</v>
      </c>
    </row>
    <row r="3605" ht="19.5" customHeight="1">
      <c r="A3605" s="26" t="s">
        <v>9710</v>
      </c>
      <c r="B3605" s="27" t="s">
        <v>9711</v>
      </c>
      <c r="C3605" s="28" t="s">
        <v>178</v>
      </c>
      <c r="D3605" s="29">
        <v>59.0</v>
      </c>
      <c r="E3605" s="28" t="s">
        <v>9712</v>
      </c>
      <c r="F3605" s="7" t="str">
        <f>IFERROR(__xludf.DUMMYFUNCTION("GOOGLETRANSLATE(B3605:B5064,""en"",""fr"")"),"fonction")</f>
        <v>fonction</v>
      </c>
    </row>
    <row r="3606" ht="19.5" customHeight="1">
      <c r="A3606" s="26" t="s">
        <v>9713</v>
      </c>
      <c r="B3606" s="27" t="s">
        <v>9714</v>
      </c>
      <c r="C3606" s="28" t="s">
        <v>178</v>
      </c>
      <c r="D3606" s="29">
        <v>59.0</v>
      </c>
      <c r="E3606" s="28" t="s">
        <v>9715</v>
      </c>
      <c r="F3606" s="7" t="str">
        <f>IFERROR(__xludf.DUMMYFUNCTION("GOOGLETRANSLATE(B3606:B5064,""en"",""fr"")"),"geek")</f>
        <v>geek</v>
      </c>
    </row>
    <row r="3607" ht="19.5" customHeight="1">
      <c r="A3607" s="26" t="s">
        <v>9716</v>
      </c>
      <c r="B3607" s="27" t="s">
        <v>9717</v>
      </c>
      <c r="C3607" s="28" t="s">
        <v>134</v>
      </c>
      <c r="D3607" s="29">
        <v>59.0</v>
      </c>
      <c r="E3607" s="28" t="s">
        <v>9717</v>
      </c>
      <c r="F3607" s="7" t="str">
        <f>IFERROR(__xludf.DUMMYFUNCTION("GOOGLETRANSLATE(B3607:B5064,""en"",""fr"")"),"glorieux")</f>
        <v>glorieux</v>
      </c>
    </row>
    <row r="3608" ht="19.5" customHeight="1">
      <c r="A3608" s="26" t="s">
        <v>9718</v>
      </c>
      <c r="B3608" s="27" t="s">
        <v>9719</v>
      </c>
      <c r="C3608" s="28" t="s">
        <v>178</v>
      </c>
      <c r="D3608" s="29">
        <v>59.0</v>
      </c>
      <c r="E3608" s="28" t="s">
        <v>9720</v>
      </c>
      <c r="F3608" s="7" t="str">
        <f>IFERROR(__xludf.DUMMYFUNCTION("GOOGLETRANSLATE(B3608:B5064,""en"",""fr"")"),"potins")</f>
        <v>potins</v>
      </c>
    </row>
    <row r="3609" ht="19.5" customHeight="1">
      <c r="A3609" s="26" t="s">
        <v>9721</v>
      </c>
      <c r="B3609" s="27" t="s">
        <v>9722</v>
      </c>
      <c r="C3609" s="28" t="s">
        <v>100</v>
      </c>
      <c r="D3609" s="29">
        <v>59.0</v>
      </c>
      <c r="E3609" s="28" t="s">
        <v>9722</v>
      </c>
      <c r="F3609" s="7" t="str">
        <f>IFERROR(__xludf.DUMMYFUNCTION("GOOGLETRANSLATE(B3609:B5064,""en"",""fr"")"),"Heureusement")</f>
        <v>Heureusement</v>
      </c>
    </row>
    <row r="3610" ht="19.5" customHeight="1">
      <c r="A3610" s="26" t="s">
        <v>9723</v>
      </c>
      <c r="B3610" s="27" t="s">
        <v>9724</v>
      </c>
      <c r="C3610" s="28" t="s">
        <v>4654</v>
      </c>
      <c r="D3610" s="29">
        <v>59.0</v>
      </c>
      <c r="E3610" s="28" t="s">
        <v>9725</v>
      </c>
      <c r="F3610" s="7" t="str">
        <f>IFERROR(__xludf.DUMMYFUNCTION("GOOGLETRANSLATE(B3610:B5064,""en"",""fr"")"),"IDENTIFIANT")</f>
        <v>IDENTIFIANT</v>
      </c>
    </row>
    <row r="3611" ht="19.5" customHeight="1">
      <c r="A3611" s="26" t="s">
        <v>9726</v>
      </c>
      <c r="B3611" s="27" t="s">
        <v>9727</v>
      </c>
      <c r="C3611" s="28" t="s">
        <v>728</v>
      </c>
      <c r="D3611" s="29">
        <v>59.0</v>
      </c>
      <c r="E3611" s="28" t="s">
        <v>9728</v>
      </c>
      <c r="F3611" s="7" t="str">
        <f>IFERROR(__xludf.DUMMYFUNCTION("GOOGLETRANSLATE(B3611:B5064,""en"",""fr"")"),"Mars")</f>
        <v>Mars</v>
      </c>
    </row>
    <row r="3612" ht="19.5" customHeight="1">
      <c r="A3612" s="26" t="s">
        <v>9729</v>
      </c>
      <c r="B3612" s="27" t="s">
        <v>9730</v>
      </c>
      <c r="C3612" s="28" t="s">
        <v>178</v>
      </c>
      <c r="D3612" s="29">
        <v>59.0</v>
      </c>
      <c r="E3612" s="28" t="s">
        <v>9731</v>
      </c>
      <c r="F3612" s="7" t="str">
        <f>IFERROR(__xludf.DUMMYFUNCTION("GOOGLETRANSLATE(B3612:B5064,""en"",""fr"")"),"militaire")</f>
        <v>militaire</v>
      </c>
    </row>
    <row r="3613" ht="19.5" customHeight="1">
      <c r="A3613" s="26" t="s">
        <v>9732</v>
      </c>
      <c r="B3613" s="27" t="s">
        <v>9733</v>
      </c>
      <c r="C3613" s="28" t="s">
        <v>134</v>
      </c>
      <c r="D3613" s="29">
        <v>59.0</v>
      </c>
      <c r="E3613" s="28" t="s">
        <v>9734</v>
      </c>
      <c r="F3613" s="7" t="str">
        <f>IFERROR(__xludf.DUMMYFUNCTION("GOOGLETRANSLATE(B3613:B5064,""en"",""fr"")"),"nu")</f>
        <v>nu</v>
      </c>
    </row>
    <row r="3614" ht="19.5" customHeight="1">
      <c r="A3614" s="26" t="s">
        <v>9735</v>
      </c>
      <c r="B3614" s="27" t="s">
        <v>9736</v>
      </c>
      <c r="C3614" s="28" t="s">
        <v>178</v>
      </c>
      <c r="D3614" s="29">
        <v>59.0</v>
      </c>
      <c r="E3614" s="28" t="s">
        <v>9737</v>
      </c>
      <c r="F3614" s="7" t="str">
        <f>IFERROR(__xludf.DUMMYFUNCTION("GOOGLETRANSLATE(B3614:B5064,""en"",""fr"")"),"poêle")</f>
        <v>poêle</v>
      </c>
    </row>
    <row r="3615" ht="19.5" customHeight="1">
      <c r="A3615" s="26" t="s">
        <v>9738</v>
      </c>
      <c r="B3615" s="27" t="s">
        <v>9739</v>
      </c>
      <c r="C3615" s="28" t="s">
        <v>178</v>
      </c>
      <c r="D3615" s="29">
        <v>59.0</v>
      </c>
      <c r="E3615" s="28" t="s">
        <v>9740</v>
      </c>
      <c r="F3615" s="7" t="str">
        <f>IFERROR(__xludf.DUMMYFUNCTION("GOOGLETRANSLATE(B3615:B5064,""en"",""fr"")"),"paradis")</f>
        <v>paradis</v>
      </c>
    </row>
    <row r="3616" ht="19.5" customHeight="1">
      <c r="A3616" s="26" t="s">
        <v>9741</v>
      </c>
      <c r="B3616" s="27" t="s">
        <v>9742</v>
      </c>
      <c r="C3616" s="28" t="s">
        <v>178</v>
      </c>
      <c r="D3616" s="29">
        <v>59.0</v>
      </c>
      <c r="E3616" s="28" t="s">
        <v>9743</v>
      </c>
      <c r="F3616" s="7" t="str">
        <f>IFERROR(__xludf.DUMMYFUNCTION("GOOGLETRANSLATE(B3616:B5064,""en"",""fr"")"),"pervers")</f>
        <v>pervers</v>
      </c>
    </row>
    <row r="3617" ht="19.5" customHeight="1">
      <c r="A3617" s="26" t="s">
        <v>9744</v>
      </c>
      <c r="B3617" s="27" t="s">
        <v>4690</v>
      </c>
      <c r="C3617" s="28" t="s">
        <v>32</v>
      </c>
      <c r="D3617" s="29">
        <v>59.0</v>
      </c>
      <c r="E3617" s="28" t="s">
        <v>9745</v>
      </c>
      <c r="F3617" s="7" t="str">
        <f>IFERROR(__xludf.DUMMYFUNCTION("GOOGLETRANSLATE(B3617:B5064,""en"",""fr"")"),"animal de compagnie")</f>
        <v>animal de compagnie</v>
      </c>
    </row>
    <row r="3618" ht="19.5" customHeight="1">
      <c r="A3618" s="26" t="s">
        <v>9746</v>
      </c>
      <c r="B3618" s="27" t="s">
        <v>9747</v>
      </c>
      <c r="C3618" s="28" t="s">
        <v>32</v>
      </c>
      <c r="D3618" s="29">
        <v>59.0</v>
      </c>
      <c r="E3618" s="28" t="s">
        <v>9748</v>
      </c>
      <c r="F3618" s="7" t="str">
        <f>IFERROR(__xludf.DUMMYFUNCTION("GOOGLETRANSLATE(B3618:B5064,""en"",""fr"")"),"pincer")</f>
        <v>pincer</v>
      </c>
    </row>
    <row r="3619" ht="19.5" customHeight="1">
      <c r="A3619" s="26" t="s">
        <v>9749</v>
      </c>
      <c r="B3619" s="27" t="s">
        <v>9750</v>
      </c>
      <c r="C3619" s="28" t="s">
        <v>178</v>
      </c>
      <c r="D3619" s="29">
        <v>59.0</v>
      </c>
      <c r="E3619" s="28" t="s">
        <v>9751</v>
      </c>
      <c r="F3619" s="7" t="str">
        <f>IFERROR(__xludf.DUMMYFUNCTION("GOOGLETRANSLATE(B3619:B5064,""en"",""fr"")"),"pitié")</f>
        <v>pitié</v>
      </c>
    </row>
    <row r="3620" ht="19.5" customHeight="1">
      <c r="A3620" s="26" t="s">
        <v>9752</v>
      </c>
      <c r="B3620" s="27" t="s">
        <v>9753</v>
      </c>
      <c r="C3620" s="28" t="s">
        <v>134</v>
      </c>
      <c r="D3620" s="29">
        <v>59.0</v>
      </c>
      <c r="E3620" s="28" t="s">
        <v>9754</v>
      </c>
      <c r="F3620" s="7" t="str">
        <f>IFERROR(__xludf.DUMMYFUNCTION("GOOGLETRANSLATE(B3620:B5064,""en"",""fr"")"),"pourri")</f>
        <v>pourri</v>
      </c>
    </row>
    <row r="3621" ht="19.5" customHeight="1">
      <c r="A3621" s="26" t="s">
        <v>9755</v>
      </c>
      <c r="B3621" s="27" t="s">
        <v>9756</v>
      </c>
      <c r="C3621" s="28" t="s">
        <v>150</v>
      </c>
      <c r="D3621" s="29">
        <v>59.0</v>
      </c>
      <c r="E3621" s="28" t="s">
        <v>9757</v>
      </c>
      <c r="F3621" s="7" t="str">
        <f>IFERROR(__xludf.DUMMYFUNCTION("GOOGLETRANSLATE(B3621:B5064,""en"",""fr"")"),"septième")</f>
        <v>septième</v>
      </c>
    </row>
    <row r="3622" ht="19.5" customHeight="1">
      <c r="A3622" s="26" t="s">
        <v>9758</v>
      </c>
      <c r="B3622" s="27" t="s">
        <v>9759</v>
      </c>
      <c r="C3622" s="28" t="s">
        <v>134</v>
      </c>
      <c r="D3622" s="29">
        <v>59.0</v>
      </c>
      <c r="E3622" s="28" t="s">
        <v>9759</v>
      </c>
      <c r="F3622" s="7" t="str">
        <f>IFERROR(__xludf.DUMMYFUNCTION("GOOGLETRANSLATE(B3622:B5064,""en"",""fr"")"),"similaire")</f>
        <v>similaire</v>
      </c>
    </row>
    <row r="3623" ht="19.5" customHeight="1">
      <c r="A3623" s="26" t="s">
        <v>9760</v>
      </c>
      <c r="B3623" s="27" t="s">
        <v>889</v>
      </c>
      <c r="C3623" s="28" t="s">
        <v>178</v>
      </c>
      <c r="D3623" s="29">
        <v>59.0</v>
      </c>
      <c r="E3623" s="28" t="s">
        <v>9761</v>
      </c>
      <c r="F3623" s="7" t="str">
        <f>IFERROR(__xludf.DUMMYFUNCTION("GOOGLETRANSLATE(B3623:B5064,""en"",""fr"")"),"rester")</f>
        <v>rester</v>
      </c>
    </row>
    <row r="3624" ht="19.5" customHeight="1">
      <c r="A3624" s="26" t="s">
        <v>9762</v>
      </c>
      <c r="B3624" s="27" t="s">
        <v>9763</v>
      </c>
      <c r="C3624" s="28" t="s">
        <v>178</v>
      </c>
      <c r="D3624" s="29">
        <v>59.0</v>
      </c>
      <c r="E3624" s="28" t="s">
        <v>9764</v>
      </c>
      <c r="F3624" s="7" t="str">
        <f>IFERROR(__xludf.DUMMYFUNCTION("GOOGLETRANSLATE(B3624:B5064,""en"",""fr"")"),"tracteur")</f>
        <v>tracteur</v>
      </c>
    </row>
    <row r="3625" ht="19.5" customHeight="1">
      <c r="A3625" s="26" t="s">
        <v>9765</v>
      </c>
      <c r="B3625" s="27" t="s">
        <v>9766</v>
      </c>
      <c r="C3625" s="28" t="s">
        <v>32</v>
      </c>
      <c r="D3625" s="29">
        <v>59.0</v>
      </c>
      <c r="E3625" s="28" t="s">
        <v>9767</v>
      </c>
      <c r="F3625" s="7" t="str">
        <f>IFERROR(__xludf.DUMMYFUNCTION("GOOGLETRANSLATE(B3625:B5064,""en"",""fr"")"),"tunnel")</f>
        <v>tunnel</v>
      </c>
    </row>
    <row r="3626" ht="19.5" customHeight="1">
      <c r="A3626" s="26" t="s">
        <v>9768</v>
      </c>
      <c r="B3626" s="27" t="s">
        <v>9769</v>
      </c>
      <c r="C3626" s="28" t="s">
        <v>178</v>
      </c>
      <c r="D3626" s="29">
        <v>59.0</v>
      </c>
      <c r="E3626" s="28" t="s">
        <v>9770</v>
      </c>
      <c r="F3626" s="7" t="str">
        <f>IFERROR(__xludf.DUMMYFUNCTION("GOOGLETRANSLATE(B3626:B5064,""en"",""fr"")"),"vanille")</f>
        <v>vanille</v>
      </c>
    </row>
    <row r="3627" ht="19.5" customHeight="1">
      <c r="A3627" s="26" t="s">
        <v>9771</v>
      </c>
      <c r="B3627" s="27" t="s">
        <v>9772</v>
      </c>
      <c r="C3627" s="28" t="s">
        <v>32</v>
      </c>
      <c r="D3627" s="29">
        <v>59.0</v>
      </c>
      <c r="E3627" s="28" t="s">
        <v>9773</v>
      </c>
      <c r="F3627" s="7" t="str">
        <f>IFERROR(__xludf.DUMMYFUNCTION("GOOGLETRANSLATE(B3627:B5064,""en"",""fr"")"),"violer")</f>
        <v>violer</v>
      </c>
    </row>
    <row r="3628" ht="19.5" customHeight="1">
      <c r="A3628" s="26" t="s">
        <v>9774</v>
      </c>
      <c r="B3628" s="27" t="s">
        <v>9775</v>
      </c>
      <c r="C3628" s="28" t="s">
        <v>32</v>
      </c>
      <c r="D3628" s="29">
        <v>59.0</v>
      </c>
      <c r="E3628" s="28" t="s">
        <v>9776</v>
      </c>
      <c r="F3628" s="7" t="str">
        <f>IFERROR(__xludf.DUMMYFUNCTION("GOOGLETRANSLATE(B3628:B5064,""en"",""fr"")"),"détruire")</f>
        <v>détruire</v>
      </c>
    </row>
    <row r="3629" ht="19.5" customHeight="1">
      <c r="A3629" s="26" t="s">
        <v>9777</v>
      </c>
      <c r="B3629" s="27" t="s">
        <v>9778</v>
      </c>
      <c r="C3629" s="28" t="s">
        <v>32</v>
      </c>
      <c r="D3629" s="29">
        <v>59.0</v>
      </c>
      <c r="E3629" s="28" t="s">
        <v>9779</v>
      </c>
      <c r="F3629" s="7" t="str">
        <f>IFERROR(__xludf.DUMMYFUNCTION("GOOGLETRANSLATE(B3629:B5064,""en"",""fr"")"),"fermeture éclair")</f>
        <v>fermeture éclair</v>
      </c>
    </row>
    <row r="3630" ht="19.5" customHeight="1">
      <c r="A3630" s="26" t="s">
        <v>9780</v>
      </c>
      <c r="B3630" s="27" t="s">
        <v>9781</v>
      </c>
      <c r="C3630" s="28" t="s">
        <v>178</v>
      </c>
      <c r="D3630" s="29">
        <v>58.0</v>
      </c>
      <c r="E3630" s="28" t="s">
        <v>9782</v>
      </c>
      <c r="F3630" s="7" t="str">
        <f>IFERROR(__xludf.DUMMYFUNCTION("GOOGLETRANSLATE(B3630:B5064,""en"",""fr"")"),"heure du coucher")</f>
        <v>heure du coucher</v>
      </c>
    </row>
    <row r="3631" ht="19.5" customHeight="1">
      <c r="A3631" s="26" t="s">
        <v>9783</v>
      </c>
      <c r="B3631" s="27" t="s">
        <v>9784</v>
      </c>
      <c r="C3631" s="28" t="s">
        <v>178</v>
      </c>
      <c r="D3631" s="29">
        <v>58.0</v>
      </c>
      <c r="E3631" s="28" t="s">
        <v>9785</v>
      </c>
      <c r="F3631" s="7" t="str">
        <f>IFERROR(__xludf.DUMMYFUNCTION("GOOGLETRANSLATE(B3631:B5064,""en"",""fr"")"),"cap")</f>
        <v>cap</v>
      </c>
    </row>
    <row r="3632" ht="19.5" customHeight="1">
      <c r="A3632" s="26" t="s">
        <v>9786</v>
      </c>
      <c r="B3632" s="27" t="s">
        <v>2636</v>
      </c>
      <c r="C3632" s="28" t="s">
        <v>178</v>
      </c>
      <c r="D3632" s="29">
        <v>58.0</v>
      </c>
      <c r="E3632" s="28" t="s">
        <v>9787</v>
      </c>
      <c r="F3632" s="7" t="str">
        <f>IFERROR(__xludf.DUMMYFUNCTION("GOOGLETRANSLATE(B3632:B5064,""en"",""fr"")"),"coût")</f>
        <v>coût</v>
      </c>
    </row>
    <row r="3633" ht="19.5" customHeight="1">
      <c r="A3633" s="26" t="s">
        <v>9788</v>
      </c>
      <c r="B3633" s="27" t="s">
        <v>9789</v>
      </c>
      <c r="C3633" s="28" t="s">
        <v>178</v>
      </c>
      <c r="D3633" s="29">
        <v>58.0</v>
      </c>
      <c r="E3633" s="28" t="s">
        <v>9790</v>
      </c>
      <c r="F3633" s="7" t="str">
        <f>IFERROR(__xludf.DUMMYFUNCTION("GOOGLETRANSLATE(B3633:B5064,""en"",""fr"")"),"mots croisés")</f>
        <v>mots croisés</v>
      </c>
    </row>
    <row r="3634" ht="19.5" customHeight="1">
      <c r="A3634" s="26" t="s">
        <v>9791</v>
      </c>
      <c r="B3634" s="27" t="s">
        <v>9792</v>
      </c>
      <c r="C3634" s="28" t="s">
        <v>178</v>
      </c>
      <c r="D3634" s="29">
        <v>58.0</v>
      </c>
      <c r="E3634" s="28" t="s">
        <v>9793</v>
      </c>
      <c r="F3634" s="7" t="str">
        <f>IFERROR(__xludf.DUMMYFUNCTION("GOOGLETRANSLATE(B3634:B5064,""en"",""fr"")"),"designer")</f>
        <v>designer</v>
      </c>
    </row>
    <row r="3635" ht="19.5" customHeight="1">
      <c r="A3635" s="26" t="s">
        <v>9794</v>
      </c>
      <c r="B3635" s="27" t="s">
        <v>9795</v>
      </c>
      <c r="C3635" s="28" t="s">
        <v>134</v>
      </c>
      <c r="D3635" s="29">
        <v>58.0</v>
      </c>
      <c r="E3635" s="28" t="s">
        <v>9795</v>
      </c>
      <c r="F3635" s="7" t="str">
        <f>IFERROR(__xludf.DUMMYFUNCTION("GOOGLETRANSLATE(B3635:B5064,""en"",""fr"")"),"énorme")</f>
        <v>énorme</v>
      </c>
    </row>
    <row r="3636" ht="19.5" customHeight="1">
      <c r="A3636" s="26" t="s">
        <v>9796</v>
      </c>
      <c r="B3636" s="27" t="s">
        <v>9797</v>
      </c>
      <c r="C3636" s="28" t="s">
        <v>134</v>
      </c>
      <c r="D3636" s="29">
        <v>58.0</v>
      </c>
      <c r="E3636" s="28" t="s">
        <v>9798</v>
      </c>
      <c r="F3636" s="7" t="str">
        <f>IFERROR(__xludf.DUMMYFUNCTION("GOOGLETRANSLATE(B3636:B5064,""en"",""fr"")"),"extrême")</f>
        <v>extrême</v>
      </c>
    </row>
    <row r="3637" ht="19.5" customHeight="1">
      <c r="A3637" s="26" t="s">
        <v>9799</v>
      </c>
      <c r="B3637" s="27" t="s">
        <v>9800</v>
      </c>
      <c r="C3637" s="28" t="s">
        <v>134</v>
      </c>
      <c r="D3637" s="29">
        <v>58.0</v>
      </c>
      <c r="E3637" s="28" t="s">
        <v>9800</v>
      </c>
      <c r="F3637" s="7" t="str">
        <f>IFERROR(__xludf.DUMMYFUNCTION("GOOGLETRANSLATE(B3637:B5064,""en"",""fr"")"),"fragile")</f>
        <v>fragile</v>
      </c>
    </row>
    <row r="3638" ht="19.5" customHeight="1">
      <c r="A3638" s="26" t="s">
        <v>9801</v>
      </c>
      <c r="B3638" s="27" t="s">
        <v>9802</v>
      </c>
      <c r="C3638" s="28" t="s">
        <v>134</v>
      </c>
      <c r="D3638" s="29">
        <v>58.0</v>
      </c>
      <c r="E3638" s="28" t="s">
        <v>9802</v>
      </c>
      <c r="F3638" s="7" t="str">
        <f>IFERROR(__xludf.DUMMYFUNCTION("GOOGLETRANSLATE(B3638:B5064,""en"",""fr"")"),"génétique")</f>
        <v>génétique</v>
      </c>
    </row>
    <row r="3639" ht="19.5" customHeight="1">
      <c r="A3639" s="26" t="s">
        <v>9803</v>
      </c>
      <c r="B3639" s="27" t="s">
        <v>9804</v>
      </c>
      <c r="C3639" s="28" t="s">
        <v>178</v>
      </c>
      <c r="D3639" s="29">
        <v>58.0</v>
      </c>
      <c r="E3639" s="28" t="s">
        <v>9805</v>
      </c>
      <c r="F3639" s="7" t="str">
        <f>IFERROR(__xludf.DUMMYFUNCTION("GOOGLETRANSLATE(B3639:B5064,""en"",""fr"")"),"longueur")</f>
        <v>longueur</v>
      </c>
    </row>
    <row r="3640" ht="19.5" customHeight="1">
      <c r="A3640" s="26" t="s">
        <v>9806</v>
      </c>
      <c r="B3640" s="27" t="s">
        <v>9807</v>
      </c>
      <c r="C3640" s="28" t="s">
        <v>178</v>
      </c>
      <c r="D3640" s="29">
        <v>58.0</v>
      </c>
      <c r="E3640" s="28" t="s">
        <v>9808</v>
      </c>
      <c r="F3640" s="7" t="str">
        <f>IFERROR(__xludf.DUMMYFUNCTION("GOOGLETRANSLATE(B3640:B5064,""en"",""fr"")"),"foudre")</f>
        <v>foudre</v>
      </c>
    </row>
    <row r="3641" ht="19.5" customHeight="1">
      <c r="A3641" s="26" t="s">
        <v>9809</v>
      </c>
      <c r="B3641" s="27" t="s">
        <v>2744</v>
      </c>
      <c r="C3641" s="28" t="s">
        <v>178</v>
      </c>
      <c r="D3641" s="29">
        <v>58.0</v>
      </c>
      <c r="E3641" s="28" t="s">
        <v>9810</v>
      </c>
      <c r="F3641" s="7" t="str">
        <f>IFERROR(__xludf.DUMMYFUNCTION("GOOGLETRANSLATE(B3641:B5064,""en"",""fr"")"),"la magie")</f>
        <v>la magie</v>
      </c>
    </row>
    <row r="3642" ht="19.5" customHeight="1">
      <c r="A3642" s="26" t="s">
        <v>9811</v>
      </c>
      <c r="B3642" s="27" t="s">
        <v>9812</v>
      </c>
      <c r="C3642" s="28" t="s">
        <v>134</v>
      </c>
      <c r="D3642" s="29">
        <v>58.0</v>
      </c>
      <c r="E3642" s="28" t="s">
        <v>9812</v>
      </c>
      <c r="F3642" s="7" t="str">
        <f>IFERROR(__xludf.DUMMYFUNCTION("GOOGLETRANSLATE(B3642:B5064,""en"",""fr"")"),"magnifique")</f>
        <v>magnifique</v>
      </c>
    </row>
    <row r="3643" ht="19.5" customHeight="1">
      <c r="A3643" s="26" t="s">
        <v>9813</v>
      </c>
      <c r="B3643" s="27" t="s">
        <v>9814</v>
      </c>
      <c r="C3643" s="28" t="s">
        <v>178</v>
      </c>
      <c r="D3643" s="29">
        <v>58.0</v>
      </c>
      <c r="E3643" s="28" t="s">
        <v>9814</v>
      </c>
      <c r="F3643" s="7" t="str">
        <f>IFERROR(__xludf.DUMMYFUNCTION("GOOGLETRANSLATE(B3643:B5064,""en"",""fr"")"),"humanité")</f>
        <v>humanité</v>
      </c>
    </row>
    <row r="3644" ht="19.5" customHeight="1">
      <c r="A3644" s="26" t="s">
        <v>9815</v>
      </c>
      <c r="B3644" s="27" t="s">
        <v>9816</v>
      </c>
      <c r="C3644" s="28" t="s">
        <v>178</v>
      </c>
      <c r="D3644" s="29">
        <v>58.0</v>
      </c>
      <c r="E3644" s="28" t="s">
        <v>9817</v>
      </c>
      <c r="F3644" s="7" t="str">
        <f>IFERROR(__xludf.DUMMYFUNCTION("GOOGLETRANSLATE(B3644:B5064,""en"",""fr"")"),"guimauve")</f>
        <v>guimauve</v>
      </c>
    </row>
    <row r="3645" ht="19.5" customHeight="1">
      <c r="A3645" s="26" t="s">
        <v>9818</v>
      </c>
      <c r="B3645" s="27" t="s">
        <v>9819</v>
      </c>
      <c r="C3645" s="28" t="s">
        <v>728</v>
      </c>
      <c r="D3645" s="29">
        <v>58.0</v>
      </c>
      <c r="E3645" s="28" t="s">
        <v>9820</v>
      </c>
      <c r="F3645" s="7" t="str">
        <f>IFERROR(__xludf.DUMMYFUNCTION("GOOGLETRANSLATE(B3645:B5064,""en"",""fr"")"),"Peut")</f>
        <v>Peut</v>
      </c>
    </row>
    <row r="3646" ht="19.5" customHeight="1">
      <c r="A3646" s="26" t="s">
        <v>9821</v>
      </c>
      <c r="B3646" s="27" t="s">
        <v>9822</v>
      </c>
      <c r="C3646" s="28" t="s">
        <v>178</v>
      </c>
      <c r="D3646" s="29">
        <v>58.0</v>
      </c>
      <c r="E3646" s="28" t="s">
        <v>9823</v>
      </c>
      <c r="F3646" s="7" t="str">
        <f>IFERROR(__xludf.DUMMYFUNCTION("GOOGLETRANSLATE(B3646:B5064,""en"",""fr"")"),"boulette de viande")</f>
        <v>boulette de viande</v>
      </c>
    </row>
    <row r="3647" ht="19.5" customHeight="1">
      <c r="A3647" s="26" t="s">
        <v>9824</v>
      </c>
      <c r="B3647" s="27" t="s">
        <v>9825</v>
      </c>
      <c r="C3647" s="28" t="s">
        <v>134</v>
      </c>
      <c r="D3647" s="29">
        <v>58.0</v>
      </c>
      <c r="E3647" s="28" t="s">
        <v>9826</v>
      </c>
      <c r="F3647" s="7" t="str">
        <f>IFERROR(__xludf.DUMMYFUNCTION("GOOGLETRANSLATE(B3647:B5064,""en"",""fr"")"),"désordonné")</f>
        <v>désordonné</v>
      </c>
    </row>
    <row r="3648" ht="19.5" customHeight="1">
      <c r="A3648" s="26" t="s">
        <v>9827</v>
      </c>
      <c r="B3648" s="27" t="s">
        <v>9828</v>
      </c>
      <c r="C3648" s="28" t="s">
        <v>178</v>
      </c>
      <c r="D3648" s="29">
        <v>58.0</v>
      </c>
      <c r="E3648" s="28" t="s">
        <v>9829</v>
      </c>
      <c r="F3648" s="7" t="str">
        <f>IFERROR(__xludf.DUMMYFUNCTION("GOOGLETRANSLATE(B3648:B5064,""en"",""fr"")"),"monter")</f>
        <v>monter</v>
      </c>
    </row>
    <row r="3649" ht="19.5" customHeight="1">
      <c r="A3649" s="26" t="s">
        <v>9830</v>
      </c>
      <c r="B3649" s="27" t="s">
        <v>9831</v>
      </c>
      <c r="C3649" s="28" t="s">
        <v>178</v>
      </c>
      <c r="D3649" s="29">
        <v>58.0</v>
      </c>
      <c r="E3649" s="28" t="s">
        <v>9832</v>
      </c>
      <c r="F3649" s="7" t="str">
        <f>IFERROR(__xludf.DUMMYFUNCTION("GOOGLETRANSLATE(B3649:B5064,""en"",""fr"")"),"marine")</f>
        <v>marine</v>
      </c>
    </row>
    <row r="3650" ht="19.5" customHeight="1">
      <c r="A3650" s="26" t="s">
        <v>9833</v>
      </c>
      <c r="B3650" s="27" t="s">
        <v>9834</v>
      </c>
      <c r="C3650" s="28" t="s">
        <v>32</v>
      </c>
      <c r="D3650" s="29">
        <v>58.0</v>
      </c>
      <c r="E3650" s="28" t="s">
        <v>9835</v>
      </c>
      <c r="F3650" s="7" t="str">
        <f>IFERROR(__xludf.DUMMYFUNCTION("GOOGLETRANSLATE(B3650:B5064,""en"",""fr"")"),"s'opposer")</f>
        <v>s'opposer</v>
      </c>
    </row>
    <row r="3651" ht="19.5" customHeight="1">
      <c r="A3651" s="26" t="s">
        <v>9836</v>
      </c>
      <c r="B3651" s="27" t="s">
        <v>9837</v>
      </c>
      <c r="C3651" s="28" t="s">
        <v>178</v>
      </c>
      <c r="D3651" s="29">
        <v>58.0</v>
      </c>
      <c r="E3651" s="28" t="s">
        <v>9838</v>
      </c>
      <c r="F3651" s="7" t="str">
        <f>IFERROR(__xludf.DUMMYFUNCTION("GOOGLETRANSLATE(B3651:B5064,""en"",""fr"")"),"passager")</f>
        <v>passager</v>
      </c>
    </row>
    <row r="3652" ht="19.5" customHeight="1">
      <c r="A3652" s="26" t="s">
        <v>9839</v>
      </c>
      <c r="B3652" s="27" t="s">
        <v>9840</v>
      </c>
      <c r="C3652" s="28" t="s">
        <v>178</v>
      </c>
      <c r="D3652" s="29">
        <v>58.0</v>
      </c>
      <c r="E3652" s="28" t="s">
        <v>9841</v>
      </c>
      <c r="F3652" s="7" t="str">
        <f>IFERROR(__xludf.DUMMYFUNCTION("GOOGLETRANSLATE(B3652:B5064,""en"",""fr"")"),"Cour de récréation")</f>
        <v>Cour de récréation</v>
      </c>
    </row>
    <row r="3653" ht="19.5" customHeight="1">
      <c r="A3653" s="26" t="s">
        <v>9842</v>
      </c>
      <c r="B3653" s="27" t="s">
        <v>9843</v>
      </c>
      <c r="C3653" s="28" t="s">
        <v>178</v>
      </c>
      <c r="D3653" s="29">
        <v>58.0</v>
      </c>
      <c r="E3653" s="28" t="s">
        <v>9844</v>
      </c>
      <c r="F3653" s="7" t="str">
        <f>IFERROR(__xludf.DUMMYFUNCTION("GOOGLETRANSLATE(B3653:B5064,""en"",""fr"")"),"possession")</f>
        <v>possession</v>
      </c>
    </row>
    <row r="3654" ht="19.5" customHeight="1">
      <c r="A3654" s="26" t="s">
        <v>9845</v>
      </c>
      <c r="B3654" s="27" t="s">
        <v>9846</v>
      </c>
      <c r="C3654" s="28" t="s">
        <v>178</v>
      </c>
      <c r="D3654" s="29">
        <v>58.0</v>
      </c>
      <c r="E3654" s="28" t="s">
        <v>9847</v>
      </c>
      <c r="F3654" s="7" t="str">
        <f>IFERROR(__xludf.DUMMYFUNCTION("GOOGLETRANSLATE(B3654:B5064,""en"",""fr"")"),"proposition")</f>
        <v>proposition</v>
      </c>
    </row>
    <row r="3655" ht="19.5" customHeight="1">
      <c r="A3655" s="26" t="s">
        <v>9848</v>
      </c>
      <c r="B3655" s="27" t="s">
        <v>9849</v>
      </c>
      <c r="C3655" s="28" t="s">
        <v>178</v>
      </c>
      <c r="D3655" s="29">
        <v>58.0</v>
      </c>
      <c r="E3655" s="28" t="s">
        <v>9850</v>
      </c>
      <c r="F3655" s="7" t="str">
        <f>IFERROR(__xludf.DUMMYFUNCTION("GOOGLETRANSLATE(B3655:B5064,""en"",""fr"")"),"psycho")</f>
        <v>psycho</v>
      </c>
    </row>
    <row r="3656" ht="19.5" customHeight="1">
      <c r="A3656" s="26" t="s">
        <v>9851</v>
      </c>
      <c r="B3656" s="27" t="s">
        <v>9852</v>
      </c>
      <c r="C3656" s="28" t="s">
        <v>178</v>
      </c>
      <c r="D3656" s="29">
        <v>58.0</v>
      </c>
      <c r="E3656" s="28" t="s">
        <v>9853</v>
      </c>
      <c r="F3656" s="7" t="str">
        <f>IFERROR(__xludf.DUMMYFUNCTION("GOOGLETRANSLATE(B3656:B5064,""en"",""fr"")"),"forêt tropicale")</f>
        <v>forêt tropicale</v>
      </c>
    </row>
    <row r="3657" ht="19.5" customHeight="1">
      <c r="A3657" s="26" t="s">
        <v>9854</v>
      </c>
      <c r="B3657" s="27" t="s">
        <v>9249</v>
      </c>
      <c r="C3657" s="28" t="s">
        <v>32</v>
      </c>
      <c r="D3657" s="29">
        <v>58.0</v>
      </c>
      <c r="E3657" s="28" t="s">
        <v>9855</v>
      </c>
      <c r="F3657" s="7" t="str">
        <f>IFERROR(__xludf.DUMMYFUNCTION("GOOGLETRANSLATE(B3657:B5064,""en"",""fr"")"),"rap")</f>
        <v>rap</v>
      </c>
    </row>
    <row r="3658" ht="19.5" customHeight="1">
      <c r="A3658" s="26" t="s">
        <v>9856</v>
      </c>
      <c r="B3658" s="27" t="s">
        <v>9857</v>
      </c>
      <c r="C3658" s="28" t="s">
        <v>178</v>
      </c>
      <c r="D3658" s="29">
        <v>58.0</v>
      </c>
      <c r="E3658" s="28" t="s">
        <v>9858</v>
      </c>
      <c r="F3658" s="7" t="str">
        <f>IFERROR(__xludf.DUMMYFUNCTION("GOOGLETRANSLATE(B3658:B5064,""en"",""fr"")"),"stéréotype")</f>
        <v>stéréotype</v>
      </c>
    </row>
    <row r="3659" ht="19.5" customHeight="1">
      <c r="A3659" s="26" t="s">
        <v>9859</v>
      </c>
      <c r="B3659" s="27" t="s">
        <v>7282</v>
      </c>
      <c r="C3659" s="28" t="s">
        <v>134</v>
      </c>
      <c r="D3659" s="29">
        <v>58.0</v>
      </c>
      <c r="E3659" s="28" t="s">
        <v>7282</v>
      </c>
      <c r="F3659" s="7" t="str">
        <f>IFERROR(__xludf.DUMMYFUNCTION("GOOGLETRANSLATE(B3659:B5064,""en"",""fr"")"),"soudain")</f>
        <v>soudain</v>
      </c>
    </row>
    <row r="3660" ht="19.5" customHeight="1">
      <c r="A3660" s="26" t="s">
        <v>9860</v>
      </c>
      <c r="B3660" s="27" t="s">
        <v>9861</v>
      </c>
      <c r="C3660" s="28" t="s">
        <v>178</v>
      </c>
      <c r="D3660" s="29">
        <v>58.0</v>
      </c>
      <c r="E3660" s="28" t="s">
        <v>9861</v>
      </c>
      <c r="F3660" s="7" t="str">
        <f>IFERROR(__xludf.DUMMYFUNCTION("GOOGLETRANSLATE(B3660:B5064,""en"",""fr"")"),"des lunettes de soleil")</f>
        <v>des lunettes de soleil</v>
      </c>
    </row>
    <row r="3661" ht="19.5" customHeight="1">
      <c r="A3661" s="26" t="s">
        <v>9862</v>
      </c>
      <c r="B3661" s="27" t="s">
        <v>9863</v>
      </c>
      <c r="C3661" s="28" t="s">
        <v>178</v>
      </c>
      <c r="D3661" s="29">
        <v>58.0</v>
      </c>
      <c r="E3661" s="28" t="s">
        <v>9864</v>
      </c>
      <c r="F3661" s="7" t="str">
        <f>IFERROR(__xludf.DUMMYFUNCTION("GOOGLETRANSLATE(B3661:B5064,""en"",""fr"")"),"temp")</f>
        <v>temp</v>
      </c>
    </row>
    <row r="3662" ht="19.5" customHeight="1">
      <c r="A3662" s="26" t="s">
        <v>9865</v>
      </c>
      <c r="B3662" s="27" t="s">
        <v>9866</v>
      </c>
      <c r="C3662" s="28" t="s">
        <v>36</v>
      </c>
      <c r="D3662" s="29">
        <v>58.0</v>
      </c>
      <c r="E3662" s="28" t="s">
        <v>9866</v>
      </c>
      <c r="F3662" s="7" t="str">
        <f>IFERROR(__xludf.DUMMYFUNCTION("GOOGLETRANSLATE(B3662:B5064,""en"",""fr"")"),"tu")</f>
        <v>tu</v>
      </c>
    </row>
    <row r="3663" ht="19.5" customHeight="1">
      <c r="A3663" s="26" t="s">
        <v>9867</v>
      </c>
      <c r="B3663" s="27" t="s">
        <v>9868</v>
      </c>
      <c r="C3663" s="28" t="s">
        <v>178</v>
      </c>
      <c r="D3663" s="29">
        <v>58.0</v>
      </c>
      <c r="E3663" s="28" t="s">
        <v>9869</v>
      </c>
      <c r="F3663" s="7" t="str">
        <f>IFERROR(__xludf.DUMMYFUNCTION("GOOGLETRANSLATE(B3663:B5064,""en"",""fr"")"),"urinoir")</f>
        <v>urinoir</v>
      </c>
    </row>
    <row r="3664" ht="19.5" customHeight="1">
      <c r="A3664" s="26" t="s">
        <v>9870</v>
      </c>
      <c r="B3664" s="27" t="s">
        <v>9871</v>
      </c>
      <c r="C3664" s="28" t="s">
        <v>85</v>
      </c>
      <c r="D3664" s="29">
        <v>58.0</v>
      </c>
      <c r="E3664" s="28" t="s">
        <v>9871</v>
      </c>
      <c r="F3664" s="7" t="str">
        <f>IFERROR(__xludf.DUMMYFUNCTION("GOOGLETRANSLATE(B3664:B5064,""en"",""fr"")"),"wah")</f>
        <v>wah</v>
      </c>
    </row>
    <row r="3665" ht="19.5" customHeight="1">
      <c r="A3665" s="26" t="s">
        <v>9872</v>
      </c>
      <c r="B3665" s="27" t="s">
        <v>9873</v>
      </c>
      <c r="C3665" s="28" t="s">
        <v>728</v>
      </c>
      <c r="D3665" s="29">
        <v>58.0</v>
      </c>
      <c r="E3665" s="28" t="s">
        <v>9874</v>
      </c>
      <c r="F3665" s="7" t="str">
        <f>IFERROR(__xludf.DUMMYFUNCTION("GOOGLETRANSLATE(B3665:B5064,""en"",""fr"")"),"Républicain")</f>
        <v>Républicain</v>
      </c>
    </row>
    <row r="3666" ht="19.5" customHeight="1">
      <c r="A3666" s="26" t="s">
        <v>9875</v>
      </c>
      <c r="B3666" s="27" t="s">
        <v>9876</v>
      </c>
      <c r="C3666" s="28" t="s">
        <v>32</v>
      </c>
      <c r="D3666" s="29">
        <v>57.0</v>
      </c>
      <c r="E3666" s="28" t="s">
        <v>9877</v>
      </c>
      <c r="F3666" s="7" t="str">
        <f>IFERROR(__xludf.DUMMYFUNCTION("GOOGLETRANSLATE(B3666:B5064,""en"",""fr"")"),"abus")</f>
        <v>abus</v>
      </c>
    </row>
    <row r="3667" ht="19.5" customHeight="1">
      <c r="A3667" s="26" t="s">
        <v>9878</v>
      </c>
      <c r="B3667" s="27" t="s">
        <v>9879</v>
      </c>
      <c r="C3667" s="28" t="s">
        <v>32</v>
      </c>
      <c r="D3667" s="29">
        <v>57.0</v>
      </c>
      <c r="E3667" s="28" t="s">
        <v>9880</v>
      </c>
      <c r="F3667" s="7" t="str">
        <f>IFERROR(__xludf.DUMMYFUNCTION("GOOGLETRANSLATE(B3667:B5064,""en"",""fr"")"),"ajuster")</f>
        <v>ajuster</v>
      </c>
    </row>
    <row r="3668" ht="19.5" customHeight="1">
      <c r="A3668" s="26" t="s">
        <v>9881</v>
      </c>
      <c r="B3668" s="27" t="s">
        <v>9882</v>
      </c>
      <c r="C3668" s="28" t="s">
        <v>178</v>
      </c>
      <c r="D3668" s="29">
        <v>57.0</v>
      </c>
      <c r="E3668" s="28" t="s">
        <v>9883</v>
      </c>
      <c r="F3668" s="7" t="str">
        <f>IFERROR(__xludf.DUMMYFUNCTION("GOOGLETRANSLATE(B3668:B5064,""en"",""fr"")"),"approbation")</f>
        <v>approbation</v>
      </c>
    </row>
    <row r="3669" ht="19.5" customHeight="1">
      <c r="A3669" s="26" t="s">
        <v>9884</v>
      </c>
      <c r="B3669" s="27" t="s">
        <v>9885</v>
      </c>
      <c r="C3669" s="28" t="s">
        <v>178</v>
      </c>
      <c r="D3669" s="29">
        <v>57.0</v>
      </c>
      <c r="E3669" s="28" t="s">
        <v>9886</v>
      </c>
      <c r="F3669" s="7" t="str">
        <f>IFERROR(__xludf.DUMMYFUNCTION("GOOGLETRANSLATE(B3669:B5064,""en"",""fr"")"),"certificat")</f>
        <v>certificat</v>
      </c>
    </row>
    <row r="3670" ht="19.5" customHeight="1">
      <c r="A3670" s="26" t="s">
        <v>9887</v>
      </c>
      <c r="B3670" s="27" t="s">
        <v>4126</v>
      </c>
      <c r="C3670" s="28" t="s">
        <v>32</v>
      </c>
      <c r="D3670" s="29">
        <v>57.0</v>
      </c>
      <c r="E3670" s="28" t="s">
        <v>9888</v>
      </c>
      <c r="F3670" s="7" t="str">
        <f>IFERROR(__xludf.DUMMYFUNCTION("GOOGLETRANSLATE(B3670:B5064,""en"",""fr"")"),"entraîneur")</f>
        <v>entraîneur</v>
      </c>
    </row>
    <row r="3671" ht="19.5" customHeight="1">
      <c r="A3671" s="26" t="s">
        <v>9889</v>
      </c>
      <c r="B3671" s="27" t="s">
        <v>9890</v>
      </c>
      <c r="C3671" s="28" t="s">
        <v>134</v>
      </c>
      <c r="D3671" s="29">
        <v>57.0</v>
      </c>
      <c r="E3671" s="28" t="s">
        <v>9890</v>
      </c>
      <c r="F3671" s="7" t="str">
        <f>IFERROR(__xludf.DUMMYFUNCTION("GOOGLETRANSLATE(B3671:B5064,""en"",""fr"")"),"complexe")</f>
        <v>complexe</v>
      </c>
    </row>
    <row r="3672" ht="19.5" customHeight="1">
      <c r="A3672" s="26" t="s">
        <v>9891</v>
      </c>
      <c r="B3672" s="27" t="s">
        <v>9892</v>
      </c>
      <c r="C3672" s="28" t="s">
        <v>178</v>
      </c>
      <c r="D3672" s="29">
        <v>57.0</v>
      </c>
      <c r="E3672" s="28" t="s">
        <v>9893</v>
      </c>
      <c r="F3672" s="7" t="str">
        <f>IFERROR(__xludf.DUMMYFUNCTION("GOOGLETRANSLATE(B3672:B5064,""en"",""fr"")"),"concurrent")</f>
        <v>concurrent</v>
      </c>
    </row>
    <row r="3673" ht="19.5" customHeight="1">
      <c r="A3673" s="26" t="s">
        <v>9894</v>
      </c>
      <c r="B3673" s="27" t="s">
        <v>1401</v>
      </c>
      <c r="C3673" s="28" t="s">
        <v>178</v>
      </c>
      <c r="D3673" s="29">
        <v>57.0</v>
      </c>
      <c r="E3673" s="28" t="s">
        <v>9895</v>
      </c>
      <c r="F3673" s="7" t="str">
        <f>IFERROR(__xludf.DUMMYFUNCTION("GOOGLETRANSLATE(B3673:B5064,""en"",""fr"")"),"baisse")</f>
        <v>baisse</v>
      </c>
    </row>
    <row r="3674" ht="19.5" customHeight="1">
      <c r="A3674" s="26" t="s">
        <v>9896</v>
      </c>
      <c r="B3674" s="27" t="s">
        <v>9897</v>
      </c>
      <c r="C3674" s="28" t="s">
        <v>178</v>
      </c>
      <c r="D3674" s="29">
        <v>57.0</v>
      </c>
      <c r="E3674" s="28" t="s">
        <v>9898</v>
      </c>
      <c r="F3674" s="7" t="str">
        <f>IFERROR(__xludf.DUMMYFUNCTION("GOOGLETRANSLATE(B3674:B5064,""en"",""fr"")"),"ère")</f>
        <v>ère</v>
      </c>
    </row>
    <row r="3675" ht="19.5" customHeight="1">
      <c r="A3675" s="26" t="s">
        <v>9899</v>
      </c>
      <c r="B3675" s="27" t="s">
        <v>9900</v>
      </c>
      <c r="C3675" s="28" t="s">
        <v>178</v>
      </c>
      <c r="D3675" s="29">
        <v>57.0</v>
      </c>
      <c r="E3675" s="28" t="s">
        <v>9901</v>
      </c>
      <c r="F3675" s="7" t="str">
        <f>IFERROR(__xludf.DUMMYFUNCTION("GOOGLETRANSLATE(B3675:B5064,""en"",""fr"")"),"exposition")</f>
        <v>exposition</v>
      </c>
    </row>
    <row r="3676" ht="19.5" customHeight="1">
      <c r="A3676" s="26" t="s">
        <v>9902</v>
      </c>
      <c r="B3676" s="27" t="s">
        <v>9903</v>
      </c>
      <c r="C3676" s="28" t="s">
        <v>178</v>
      </c>
      <c r="D3676" s="29">
        <v>57.0</v>
      </c>
      <c r="E3676" s="28" t="s">
        <v>9903</v>
      </c>
      <c r="F3676" s="7" t="str">
        <f>IFERROR(__xludf.DUMMYFUNCTION("GOOGLETRANSLATE(B3676:B5064,""en"",""fr"")"),"notoriété")</f>
        <v>notoriété</v>
      </c>
    </row>
    <row r="3677" ht="19.5" customHeight="1">
      <c r="A3677" s="26" t="s">
        <v>9904</v>
      </c>
      <c r="B3677" s="27" t="s">
        <v>9905</v>
      </c>
      <c r="C3677" s="28" t="s">
        <v>178</v>
      </c>
      <c r="D3677" s="29">
        <v>57.0</v>
      </c>
      <c r="E3677" s="28" t="s">
        <v>9906</v>
      </c>
      <c r="F3677" s="7" t="str">
        <f>IFERROR(__xludf.DUMMYFUNCTION("GOOGLETRANSLATE(B3677:B5064,""en"",""fr"")"),"gène")</f>
        <v>gène</v>
      </c>
    </row>
    <row r="3678" ht="19.5" customHeight="1">
      <c r="A3678" s="26" t="s">
        <v>9907</v>
      </c>
      <c r="B3678" s="27" t="s">
        <v>9908</v>
      </c>
      <c r="C3678" s="28" t="s">
        <v>32</v>
      </c>
      <c r="D3678" s="29">
        <v>57.0</v>
      </c>
      <c r="E3678" s="28" t="s">
        <v>9909</v>
      </c>
      <c r="F3678" s="7" t="str">
        <f>IFERROR(__xludf.DUMMYFUNCTION("GOOGLETRANSLATE(B3678:B5064,""en"",""fr"")"),"houblon")</f>
        <v>houblon</v>
      </c>
    </row>
    <row r="3679" ht="19.5" customHeight="1">
      <c r="A3679" s="26" t="s">
        <v>9910</v>
      </c>
      <c r="B3679" s="27" t="s">
        <v>9911</v>
      </c>
      <c r="C3679" s="28" t="s">
        <v>134</v>
      </c>
      <c r="D3679" s="29">
        <v>57.0</v>
      </c>
      <c r="E3679" s="28" t="s">
        <v>9911</v>
      </c>
      <c r="F3679" s="7" t="str">
        <f>IFERROR(__xludf.DUMMYFUNCTION("GOOGLETRANSLATE(B3679:B5064,""en"",""fr"")"),"invisible")</f>
        <v>invisible</v>
      </c>
    </row>
    <row r="3680" ht="19.5" customHeight="1">
      <c r="A3680" s="26" t="s">
        <v>9912</v>
      </c>
      <c r="B3680" s="27" t="s">
        <v>9913</v>
      </c>
      <c r="C3680" s="28" t="s">
        <v>178</v>
      </c>
      <c r="D3680" s="29">
        <v>57.0</v>
      </c>
      <c r="E3680" s="28" t="s">
        <v>9914</v>
      </c>
      <c r="F3680" s="7" t="str">
        <f>IFERROR(__xludf.DUMMYFUNCTION("GOOGLETRANSLATE(B3680:B5064,""en"",""fr"")"),"chaton")</f>
        <v>chaton</v>
      </c>
    </row>
    <row r="3681" ht="19.5" customHeight="1">
      <c r="A3681" s="26" t="s">
        <v>9915</v>
      </c>
      <c r="B3681" s="27" t="s">
        <v>9916</v>
      </c>
      <c r="C3681" s="28" t="s">
        <v>178</v>
      </c>
      <c r="D3681" s="29">
        <v>57.0</v>
      </c>
      <c r="E3681" s="28" t="s">
        <v>9917</v>
      </c>
      <c r="F3681" s="7" t="str">
        <f>IFERROR(__xludf.DUMMYFUNCTION("GOOGLETRANSLATE(B3681:B5064,""en"",""fr"")"),"ordinateur portable")</f>
        <v>ordinateur portable</v>
      </c>
    </row>
    <row r="3682" ht="19.5" customHeight="1">
      <c r="A3682" s="26" t="s">
        <v>9918</v>
      </c>
      <c r="B3682" s="27" t="s">
        <v>9919</v>
      </c>
      <c r="C3682" s="28" t="s">
        <v>178</v>
      </c>
      <c r="D3682" s="29">
        <v>57.0</v>
      </c>
      <c r="E3682" s="28" t="s">
        <v>9920</v>
      </c>
      <c r="F3682" s="7" t="str">
        <f>IFERROR(__xludf.DUMMYFUNCTION("GOOGLETRANSLATE(B3682:B5064,""en"",""fr"")"),"maniaque")</f>
        <v>maniaque</v>
      </c>
    </row>
    <row r="3683" ht="19.5" customHeight="1">
      <c r="A3683" s="26" t="s">
        <v>9921</v>
      </c>
      <c r="B3683" s="27" t="s">
        <v>9922</v>
      </c>
      <c r="C3683" s="28" t="s">
        <v>178</v>
      </c>
      <c r="D3683" s="29">
        <v>57.0</v>
      </c>
      <c r="E3683" s="28" t="s">
        <v>9923</v>
      </c>
      <c r="F3683" s="7" t="str">
        <f>IFERROR(__xludf.DUMMYFUNCTION("GOOGLETRANSLATE(B3683:B5064,""en"",""fr"")"),"mythe")</f>
        <v>mythe</v>
      </c>
    </row>
    <row r="3684" ht="19.5" customHeight="1">
      <c r="A3684" s="26" t="s">
        <v>9924</v>
      </c>
      <c r="B3684" s="27" t="s">
        <v>9925</v>
      </c>
      <c r="C3684" s="28" t="s">
        <v>178</v>
      </c>
      <c r="D3684" s="29">
        <v>57.0</v>
      </c>
      <c r="E3684" s="28" t="s">
        <v>9926</v>
      </c>
      <c r="F3684" s="7" t="str">
        <f>IFERROR(__xludf.DUMMYFUNCTION("GOOGLETRANSLATE(B3684:B5064,""en"",""fr"")"),"aiguille")</f>
        <v>aiguille</v>
      </c>
    </row>
    <row r="3685" ht="19.5" customHeight="1">
      <c r="A3685" s="26" t="s">
        <v>9927</v>
      </c>
      <c r="B3685" s="27" t="s">
        <v>6993</v>
      </c>
      <c r="C3685" s="28" t="s">
        <v>32</v>
      </c>
      <c r="D3685" s="29">
        <v>57.0</v>
      </c>
      <c r="E3685" s="28" t="s">
        <v>9928</v>
      </c>
      <c r="F3685" s="7" t="str">
        <f>IFERROR(__xludf.DUMMYFUNCTION("GOOGLETRANSLATE(B3685:B5064,""en"",""fr"")"),"correctif")</f>
        <v>correctif</v>
      </c>
    </row>
    <row r="3686" ht="19.5" customHeight="1">
      <c r="A3686" s="26" t="s">
        <v>9929</v>
      </c>
      <c r="B3686" s="27" t="s">
        <v>9930</v>
      </c>
      <c r="C3686" s="28" t="s">
        <v>134</v>
      </c>
      <c r="D3686" s="29">
        <v>57.0</v>
      </c>
      <c r="E3686" s="28" t="s">
        <v>9930</v>
      </c>
      <c r="F3686" s="7" t="str">
        <f>IFERROR(__xludf.DUMMYFUNCTION("GOOGLETRANSLATE(B3686:B5064,""en"",""fr"")"),"prime")</f>
        <v>prime</v>
      </c>
    </row>
    <row r="3687" ht="19.5" customHeight="1">
      <c r="A3687" s="26" t="s">
        <v>9931</v>
      </c>
      <c r="B3687" s="27" t="s">
        <v>9932</v>
      </c>
      <c r="C3687" s="28" t="s">
        <v>32</v>
      </c>
      <c r="D3687" s="29">
        <v>57.0</v>
      </c>
      <c r="E3687" s="28" t="s">
        <v>9933</v>
      </c>
      <c r="F3687" s="7" t="str">
        <f>IFERROR(__xludf.DUMMYFUNCTION("GOOGLETRANSLATE(B3687:B5064,""en"",""fr"")"),"dégueuler")</f>
        <v>dégueuler</v>
      </c>
    </row>
    <row r="3688" ht="19.5" customHeight="1">
      <c r="A3688" s="26" t="s">
        <v>9934</v>
      </c>
      <c r="B3688" s="27" t="s">
        <v>9935</v>
      </c>
      <c r="C3688" s="28" t="s">
        <v>178</v>
      </c>
      <c r="D3688" s="29">
        <v>57.0</v>
      </c>
      <c r="E3688" s="28" t="s">
        <v>9936</v>
      </c>
      <c r="F3688" s="7" t="str">
        <f>IFERROR(__xludf.DUMMYFUNCTION("GOOGLETRANSLATE(B3688:B5064,""en"",""fr"")"),"notation")</f>
        <v>notation</v>
      </c>
    </row>
    <row r="3689" ht="19.5" customHeight="1">
      <c r="A3689" s="26" t="s">
        <v>9937</v>
      </c>
      <c r="B3689" s="27" t="s">
        <v>9938</v>
      </c>
      <c r="C3689" s="28" t="s">
        <v>32</v>
      </c>
      <c r="D3689" s="29">
        <v>57.0</v>
      </c>
      <c r="E3689" s="28" t="s">
        <v>9939</v>
      </c>
      <c r="F3689" s="7" t="str">
        <f>IFERROR(__xludf.DUMMYFUNCTION("GOOGLETRANSLATE(B3689:B5064,""en"",""fr"")"),"réserve")</f>
        <v>réserve</v>
      </c>
    </row>
    <row r="3690" ht="19.5" customHeight="1">
      <c r="A3690" s="26" t="s">
        <v>9940</v>
      </c>
      <c r="B3690" s="27" t="s">
        <v>9651</v>
      </c>
      <c r="C3690" s="28" t="s">
        <v>178</v>
      </c>
      <c r="D3690" s="29">
        <v>57.0</v>
      </c>
      <c r="E3690" s="28" t="s">
        <v>9941</v>
      </c>
      <c r="F3690" s="7" t="str">
        <f>IFERROR(__xludf.DUMMYFUNCTION("GOOGLETRANSLATE(B3690:B5064,""en"",""fr"")"),"racine")</f>
        <v>racine</v>
      </c>
    </row>
    <row r="3691" ht="19.5" customHeight="1">
      <c r="A3691" s="26" t="s">
        <v>9942</v>
      </c>
      <c r="B3691" s="27" t="s">
        <v>4147</v>
      </c>
      <c r="C3691" s="28" t="s">
        <v>134</v>
      </c>
      <c r="D3691" s="29">
        <v>57.0</v>
      </c>
      <c r="E3691" s="28" t="s">
        <v>9943</v>
      </c>
      <c r="F3691" s="7" t="str">
        <f>IFERROR(__xludf.DUMMYFUNCTION("GOOGLETRANSLATE(B3691:B5064,""en"",""fr"")"),"rond")</f>
        <v>rond</v>
      </c>
    </row>
    <row r="3692" ht="19.5" customHeight="1">
      <c r="A3692" s="26" t="s">
        <v>9944</v>
      </c>
      <c r="B3692" s="27" t="s">
        <v>9945</v>
      </c>
      <c r="C3692" s="28" t="s">
        <v>134</v>
      </c>
      <c r="D3692" s="29">
        <v>57.0</v>
      </c>
      <c r="E3692" s="28" t="s">
        <v>9945</v>
      </c>
      <c r="F3692" s="7" t="str">
        <f>IFERROR(__xludf.DUMMYFUNCTION("GOOGLETRANSLATE(B3692:B5064,""en"",""fr"")"),"sarcastique")</f>
        <v>sarcastique</v>
      </c>
    </row>
    <row r="3693" ht="19.5" customHeight="1">
      <c r="A3693" s="26" t="s">
        <v>9946</v>
      </c>
      <c r="B3693" s="27" t="s">
        <v>9947</v>
      </c>
      <c r="C3693" s="28" t="s">
        <v>178</v>
      </c>
      <c r="D3693" s="29">
        <v>57.0</v>
      </c>
      <c r="E3693" s="28" t="s">
        <v>9948</v>
      </c>
      <c r="F3693" s="7" t="str">
        <f>IFERROR(__xludf.DUMMYFUNCTION("GOOGLETRANSLATE(B3693:B5064,""en"",""fr"")"),"étagère")</f>
        <v>étagère</v>
      </c>
    </row>
    <row r="3694" ht="19.5" customHeight="1">
      <c r="A3694" s="26" t="s">
        <v>9949</v>
      </c>
      <c r="B3694" s="27" t="s">
        <v>9950</v>
      </c>
      <c r="C3694" s="28" t="s">
        <v>178</v>
      </c>
      <c r="D3694" s="29">
        <v>57.0</v>
      </c>
      <c r="E3694" s="28" t="s">
        <v>9951</v>
      </c>
      <c r="F3694" s="7" t="str">
        <f>IFERROR(__xludf.DUMMYFUNCTION("GOOGLETRANSLATE(B3694:B5064,""en"",""fr"")"),"squelette")</f>
        <v>squelette</v>
      </c>
    </row>
    <row r="3695" ht="19.5" customHeight="1">
      <c r="A3695" s="26" t="s">
        <v>9952</v>
      </c>
      <c r="B3695" s="27" t="s">
        <v>9953</v>
      </c>
      <c r="C3695" s="28" t="s">
        <v>32</v>
      </c>
      <c r="D3695" s="29">
        <v>57.0</v>
      </c>
      <c r="E3695" s="28" t="s">
        <v>9954</v>
      </c>
      <c r="F3695" s="7" t="str">
        <f>IFERROR(__xludf.DUMMYFUNCTION("GOOGLETRANSLATE(B3695:B5064,""en"",""fr"")"),"soumettre")</f>
        <v>soumettre</v>
      </c>
    </row>
    <row r="3696" ht="19.5" customHeight="1">
      <c r="A3696" s="26" t="s">
        <v>9955</v>
      </c>
      <c r="B3696" s="27" t="s">
        <v>9956</v>
      </c>
      <c r="C3696" s="28" t="s">
        <v>178</v>
      </c>
      <c r="D3696" s="29">
        <v>57.0</v>
      </c>
      <c r="E3696" s="28" t="s">
        <v>9957</v>
      </c>
      <c r="F3696" s="7" t="str">
        <f>IFERROR(__xludf.DUMMYFUNCTION("GOOGLETRANSLATE(B3696:B5064,""en"",""fr"")"),"superviseur")</f>
        <v>superviseur</v>
      </c>
    </row>
    <row r="3697" ht="19.5" customHeight="1">
      <c r="A3697" s="26" t="s">
        <v>9958</v>
      </c>
      <c r="B3697" s="27" t="s">
        <v>9959</v>
      </c>
      <c r="C3697" s="28" t="s">
        <v>178</v>
      </c>
      <c r="D3697" s="29">
        <v>57.0</v>
      </c>
      <c r="E3697" s="28" t="s">
        <v>9960</v>
      </c>
      <c r="F3697" s="7" t="str">
        <f>IFERROR(__xludf.DUMMYFUNCTION("GOOGLETRANSLATE(B3697:B5064,""en"",""fr"")"),"symptôme")</f>
        <v>symptôme</v>
      </c>
    </row>
    <row r="3698" ht="19.5" customHeight="1">
      <c r="A3698" s="26" t="s">
        <v>9961</v>
      </c>
      <c r="B3698" s="27" t="s">
        <v>9962</v>
      </c>
      <c r="C3698" s="28" t="s">
        <v>178</v>
      </c>
      <c r="D3698" s="29">
        <v>57.0</v>
      </c>
      <c r="E3698" s="28" t="s">
        <v>9963</v>
      </c>
      <c r="F3698" s="7" t="str">
        <f>IFERROR(__xludf.DUMMYFUNCTION("GOOGLETRANSLATE(B3698:B5064,""en"",""fr"")"),"virus")</f>
        <v>virus</v>
      </c>
    </row>
    <row r="3699" ht="19.5" customHeight="1">
      <c r="A3699" s="26" t="s">
        <v>9964</v>
      </c>
      <c r="B3699" s="27" t="s">
        <v>9965</v>
      </c>
      <c r="C3699" s="28" t="s">
        <v>178</v>
      </c>
      <c r="D3699" s="29">
        <v>57.0</v>
      </c>
      <c r="E3699" s="28" t="s">
        <v>9966</v>
      </c>
      <c r="F3699" s="7" t="str">
        <f>IFERROR(__xludf.DUMMYFUNCTION("GOOGLETRANSLATE(B3699:B5064,""en"",""fr"")"),"faiblesse")</f>
        <v>faiblesse</v>
      </c>
    </row>
    <row r="3700" ht="19.5" customHeight="1">
      <c r="A3700" s="26" t="s">
        <v>9967</v>
      </c>
      <c r="B3700" s="27" t="s">
        <v>9968</v>
      </c>
      <c r="C3700" s="28" t="s">
        <v>178</v>
      </c>
      <c r="D3700" s="29">
        <v>57.0</v>
      </c>
      <c r="E3700" s="28" t="s">
        <v>9969</v>
      </c>
      <c r="F3700" s="7" t="str">
        <f>IFERROR(__xludf.DUMMYFUNCTION("GOOGLETRANSLATE(B3700:B5064,""en"",""fr"")"),"baril")</f>
        <v>baril</v>
      </c>
    </row>
    <row r="3701" ht="19.5" customHeight="1">
      <c r="A3701" s="26" t="s">
        <v>9970</v>
      </c>
      <c r="B3701" s="27" t="s">
        <v>9971</v>
      </c>
      <c r="C3701" s="28" t="s">
        <v>178</v>
      </c>
      <c r="D3701" s="29">
        <v>56.0</v>
      </c>
      <c r="E3701" s="28" t="s">
        <v>9972</v>
      </c>
      <c r="F3701" s="7" t="str">
        <f>IFERROR(__xludf.DUMMYFUNCTION("GOOGLETRANSLATE(B3701:B5064,""en"",""fr"")"),"applaudissements")</f>
        <v>applaudissements</v>
      </c>
    </row>
    <row r="3702" ht="19.5" customHeight="1">
      <c r="A3702" s="26" t="s">
        <v>9973</v>
      </c>
      <c r="B3702" s="27" t="s">
        <v>9108</v>
      </c>
      <c r="C3702" s="28" t="s">
        <v>134</v>
      </c>
      <c r="D3702" s="29">
        <v>56.0</v>
      </c>
      <c r="E3702" s="28" t="s">
        <v>9108</v>
      </c>
      <c r="F3702" s="7" t="str">
        <f>IFERROR(__xludf.DUMMYFUNCTION("GOOGLETRANSLATE(B3702:B5064,""en"",""fr"")"),"moyenne")</f>
        <v>moyenne</v>
      </c>
    </row>
    <row r="3703" ht="19.5" customHeight="1">
      <c r="A3703" s="26" t="s">
        <v>9974</v>
      </c>
      <c r="B3703" s="27" t="s">
        <v>9975</v>
      </c>
      <c r="C3703" s="28" t="s">
        <v>32</v>
      </c>
      <c r="D3703" s="29">
        <v>56.0</v>
      </c>
      <c r="E3703" s="28" t="s">
        <v>9976</v>
      </c>
      <c r="F3703" s="7" t="str">
        <f>IFERROR(__xludf.DUMMYFUNCTION("GOOGLETRANSLATE(B3703:B5064,""en"",""fr"")"),"bouillir")</f>
        <v>bouillir</v>
      </c>
    </row>
    <row r="3704" ht="19.5" customHeight="1">
      <c r="A3704" s="26" t="s">
        <v>9977</v>
      </c>
      <c r="B3704" s="27" t="s">
        <v>9978</v>
      </c>
      <c r="C3704" s="28" t="s">
        <v>32</v>
      </c>
      <c r="D3704" s="29">
        <v>56.0</v>
      </c>
      <c r="E3704" s="28" t="s">
        <v>9979</v>
      </c>
      <c r="F3704" s="7" t="str">
        <f>IFERROR(__xludf.DUMMYFUNCTION("GOOGLETRANSLATE(B3704:B5064,""en"",""fr"")"),"se vanter")</f>
        <v>se vanter</v>
      </c>
    </row>
    <row r="3705" ht="19.5" customHeight="1">
      <c r="A3705" s="26" t="s">
        <v>9980</v>
      </c>
      <c r="B3705" s="27" t="s">
        <v>9981</v>
      </c>
      <c r="C3705" s="28" t="s">
        <v>32</v>
      </c>
      <c r="D3705" s="29">
        <v>56.0</v>
      </c>
      <c r="E3705" s="28" t="s">
        <v>9982</v>
      </c>
      <c r="F3705" s="7" t="str">
        <f>IFERROR(__xludf.DUMMYFUNCTION("GOOGLETRANSLATE(B3705:B5064,""en"",""fr"")"),"Boucle")</f>
        <v>Boucle</v>
      </c>
    </row>
    <row r="3706" ht="19.5" customHeight="1">
      <c r="A3706" s="26" t="s">
        <v>9983</v>
      </c>
      <c r="B3706" s="27" t="s">
        <v>9984</v>
      </c>
      <c r="C3706" s="28" t="s">
        <v>178</v>
      </c>
      <c r="D3706" s="29">
        <v>56.0</v>
      </c>
      <c r="E3706" s="28" t="s">
        <v>9985</v>
      </c>
      <c r="F3706" s="7" t="str">
        <f>IFERROR(__xludf.DUMMYFUNCTION("GOOGLETRANSLATE(B3706:B5064,""en"",""fr"")"),"cambrioleur")</f>
        <v>cambrioleur</v>
      </c>
    </row>
    <row r="3707" ht="19.5" customHeight="1">
      <c r="A3707" s="26" t="s">
        <v>9986</v>
      </c>
      <c r="B3707" s="27" t="s">
        <v>9987</v>
      </c>
      <c r="C3707" s="28" t="s">
        <v>178</v>
      </c>
      <c r="D3707" s="29">
        <v>56.0</v>
      </c>
      <c r="E3707" s="28" t="s">
        <v>9988</v>
      </c>
      <c r="F3707" s="7" t="str">
        <f>IFERROR(__xludf.DUMMYFUNCTION("GOOGLETRANSLATE(B3707:B5064,""en"",""fr"")"),"votre interlocuteur")</f>
        <v>votre interlocuteur</v>
      </c>
    </row>
    <row r="3708" ht="19.5" customHeight="1">
      <c r="A3708" s="26" t="s">
        <v>9989</v>
      </c>
      <c r="B3708" s="27" t="s">
        <v>9990</v>
      </c>
      <c r="C3708" s="28" t="s">
        <v>178</v>
      </c>
      <c r="D3708" s="29">
        <v>56.0</v>
      </c>
      <c r="E3708" s="28" t="s">
        <v>9991</v>
      </c>
      <c r="F3708" s="7" t="str">
        <f>IFERROR(__xludf.DUMMYFUNCTION("GOOGLETRANSLATE(B3708:B5064,""en"",""fr"")"),"carton")</f>
        <v>carton</v>
      </c>
    </row>
    <row r="3709" ht="19.5" customHeight="1">
      <c r="A3709" s="26" t="s">
        <v>9992</v>
      </c>
      <c r="B3709" s="27" t="s">
        <v>3090</v>
      </c>
      <c r="C3709" s="28" t="s">
        <v>32</v>
      </c>
      <c r="D3709" s="29">
        <v>56.0</v>
      </c>
      <c r="E3709" s="28" t="s">
        <v>9993</v>
      </c>
      <c r="F3709" s="7" t="str">
        <f>IFERROR(__xludf.DUMMYFUNCTION("GOOGLETRANSLATE(B3709:B5064,""en"",""fr"")"),"couleur")</f>
        <v>couleur</v>
      </c>
    </row>
    <row r="3710" ht="19.5" customHeight="1">
      <c r="A3710" s="26" t="s">
        <v>9994</v>
      </c>
      <c r="B3710" s="27" t="s">
        <v>9995</v>
      </c>
      <c r="C3710" s="28" t="s">
        <v>178</v>
      </c>
      <c r="D3710" s="29">
        <v>56.0</v>
      </c>
      <c r="E3710" s="28" t="s">
        <v>9996</v>
      </c>
      <c r="F3710" s="7" t="str">
        <f>IFERROR(__xludf.DUMMYFUNCTION("GOOGLETRANSLATE(B3710:B5064,""en"",""fr"")"),"âne")</f>
        <v>âne</v>
      </c>
    </row>
    <row r="3711" ht="19.5" customHeight="1">
      <c r="A3711" s="26" t="s">
        <v>9997</v>
      </c>
      <c r="B3711" s="27" t="s">
        <v>9998</v>
      </c>
      <c r="C3711" s="28" t="s">
        <v>134</v>
      </c>
      <c r="D3711" s="29">
        <v>56.0</v>
      </c>
      <c r="E3711" s="28" t="s">
        <v>9998</v>
      </c>
      <c r="F3711" s="7" t="str">
        <f>IFERROR(__xludf.DUMMYFUNCTION("GOOGLETRANSLATE(B3711:B5064,""en"",""fr"")"),"environnement")</f>
        <v>environnement</v>
      </c>
    </row>
    <row r="3712" ht="19.5" customHeight="1">
      <c r="A3712" s="26" t="s">
        <v>9999</v>
      </c>
      <c r="B3712" s="27" t="s">
        <v>10000</v>
      </c>
      <c r="C3712" s="28" t="s">
        <v>134</v>
      </c>
      <c r="D3712" s="29">
        <v>56.0</v>
      </c>
      <c r="E3712" s="28" t="s">
        <v>10000</v>
      </c>
      <c r="F3712" s="7" t="str">
        <f>IFERROR(__xludf.DUMMYFUNCTION("GOOGLETRANSLATE(B3712:B5064,""en"",""fr"")"),"égal")</f>
        <v>égal</v>
      </c>
    </row>
    <row r="3713" ht="19.5" customHeight="1">
      <c r="A3713" s="26" t="s">
        <v>10001</v>
      </c>
      <c r="B3713" s="27" t="s">
        <v>10002</v>
      </c>
      <c r="C3713" s="28" t="s">
        <v>32</v>
      </c>
      <c r="D3713" s="29">
        <v>56.0</v>
      </c>
      <c r="E3713" s="28" t="s">
        <v>10003</v>
      </c>
      <c r="F3713" s="7" t="str">
        <f>IFERROR(__xludf.DUMMYFUNCTION("GOOGLETRANSLATE(B3713:B5064,""en"",""fr"")"),"développer")</f>
        <v>développer</v>
      </c>
    </row>
    <row r="3714" ht="19.5" customHeight="1">
      <c r="A3714" s="26" t="s">
        <v>10004</v>
      </c>
      <c r="B3714" s="27" t="s">
        <v>10005</v>
      </c>
      <c r="C3714" s="28" t="s">
        <v>178</v>
      </c>
      <c r="D3714" s="29">
        <v>56.0</v>
      </c>
      <c r="E3714" s="28" t="s">
        <v>10006</v>
      </c>
      <c r="F3714" s="7" t="str">
        <f>IFERROR(__xludf.DUMMYFUNCTION("GOOGLETRANSLATE(B3714:B5064,""en"",""fr"")"),"grippe")</f>
        <v>grippe</v>
      </c>
    </row>
    <row r="3715" ht="19.5" customHeight="1">
      <c r="A3715" s="26" t="s">
        <v>10007</v>
      </c>
      <c r="B3715" s="27" t="s">
        <v>10008</v>
      </c>
      <c r="C3715" s="28" t="s">
        <v>178</v>
      </c>
      <c r="D3715" s="29">
        <v>56.0</v>
      </c>
      <c r="E3715" s="28" t="s">
        <v>10009</v>
      </c>
      <c r="F3715" s="7" t="str">
        <f>IFERROR(__xludf.DUMMYFUNCTION("GOOGLETRANSLATE(B3715:B5064,""en"",""fr"")"),"front")</f>
        <v>front</v>
      </c>
    </row>
    <row r="3716" ht="19.5" customHeight="1">
      <c r="A3716" s="26" t="s">
        <v>10010</v>
      </c>
      <c r="B3716" s="27" t="s">
        <v>10011</v>
      </c>
      <c r="C3716" s="28" t="s">
        <v>32</v>
      </c>
      <c r="D3716" s="29">
        <v>56.0</v>
      </c>
      <c r="E3716" s="28" t="s">
        <v>10012</v>
      </c>
      <c r="F3716" s="7" t="str">
        <f>IFERROR(__xludf.DUMMYFUNCTION("GOOGLETRANSLATE(B3716:B5064,""en"",""fr"")"),"saluer")</f>
        <v>saluer</v>
      </c>
    </row>
    <row r="3717" ht="19.5" customHeight="1">
      <c r="A3717" s="26" t="s">
        <v>10013</v>
      </c>
      <c r="B3717" s="27" t="s">
        <v>10014</v>
      </c>
      <c r="C3717" s="28" t="s">
        <v>178</v>
      </c>
      <c r="D3717" s="29">
        <v>56.0</v>
      </c>
      <c r="E3717" s="28" t="s">
        <v>10015</v>
      </c>
      <c r="F3717" s="7" t="str">
        <f>IFERROR(__xludf.DUMMYFUNCTION("GOOGLETRANSLATE(B3717:B5064,""en"",""fr"")"),"maladie")</f>
        <v>maladie</v>
      </c>
    </row>
    <row r="3718" ht="19.5" customHeight="1">
      <c r="A3718" s="26" t="s">
        <v>10016</v>
      </c>
      <c r="B3718" s="27" t="s">
        <v>10017</v>
      </c>
      <c r="C3718" s="28" t="s">
        <v>32</v>
      </c>
      <c r="D3718" s="29">
        <v>56.0</v>
      </c>
      <c r="E3718" s="28" t="s">
        <v>10018</v>
      </c>
      <c r="F3718" s="7" t="str">
        <f>IFERROR(__xludf.DUMMYFUNCTION("GOOGLETRANSLATE(B3718:B5064,""en"",""fr"")"),"blesser")</f>
        <v>blesser</v>
      </c>
    </row>
    <row r="3719" ht="19.5" customHeight="1">
      <c r="A3719" s="26" t="s">
        <v>10019</v>
      </c>
      <c r="B3719" s="27" t="s">
        <v>10020</v>
      </c>
      <c r="C3719" s="28" t="s">
        <v>178</v>
      </c>
      <c r="D3719" s="29">
        <v>56.0</v>
      </c>
      <c r="E3719" s="28" t="s">
        <v>10021</v>
      </c>
      <c r="F3719" s="7" t="str">
        <f>IFERROR(__xludf.DUMMYFUNCTION("GOOGLETRANSLATE(B3719:B5064,""en"",""fr"")"),"mode de vie")</f>
        <v>mode de vie</v>
      </c>
    </row>
    <row r="3720" ht="19.5" customHeight="1">
      <c r="A3720" s="26" t="s">
        <v>10022</v>
      </c>
      <c r="B3720" s="27" t="s">
        <v>10023</v>
      </c>
      <c r="C3720" s="28" t="s">
        <v>178</v>
      </c>
      <c r="D3720" s="29">
        <v>56.0</v>
      </c>
      <c r="E3720" s="28" t="s">
        <v>10024</v>
      </c>
      <c r="F3720" s="7" t="str">
        <f>IFERROR(__xludf.DUMMYFUNCTION("GOOGLETRANSLATE(B3720:B5064,""en"",""fr"")"),"objection")</f>
        <v>objection</v>
      </c>
    </row>
    <row r="3721" ht="19.5" customHeight="1">
      <c r="A3721" s="26" t="s">
        <v>10025</v>
      </c>
      <c r="B3721" s="27" t="s">
        <v>10026</v>
      </c>
      <c r="C3721" s="28" t="s">
        <v>178</v>
      </c>
      <c r="D3721" s="29">
        <v>56.0</v>
      </c>
      <c r="E3721" s="28" t="s">
        <v>10027</v>
      </c>
      <c r="F3721" s="7" t="str">
        <f>IFERROR(__xludf.DUMMYFUNCTION("GOOGLETRANSLATE(B3721:B5064,""en"",""fr"")"),"outrage")</f>
        <v>outrage</v>
      </c>
    </row>
    <row r="3722" ht="19.5" customHeight="1">
      <c r="A3722" s="26" t="s">
        <v>10028</v>
      </c>
      <c r="B3722" s="27" t="s">
        <v>10029</v>
      </c>
      <c r="C3722" s="28" t="s">
        <v>178</v>
      </c>
      <c r="D3722" s="29">
        <v>56.0</v>
      </c>
      <c r="E3722" s="28" t="s">
        <v>10030</v>
      </c>
      <c r="F3722" s="7" t="str">
        <f>IFERROR(__xludf.DUMMYFUNCTION("GOOGLETRANSLATE(B3722:B5064,""en"",""fr"")"),"Pâtes")</f>
        <v>Pâtes</v>
      </c>
    </row>
    <row r="3723" ht="19.5" customHeight="1">
      <c r="A3723" s="26" t="s">
        <v>10031</v>
      </c>
      <c r="B3723" s="27" t="s">
        <v>10032</v>
      </c>
      <c r="C3723" s="28" t="s">
        <v>134</v>
      </c>
      <c r="D3723" s="29">
        <v>56.0</v>
      </c>
      <c r="E3723" s="28" t="s">
        <v>10032</v>
      </c>
      <c r="F3723" s="7" t="str">
        <f>IFERROR(__xludf.DUMMYFUNCTION("GOOGLETRANSLATE(B3723:B5064,""en"",""fr"")"),"pratique")</f>
        <v>pratique</v>
      </c>
    </row>
    <row r="3724" ht="19.5" customHeight="1">
      <c r="A3724" s="26" t="s">
        <v>10033</v>
      </c>
      <c r="B3724" s="27" t="s">
        <v>10034</v>
      </c>
      <c r="C3724" s="28" t="s">
        <v>178</v>
      </c>
      <c r="D3724" s="29">
        <v>56.0</v>
      </c>
      <c r="E3724" s="28" t="s">
        <v>10035</v>
      </c>
      <c r="F3724" s="7" t="str">
        <f>IFERROR(__xludf.DUMMYFUNCTION("GOOGLETRANSLATE(B3724:B5064,""en"",""fr"")"),"récréation")</f>
        <v>récréation</v>
      </c>
    </row>
    <row r="3725" ht="19.5" customHeight="1">
      <c r="A3725" s="26" t="s">
        <v>10036</v>
      </c>
      <c r="B3725" s="27" t="s">
        <v>10037</v>
      </c>
      <c r="C3725" s="28" t="s">
        <v>32</v>
      </c>
      <c r="D3725" s="29">
        <v>56.0</v>
      </c>
      <c r="E3725" s="28" t="s">
        <v>10038</v>
      </c>
      <c r="F3725" s="7" t="str">
        <f>IFERROR(__xludf.DUMMYFUNCTION("GOOGLETRANSLATE(B3725:B5064,""en"",""fr"")"),"recycler")</f>
        <v>recycler</v>
      </c>
    </row>
    <row r="3726" ht="19.5" customHeight="1">
      <c r="A3726" s="26" t="s">
        <v>10039</v>
      </c>
      <c r="B3726" s="27" t="s">
        <v>10040</v>
      </c>
      <c r="C3726" s="28" t="s">
        <v>32</v>
      </c>
      <c r="D3726" s="29">
        <v>56.0</v>
      </c>
      <c r="E3726" s="28" t="s">
        <v>10041</v>
      </c>
      <c r="F3726" s="7" t="str">
        <f>IFERROR(__xludf.DUMMYFUNCTION("GOOGLETRANSLATE(B3726:B5064,""en"",""fr"")"),"répéter")</f>
        <v>répéter</v>
      </c>
    </row>
    <row r="3727" ht="19.5" customHeight="1">
      <c r="A3727" s="26" t="s">
        <v>10042</v>
      </c>
      <c r="B3727" s="27" t="s">
        <v>10043</v>
      </c>
      <c r="C3727" s="28" t="s">
        <v>178</v>
      </c>
      <c r="D3727" s="29">
        <v>56.0</v>
      </c>
      <c r="E3727" s="28" t="s">
        <v>10044</v>
      </c>
      <c r="F3727" s="7" t="str">
        <f>IFERROR(__xludf.DUMMYFUNCTION("GOOGLETRANSLATE(B3727:B5064,""en"",""fr"")"),"rôti")</f>
        <v>rôti</v>
      </c>
    </row>
    <row r="3728" ht="19.5" customHeight="1">
      <c r="A3728" s="26" t="s">
        <v>10045</v>
      </c>
      <c r="B3728" s="27" t="s">
        <v>10046</v>
      </c>
      <c r="C3728" s="28" t="s">
        <v>178</v>
      </c>
      <c r="D3728" s="29">
        <v>56.0</v>
      </c>
      <c r="E3728" s="28" t="s">
        <v>10047</v>
      </c>
      <c r="F3728" s="7" t="str">
        <f>IFERROR(__xludf.DUMMYFUNCTION("GOOGLETRANSLATE(B3728:B5064,""en"",""fr"")"),"salsa")</f>
        <v>salsa</v>
      </c>
    </row>
    <row r="3729" ht="19.5" customHeight="1">
      <c r="A3729" s="26" t="s">
        <v>10048</v>
      </c>
      <c r="B3729" s="27" t="s">
        <v>10049</v>
      </c>
      <c r="C3729" s="28" t="s">
        <v>150</v>
      </c>
      <c r="D3729" s="29">
        <v>56.0</v>
      </c>
      <c r="E3729" s="28" t="s">
        <v>10049</v>
      </c>
      <c r="F3729" s="7" t="str">
        <f>IFERROR(__xludf.DUMMYFUNCTION("GOOGLETRANSLATE(B3729:B5064,""en"",""fr"")"),"soixante-quinze")</f>
        <v>soixante-quinze</v>
      </c>
    </row>
    <row r="3730" ht="19.5" customHeight="1">
      <c r="A3730" s="26" t="s">
        <v>10050</v>
      </c>
      <c r="B3730" s="27" t="s">
        <v>2045</v>
      </c>
      <c r="C3730" s="28" t="s">
        <v>32</v>
      </c>
      <c r="D3730" s="29">
        <v>56.0</v>
      </c>
      <c r="E3730" s="28" t="s">
        <v>10051</v>
      </c>
      <c r="F3730" s="7" t="str">
        <f>IFERROR(__xludf.DUMMYFUNCTION("GOOGLETRANSLATE(B3730:B5064,""en"",""fr"")"),"merde")</f>
        <v>merde</v>
      </c>
    </row>
    <row r="3731" ht="19.5" customHeight="1">
      <c r="A3731" s="26" t="s">
        <v>10052</v>
      </c>
      <c r="B3731" s="27" t="s">
        <v>10053</v>
      </c>
      <c r="C3731" s="28" t="s">
        <v>32</v>
      </c>
      <c r="D3731" s="29">
        <v>56.0</v>
      </c>
      <c r="E3731" s="28" t="s">
        <v>10054</v>
      </c>
      <c r="F3731" s="7" t="str">
        <f>IFERROR(__xludf.DUMMYFUNCTION("GOOGLETRANSLATE(B3731:B5064,""en"",""fr"")"),"déchiqueter")</f>
        <v>déchiqueter</v>
      </c>
    </row>
    <row r="3732" ht="19.5" customHeight="1">
      <c r="A3732" s="26" t="s">
        <v>10055</v>
      </c>
      <c r="B3732" s="27" t="s">
        <v>10056</v>
      </c>
      <c r="C3732" s="28" t="s">
        <v>134</v>
      </c>
      <c r="D3732" s="29">
        <v>56.0</v>
      </c>
      <c r="E3732" s="28" t="s">
        <v>10057</v>
      </c>
      <c r="F3732" s="7" t="str">
        <f>IFERROR(__xludf.DUMMYFUNCTION("GOOGLETRANSLATE(B3732:B5064,""en"",""fr"")"),"négligent")</f>
        <v>négligent</v>
      </c>
    </row>
    <row r="3733" ht="19.5" customHeight="1">
      <c r="A3733" s="26" t="s">
        <v>10058</v>
      </c>
      <c r="B3733" s="27" t="s">
        <v>10059</v>
      </c>
      <c r="C3733" s="28" t="s">
        <v>100</v>
      </c>
      <c r="D3733" s="29">
        <v>56.0</v>
      </c>
      <c r="E3733" s="28" t="s">
        <v>10059</v>
      </c>
      <c r="F3733" s="7" t="str">
        <f>IFERROR(__xludf.DUMMYFUNCTION("GOOGLETRANSLATE(B3733:B5064,""en"",""fr"")"),"quelque peu")</f>
        <v>quelque peu</v>
      </c>
    </row>
    <row r="3734" ht="19.5" customHeight="1">
      <c r="A3734" s="26" t="s">
        <v>10060</v>
      </c>
      <c r="B3734" s="27" t="s">
        <v>9270</v>
      </c>
      <c r="C3734" s="28" t="s">
        <v>178</v>
      </c>
      <c r="D3734" s="29">
        <v>56.0</v>
      </c>
      <c r="E3734" s="28" t="s">
        <v>10061</v>
      </c>
      <c r="F3734" s="7" t="str">
        <f>IFERROR(__xludf.DUMMYFUNCTION("GOOGLETRANSLATE(B3734:B5064,""en"",""fr"")"),"vaporisateur")</f>
        <v>vaporisateur</v>
      </c>
    </row>
    <row r="3735" ht="19.5" customHeight="1">
      <c r="A3735" s="26" t="s">
        <v>10062</v>
      </c>
      <c r="B3735" s="27" t="s">
        <v>10063</v>
      </c>
      <c r="C3735" s="28" t="s">
        <v>178</v>
      </c>
      <c r="D3735" s="29">
        <v>56.0</v>
      </c>
      <c r="E3735" s="28" t="s">
        <v>10064</v>
      </c>
      <c r="F3735" s="7" t="str">
        <f>IFERROR(__xludf.DUMMYFUNCTION("GOOGLETRANSLATE(B3735:B5064,""en"",""fr"")"),"valise")</f>
        <v>valise</v>
      </c>
    </row>
    <row r="3736" ht="19.5" customHeight="1">
      <c r="A3736" s="26" t="s">
        <v>10065</v>
      </c>
      <c r="B3736" s="27" t="s">
        <v>181</v>
      </c>
      <c r="C3736" s="28" t="s">
        <v>178</v>
      </c>
      <c r="D3736" s="29">
        <v>56.0</v>
      </c>
      <c r="E3736" s="28" t="s">
        <v>10066</v>
      </c>
      <c r="F3736" s="7" t="str">
        <f>IFERROR(__xludf.DUMMYFUNCTION("GOOGLETRANSLATE(B3736:B5064,""en"",""fr"")"),"prendre")</f>
        <v>prendre</v>
      </c>
    </row>
    <row r="3737" ht="19.5" customHeight="1">
      <c r="A3737" s="26" t="s">
        <v>10067</v>
      </c>
      <c r="B3737" s="27" t="s">
        <v>10068</v>
      </c>
      <c r="C3737" s="28" t="s">
        <v>134</v>
      </c>
      <c r="D3737" s="29">
        <v>56.0</v>
      </c>
      <c r="E3737" s="28" t="s">
        <v>10069</v>
      </c>
      <c r="F3737" s="7" t="str">
        <f>IFERROR(__xludf.DUMMYFUNCTION("GOOGLETRANSLATE(B3737:B5064,""en"",""fr"")"),"tendu")</f>
        <v>tendu</v>
      </c>
    </row>
    <row r="3738" ht="19.5" customHeight="1">
      <c r="A3738" s="26" t="s">
        <v>10070</v>
      </c>
      <c r="B3738" s="27" t="s">
        <v>10071</v>
      </c>
      <c r="C3738" s="28" t="s">
        <v>178</v>
      </c>
      <c r="D3738" s="29">
        <v>56.0</v>
      </c>
      <c r="E3738" s="28" t="s">
        <v>10072</v>
      </c>
      <c r="F3738" s="7" t="str">
        <f>IFERROR(__xludf.DUMMYFUNCTION("GOOGLETRANSLATE(B3738:B5064,""en"",""fr"")"),"vallée")</f>
        <v>vallée</v>
      </c>
    </row>
    <row r="3739" ht="19.5" customHeight="1">
      <c r="A3739" s="26" t="s">
        <v>10073</v>
      </c>
      <c r="B3739" s="27" t="s">
        <v>10074</v>
      </c>
      <c r="C3739" s="28" t="s">
        <v>178</v>
      </c>
      <c r="D3739" s="29">
        <v>56.0</v>
      </c>
      <c r="E3739" s="28" t="s">
        <v>10075</v>
      </c>
      <c r="F3739" s="7" t="str">
        <f>IFERROR(__xludf.DUMMYFUNCTION("GOOGLETRANSLATE(B3739:B5064,""en"",""fr"")"),"la toile")</f>
        <v>la toile</v>
      </c>
    </row>
    <row r="3740" ht="19.5" customHeight="1">
      <c r="A3740" s="26" t="s">
        <v>10076</v>
      </c>
      <c r="B3740" s="27" t="s">
        <v>10077</v>
      </c>
      <c r="C3740" s="28" t="s">
        <v>178</v>
      </c>
      <c r="D3740" s="29">
        <v>56.0</v>
      </c>
      <c r="E3740" s="28" t="s">
        <v>10078</v>
      </c>
      <c r="F3740" s="7" t="str">
        <f>IFERROR(__xludf.DUMMYFUNCTION("GOOGLETRANSLATE(B3740:B5064,""en"",""fr"")"),"entrée")</f>
        <v>entrée</v>
      </c>
    </row>
    <row r="3741" ht="19.5" customHeight="1">
      <c r="A3741" s="26" t="s">
        <v>10079</v>
      </c>
      <c r="B3741" s="27" t="s">
        <v>10080</v>
      </c>
      <c r="C3741" s="28" t="s">
        <v>178</v>
      </c>
      <c r="D3741" s="29">
        <v>55.0</v>
      </c>
      <c r="E3741" s="28" t="s">
        <v>10081</v>
      </c>
      <c r="F3741" s="7" t="str">
        <f>IFERROR(__xludf.DUMMYFUNCTION("GOOGLETRANSLATE(B3741:B5064,""en"",""fr"")"),"appétit")</f>
        <v>appétit</v>
      </c>
    </row>
    <row r="3742" ht="19.5" customHeight="1">
      <c r="A3742" s="26" t="s">
        <v>10082</v>
      </c>
      <c r="B3742" s="27" t="s">
        <v>10083</v>
      </c>
      <c r="C3742" s="28" t="s">
        <v>178</v>
      </c>
      <c r="D3742" s="29">
        <v>55.0</v>
      </c>
      <c r="E3742" s="28" t="s">
        <v>10084</v>
      </c>
      <c r="F3742" s="7" t="str">
        <f>IFERROR(__xludf.DUMMYFUNCTION("GOOGLETRANSLATE(B3742:B5064,""en"",""fr"")"),"association")</f>
        <v>association</v>
      </c>
    </row>
    <row r="3743" ht="19.5" customHeight="1">
      <c r="A3743" s="26" t="s">
        <v>10085</v>
      </c>
      <c r="B3743" s="27" t="s">
        <v>10086</v>
      </c>
      <c r="C3743" s="28" t="s">
        <v>178</v>
      </c>
      <c r="D3743" s="29">
        <v>55.0</v>
      </c>
      <c r="E3743" s="28" t="s">
        <v>10087</v>
      </c>
      <c r="F3743" s="7" t="str">
        <f>IFERROR(__xludf.DUMMYFUNCTION("GOOGLETRANSLATE(B3743:B5064,""en"",""fr"")"),"avocat")</f>
        <v>avocat</v>
      </c>
    </row>
    <row r="3744" ht="19.5" customHeight="1">
      <c r="A3744" s="26" t="s">
        <v>10088</v>
      </c>
      <c r="B3744" s="27" t="s">
        <v>10089</v>
      </c>
      <c r="C3744" s="28" t="s">
        <v>178</v>
      </c>
      <c r="D3744" s="29">
        <v>55.0</v>
      </c>
      <c r="E3744" s="28" t="s">
        <v>10090</v>
      </c>
      <c r="F3744" s="7" t="str">
        <f>IFERROR(__xludf.DUMMYFUNCTION("GOOGLETRANSLATE(B3744:B5064,""en"",""fr"")"),"bikini")</f>
        <v>bikini</v>
      </c>
    </row>
    <row r="3745" ht="19.5" customHeight="1">
      <c r="A3745" s="26" t="s">
        <v>10091</v>
      </c>
      <c r="B3745" s="27" t="s">
        <v>10092</v>
      </c>
      <c r="C3745" s="28" t="s">
        <v>178</v>
      </c>
      <c r="D3745" s="29">
        <v>55.0</v>
      </c>
      <c r="E3745" s="28" t="s">
        <v>10093</v>
      </c>
      <c r="F3745" s="7" t="str">
        <f>IFERROR(__xludf.DUMMYFUNCTION("GOOGLETRANSLATE(B3745:B5064,""en"",""fr"")"),"chignon")</f>
        <v>chignon</v>
      </c>
    </row>
    <row r="3746" ht="19.5" customHeight="1">
      <c r="A3746" s="26" t="s">
        <v>10094</v>
      </c>
      <c r="B3746" s="27" t="s">
        <v>10095</v>
      </c>
      <c r="C3746" s="28" t="s">
        <v>178</v>
      </c>
      <c r="D3746" s="29">
        <v>55.0</v>
      </c>
      <c r="E3746" s="28" t="s">
        <v>10096</v>
      </c>
      <c r="F3746" s="7" t="str">
        <f>IFERROR(__xludf.DUMMYFUNCTION("GOOGLETRANSLATE(B3746:B5064,""en"",""fr"")"),"club-house")</f>
        <v>club-house</v>
      </c>
    </row>
    <row r="3747" ht="19.5" customHeight="1">
      <c r="A3747" s="26" t="s">
        <v>10097</v>
      </c>
      <c r="B3747" s="27" t="s">
        <v>10098</v>
      </c>
      <c r="C3747" s="28" t="s">
        <v>32</v>
      </c>
      <c r="D3747" s="29">
        <v>55.0</v>
      </c>
      <c r="E3747" s="28" t="s">
        <v>10099</v>
      </c>
      <c r="F3747" s="7" t="str">
        <f>IFERROR(__xludf.DUMMYFUNCTION("GOOGLETRANSLATE(B3747:B5064,""en"",""fr"")"),"affronter")</f>
        <v>affronter</v>
      </c>
    </row>
    <row r="3748" ht="19.5" customHeight="1">
      <c r="A3748" s="26" t="s">
        <v>10100</v>
      </c>
      <c r="B3748" s="27" t="s">
        <v>10101</v>
      </c>
      <c r="C3748" s="28" t="s">
        <v>32</v>
      </c>
      <c r="D3748" s="29">
        <v>55.0</v>
      </c>
      <c r="E3748" s="28" t="s">
        <v>10102</v>
      </c>
      <c r="F3748" s="7" t="str">
        <f>IFERROR(__xludf.DUMMYFUNCTION("GOOGLETRANSLATE(B3748:B5064,""en"",""fr"")"),"contribuer")</f>
        <v>contribuer</v>
      </c>
    </row>
    <row r="3749" ht="19.5" customHeight="1">
      <c r="A3749" s="26" t="s">
        <v>10103</v>
      </c>
      <c r="B3749" s="27" t="s">
        <v>10104</v>
      </c>
      <c r="C3749" s="28" t="s">
        <v>178</v>
      </c>
      <c r="D3749" s="29">
        <v>55.0</v>
      </c>
      <c r="E3749" s="28" t="s">
        <v>10105</v>
      </c>
      <c r="F3749" s="7" t="str">
        <f>IFERROR(__xludf.DUMMYFUNCTION("GOOGLETRANSLATE(B3749:B5064,""en"",""fr"")"),"critique")</f>
        <v>critique</v>
      </c>
    </row>
    <row r="3750" ht="19.5" customHeight="1">
      <c r="A3750" s="26" t="s">
        <v>10106</v>
      </c>
      <c r="B3750" s="27" t="s">
        <v>10107</v>
      </c>
      <c r="C3750" s="28" t="s">
        <v>134</v>
      </c>
      <c r="D3750" s="29">
        <v>55.0</v>
      </c>
      <c r="E3750" s="28" t="s">
        <v>10107</v>
      </c>
      <c r="F3750" s="7" t="str">
        <f>IFERROR(__xludf.DUMMYFUNCTION("GOOGLETRANSLATE(B3750:B5064,""en"",""fr"")"),"déprimant")</f>
        <v>déprimant</v>
      </c>
    </row>
    <row r="3751" ht="19.5" customHeight="1">
      <c r="A3751" s="26" t="s">
        <v>10108</v>
      </c>
      <c r="B3751" s="27" t="s">
        <v>10109</v>
      </c>
      <c r="C3751" s="28" t="s">
        <v>178</v>
      </c>
      <c r="D3751" s="29">
        <v>55.0</v>
      </c>
      <c r="E3751" s="28" t="s">
        <v>10110</v>
      </c>
      <c r="F3751" s="7" t="str">
        <f>IFERROR(__xludf.DUMMYFUNCTION("GOOGLETRANSLATE(B3751:B5064,""en"",""fr"")"),"dîme")</f>
        <v>dîme</v>
      </c>
    </row>
    <row r="3752" ht="19.5" customHeight="1">
      <c r="A3752" s="26" t="s">
        <v>10111</v>
      </c>
      <c r="B3752" s="27" t="s">
        <v>10112</v>
      </c>
      <c r="C3752" s="28" t="s">
        <v>178</v>
      </c>
      <c r="D3752" s="29">
        <v>55.0</v>
      </c>
      <c r="E3752" s="28" t="s">
        <v>10113</v>
      </c>
      <c r="F3752" s="7" t="str">
        <f>IFERROR(__xludf.DUMMYFUNCTION("GOOGLETRANSLATE(B3752:B5064,""en"",""fr"")"),"Découverte")</f>
        <v>Découverte</v>
      </c>
    </row>
    <row r="3753" ht="19.5" customHeight="1">
      <c r="A3753" s="26" t="s">
        <v>10114</v>
      </c>
      <c r="B3753" s="27" t="s">
        <v>10115</v>
      </c>
      <c r="C3753" s="28" t="s">
        <v>134</v>
      </c>
      <c r="D3753" s="29">
        <v>55.0</v>
      </c>
      <c r="E3753" s="28" t="s">
        <v>10115</v>
      </c>
      <c r="F3753" s="7" t="str">
        <f>IFERROR(__xludf.DUMMYFUNCTION("GOOGLETRANSLATE(B3753:B5064,""en"",""fr"")"),"efficace")</f>
        <v>efficace</v>
      </c>
    </row>
    <row r="3754" ht="19.5" customHeight="1">
      <c r="A3754" s="26" t="s">
        <v>10116</v>
      </c>
      <c r="B3754" s="27" t="s">
        <v>10117</v>
      </c>
      <c r="C3754" s="28" t="s">
        <v>178</v>
      </c>
      <c r="D3754" s="29">
        <v>55.0</v>
      </c>
      <c r="E3754" s="28" t="s">
        <v>10118</v>
      </c>
      <c r="F3754" s="7" t="str">
        <f>IFERROR(__xludf.DUMMYFUNCTION("GOOGLETRANSLATE(B3754:B5064,""en"",""fr"")"),"excitation")</f>
        <v>excitation</v>
      </c>
    </row>
    <row r="3755" ht="19.5" customHeight="1">
      <c r="A3755" s="26" t="s">
        <v>10119</v>
      </c>
      <c r="B3755" s="27" t="s">
        <v>10120</v>
      </c>
      <c r="C3755" s="28" t="s">
        <v>178</v>
      </c>
      <c r="D3755" s="29">
        <v>55.0</v>
      </c>
      <c r="E3755" s="28" t="s">
        <v>10121</v>
      </c>
      <c r="F3755" s="7" t="str">
        <f>IFERROR(__xludf.DUMMYFUNCTION("GOOGLETRANSLATE(B3755:B5064,""en"",""fr"")"),"attente")</f>
        <v>attente</v>
      </c>
    </row>
    <row r="3756" ht="19.5" customHeight="1">
      <c r="A3756" s="26" t="s">
        <v>10122</v>
      </c>
      <c r="B3756" s="27" t="s">
        <v>10123</v>
      </c>
      <c r="C3756" s="28" t="s">
        <v>178</v>
      </c>
      <c r="D3756" s="29">
        <v>55.0</v>
      </c>
      <c r="E3756" s="28" t="s">
        <v>10124</v>
      </c>
      <c r="F3756" s="7" t="str">
        <f>IFERROR(__xludf.DUMMYFUNCTION("GOOGLETRANSLATE(B3756:B5064,""en"",""fr"")"),"sourcil")</f>
        <v>sourcil</v>
      </c>
    </row>
    <row r="3757" ht="19.5" customHeight="1">
      <c r="A3757" s="26" t="s">
        <v>10125</v>
      </c>
      <c r="B3757" s="27" t="s">
        <v>10126</v>
      </c>
      <c r="C3757" s="28" t="s">
        <v>134</v>
      </c>
      <c r="D3757" s="29">
        <v>55.0</v>
      </c>
      <c r="E3757" s="28" t="s">
        <v>10127</v>
      </c>
      <c r="F3757" s="7" t="str">
        <f>IFERROR(__xludf.DUMMYFUNCTION("GOOGLETRANSLATE(B3757:B5064,""en"",""fr"")"),"duveteux")</f>
        <v>duveteux</v>
      </c>
    </row>
    <row r="3758" ht="19.5" customHeight="1">
      <c r="A3758" s="26" t="s">
        <v>10128</v>
      </c>
      <c r="B3758" s="27" t="s">
        <v>10129</v>
      </c>
      <c r="C3758" s="28" t="s">
        <v>178</v>
      </c>
      <c r="D3758" s="29">
        <v>55.0</v>
      </c>
      <c r="E3758" s="28" t="s">
        <v>10130</v>
      </c>
      <c r="F3758" s="7" t="str">
        <f>IFERROR(__xludf.DUMMYFUNCTION("GOOGLETRANSLATE(B3758:B5064,""en"",""fr"")"),"mal de tête")</f>
        <v>mal de tête</v>
      </c>
    </row>
    <row r="3759" ht="19.5" customHeight="1">
      <c r="A3759" s="26" t="s">
        <v>10131</v>
      </c>
      <c r="B3759" s="27" t="s">
        <v>10132</v>
      </c>
      <c r="C3759" s="28" t="s">
        <v>134</v>
      </c>
      <c r="D3759" s="29">
        <v>55.0</v>
      </c>
      <c r="E3759" s="28" t="s">
        <v>10132</v>
      </c>
      <c r="F3759" s="7" t="str">
        <f>IFERROR(__xludf.DUMMYFUNCTION("GOOGLETRANSLATE(B3759:B5064,""en"",""fr"")"),"indépendant")</f>
        <v>indépendant</v>
      </c>
    </row>
    <row r="3760" ht="19.5" customHeight="1">
      <c r="A3760" s="26" t="s">
        <v>10133</v>
      </c>
      <c r="B3760" s="27" t="s">
        <v>10134</v>
      </c>
      <c r="C3760" s="28" t="s">
        <v>178</v>
      </c>
      <c r="D3760" s="29">
        <v>55.0</v>
      </c>
      <c r="E3760" s="28" t="s">
        <v>10135</v>
      </c>
      <c r="F3760" s="7" t="str">
        <f>IFERROR(__xludf.DUMMYFUNCTION("GOOGLETRANSLATE(B3760:B5064,""en"",""fr"")"),"intégrité")</f>
        <v>intégrité</v>
      </c>
    </row>
    <row r="3761" ht="19.5" customHeight="1">
      <c r="A3761" s="26" t="s">
        <v>10136</v>
      </c>
      <c r="B3761" s="27" t="s">
        <v>10137</v>
      </c>
      <c r="C3761" s="28" t="s">
        <v>178</v>
      </c>
      <c r="D3761" s="29">
        <v>55.0</v>
      </c>
      <c r="E3761" s="28" t="s">
        <v>10138</v>
      </c>
      <c r="F3761" s="7" t="str">
        <f>IFERROR(__xludf.DUMMYFUNCTION("GOOGLETRANSLATE(B3761:B5064,""en"",""fr"")"),"karma")</f>
        <v>karma</v>
      </c>
    </row>
    <row r="3762" ht="19.5" customHeight="1">
      <c r="A3762" s="26" t="s">
        <v>10139</v>
      </c>
      <c r="B3762" s="27" t="s">
        <v>10140</v>
      </c>
      <c r="C3762" s="28" t="s">
        <v>178</v>
      </c>
      <c r="D3762" s="29">
        <v>55.0</v>
      </c>
      <c r="E3762" s="28" t="s">
        <v>10141</v>
      </c>
      <c r="F3762" s="7" t="str">
        <f>IFERROR(__xludf.DUMMYFUNCTION("GOOGLETRANSLATE(B3762:B5064,""en"",""fr"")"),"lézard")</f>
        <v>lézard</v>
      </c>
    </row>
    <row r="3763" ht="19.5" customHeight="1">
      <c r="A3763" s="26" t="s">
        <v>10142</v>
      </c>
      <c r="B3763" s="27" t="s">
        <v>10143</v>
      </c>
      <c r="C3763" s="28" t="s">
        <v>178</v>
      </c>
      <c r="D3763" s="29">
        <v>55.0</v>
      </c>
      <c r="E3763" s="28" t="s">
        <v>10144</v>
      </c>
      <c r="F3763" s="7" t="str">
        <f>IFERROR(__xludf.DUMMYFUNCTION("GOOGLETRANSLATE(B3763:B5064,""en"",""fr"")"),"logique")</f>
        <v>logique</v>
      </c>
    </row>
    <row r="3764" ht="19.5" customHeight="1">
      <c r="A3764" s="26" t="s">
        <v>10145</v>
      </c>
      <c r="B3764" s="27" t="s">
        <v>10146</v>
      </c>
      <c r="C3764" s="28" t="s">
        <v>728</v>
      </c>
      <c r="D3764" s="29">
        <v>55.0</v>
      </c>
      <c r="E3764" s="28" t="s">
        <v>10147</v>
      </c>
      <c r="F3764" s="7" t="str">
        <f>IFERROR(__xludf.DUMMYFUNCTION("GOOGLETRANSLATE(B3764:B5064,""en"",""fr"")"),"Seigneur")</f>
        <v>Seigneur</v>
      </c>
    </row>
    <row r="3765" ht="19.5" customHeight="1">
      <c r="A3765" s="26" t="s">
        <v>10148</v>
      </c>
      <c r="B3765" s="27" t="s">
        <v>7165</v>
      </c>
      <c r="C3765" s="28" t="s">
        <v>32</v>
      </c>
      <c r="D3765" s="29">
        <v>55.0</v>
      </c>
      <c r="E3765" s="28" t="s">
        <v>10149</v>
      </c>
      <c r="F3765" s="7" t="str">
        <f>IFERROR(__xludf.DUMMYFUNCTION("GOOGLETRANSLATE(B3765:B5064,""en"",""fr"")"),"tasse")</f>
        <v>tasse</v>
      </c>
    </row>
    <row r="3766" ht="19.5" customHeight="1">
      <c r="A3766" s="26" t="s">
        <v>10150</v>
      </c>
      <c r="B3766" s="27" t="s">
        <v>10151</v>
      </c>
      <c r="C3766" s="28" t="s">
        <v>134</v>
      </c>
      <c r="D3766" s="29">
        <v>55.0</v>
      </c>
      <c r="E3766" s="28" t="s">
        <v>10152</v>
      </c>
      <c r="F3766" s="7" t="str">
        <f>IFERROR(__xludf.DUMMYFUNCTION("GOOGLETRANSLATE(B3766:B5064,""en"",""fr"")"),"plaine")</f>
        <v>plaine</v>
      </c>
    </row>
    <row r="3767" ht="19.5" customHeight="1">
      <c r="A3767" s="26" t="s">
        <v>10153</v>
      </c>
      <c r="B3767" s="27" t="s">
        <v>10154</v>
      </c>
      <c r="C3767" s="28" t="s">
        <v>178</v>
      </c>
      <c r="D3767" s="29">
        <v>55.0</v>
      </c>
      <c r="E3767" s="28" t="s">
        <v>10155</v>
      </c>
      <c r="F3767" s="7" t="str">
        <f>IFERROR(__xludf.DUMMYFUNCTION("GOOGLETRANSLATE(B3767:B5064,""en"",""fr"")"),"poète")</f>
        <v>poète</v>
      </c>
    </row>
    <row r="3768" ht="19.5" customHeight="1">
      <c r="A3768" s="26" t="s">
        <v>10156</v>
      </c>
      <c r="B3768" s="27" t="s">
        <v>10157</v>
      </c>
      <c r="C3768" s="28" t="s">
        <v>100</v>
      </c>
      <c r="D3768" s="29">
        <v>55.0</v>
      </c>
      <c r="E3768" s="28" t="s">
        <v>10157</v>
      </c>
      <c r="F3768" s="7" t="str">
        <f>IFERROR(__xludf.DUMMYFUNCTION("GOOGLETRANSLATE(B3768:B5064,""en"",""fr"")"),"tranquillement")</f>
        <v>tranquillement</v>
      </c>
    </row>
    <row r="3769" ht="19.5" customHeight="1">
      <c r="A3769" s="26" t="s">
        <v>10158</v>
      </c>
      <c r="B3769" s="27" t="s">
        <v>10159</v>
      </c>
      <c r="C3769" s="28" t="s">
        <v>178</v>
      </c>
      <c r="D3769" s="29">
        <v>55.0</v>
      </c>
      <c r="E3769" s="28" t="s">
        <v>10160</v>
      </c>
      <c r="F3769" s="7" t="str">
        <f>IFERROR(__xludf.DUMMYFUNCTION("GOOGLETRANSLATE(B3769:B5064,""en"",""fr"")"),"relatif")</f>
        <v>relatif</v>
      </c>
    </row>
    <row r="3770" ht="19.5" customHeight="1">
      <c r="A3770" s="26" t="s">
        <v>10161</v>
      </c>
      <c r="B3770" s="27" t="s">
        <v>10162</v>
      </c>
      <c r="C3770" s="28" t="s">
        <v>100</v>
      </c>
      <c r="D3770" s="29">
        <v>55.0</v>
      </c>
      <c r="E3770" s="28" t="s">
        <v>10162</v>
      </c>
      <c r="F3770" s="7" t="str">
        <f>IFERROR(__xludf.DUMMYFUNCTION("GOOGLETRANSLATE(B3770:B5064,""en"",""fr"")"),"sans encombre")</f>
        <v>sans encombre</v>
      </c>
    </row>
    <row r="3771" ht="19.5" customHeight="1">
      <c r="A3771" s="26" t="s">
        <v>10163</v>
      </c>
      <c r="B3771" s="27" t="s">
        <v>10164</v>
      </c>
      <c r="C3771" s="28" t="s">
        <v>178</v>
      </c>
      <c r="D3771" s="29">
        <v>55.0</v>
      </c>
      <c r="E3771" s="28" t="s">
        <v>10165</v>
      </c>
      <c r="F3771" s="7" t="str">
        <f>IFERROR(__xludf.DUMMYFUNCTION("GOOGLETRANSLATE(B3771:B5064,""en"",""fr"")"),"rétrécir")</f>
        <v>rétrécir</v>
      </c>
    </row>
    <row r="3772" ht="19.5" customHeight="1">
      <c r="A3772" s="26" t="s">
        <v>10166</v>
      </c>
      <c r="B3772" s="27" t="s">
        <v>10167</v>
      </c>
      <c r="C3772" s="28" t="s">
        <v>32</v>
      </c>
      <c r="D3772" s="29">
        <v>55.0</v>
      </c>
      <c r="E3772" s="28" t="s">
        <v>10168</v>
      </c>
      <c r="F3772" s="7" t="str">
        <f>IFERROR(__xludf.DUMMYFUNCTION("GOOGLETRANSLATE(B3772:B5064,""en"",""fr"")"),"claquer")</f>
        <v>claquer</v>
      </c>
    </row>
    <row r="3773" ht="19.5" customHeight="1">
      <c r="A3773" s="26" t="s">
        <v>10169</v>
      </c>
      <c r="B3773" s="27" t="s">
        <v>1882</v>
      </c>
      <c r="C3773" s="28" t="s">
        <v>32</v>
      </c>
      <c r="D3773" s="29">
        <v>55.0</v>
      </c>
      <c r="E3773" s="28" t="s">
        <v>10170</v>
      </c>
      <c r="F3773" s="7" t="str">
        <f>IFERROR(__xludf.DUMMYFUNCTION("GOOGLETRANSLATE(B3773:B5064,""en"",""fr"")"),"costume")</f>
        <v>costume</v>
      </c>
    </row>
    <row r="3774" ht="19.5" customHeight="1">
      <c r="A3774" s="26" t="s">
        <v>10171</v>
      </c>
      <c r="B3774" s="27" t="s">
        <v>10172</v>
      </c>
      <c r="C3774" s="28" t="s">
        <v>100</v>
      </c>
      <c r="D3774" s="29">
        <v>55.0</v>
      </c>
      <c r="E3774" s="28" t="s">
        <v>10172</v>
      </c>
      <c r="F3774" s="7" t="str">
        <f>IFERROR(__xludf.DUMMYFUNCTION("GOOGLETRANSLATE(B3774:B5064,""en"",""fr"")"),"étonnamment")</f>
        <v>étonnamment</v>
      </c>
    </row>
    <row r="3775" ht="19.5" customHeight="1">
      <c r="A3775" s="26" t="s">
        <v>10173</v>
      </c>
      <c r="B3775" s="27" t="s">
        <v>10174</v>
      </c>
      <c r="C3775" s="28" t="s">
        <v>178</v>
      </c>
      <c r="D3775" s="29">
        <v>55.0</v>
      </c>
      <c r="E3775" s="28" t="s">
        <v>10175</v>
      </c>
      <c r="F3775" s="7" t="str">
        <f>IFERROR(__xludf.DUMMYFUNCTION("GOOGLETRANSLATE(B3775:B5064,""en"",""fr"")"),"essai")</f>
        <v>essai</v>
      </c>
    </row>
    <row r="3776" ht="19.5" customHeight="1">
      <c r="A3776" s="26" t="s">
        <v>10176</v>
      </c>
      <c r="B3776" s="27" t="s">
        <v>10177</v>
      </c>
      <c r="C3776" s="28" t="s">
        <v>36</v>
      </c>
      <c r="D3776" s="29">
        <v>55.0</v>
      </c>
      <c r="E3776" s="28" t="s">
        <v>10177</v>
      </c>
      <c r="F3776" s="7" t="str">
        <f>IFERROR(__xludf.DUMMYFUNCTION("GOOGLETRANSLATE(B3776:B5064,""en"",""fr"")"),"tout au long de")</f>
        <v>tout au long de</v>
      </c>
    </row>
    <row r="3777" ht="19.5" customHeight="1">
      <c r="A3777" s="26" t="s">
        <v>10178</v>
      </c>
      <c r="B3777" s="27" t="s">
        <v>10179</v>
      </c>
      <c r="C3777" s="28" t="s">
        <v>178</v>
      </c>
      <c r="D3777" s="29">
        <v>55.0</v>
      </c>
      <c r="E3777" s="28" t="s">
        <v>10180</v>
      </c>
      <c r="F3777" s="7" t="str">
        <f>IFERROR(__xludf.DUMMYFUNCTION("GOOGLETRANSLATE(B3777:B5064,""en"",""fr"")"),"tournoi")</f>
        <v>tournoi</v>
      </c>
    </row>
    <row r="3778" ht="19.5" customHeight="1">
      <c r="A3778" s="26" t="s">
        <v>10181</v>
      </c>
      <c r="B3778" s="27" t="s">
        <v>5749</v>
      </c>
      <c r="C3778" s="28" t="s">
        <v>178</v>
      </c>
      <c r="D3778" s="29">
        <v>55.0</v>
      </c>
      <c r="E3778" s="28" t="s">
        <v>10182</v>
      </c>
      <c r="F3778" s="7" t="str">
        <f>IFERROR(__xludf.DUMMYFUNCTION("GOOGLETRANSLATE(B3778:B5064,""en"",""fr"")"),"torsion")</f>
        <v>torsion</v>
      </c>
    </row>
    <row r="3779" ht="19.5" customHeight="1">
      <c r="A3779" s="26" t="s">
        <v>10183</v>
      </c>
      <c r="B3779" s="27" t="s">
        <v>10184</v>
      </c>
      <c r="C3779" s="28" t="s">
        <v>178</v>
      </c>
      <c r="D3779" s="29">
        <v>55.0</v>
      </c>
      <c r="E3779" s="28" t="s">
        <v>10185</v>
      </c>
      <c r="F3779" s="7" t="str">
        <f>IFERROR(__xludf.DUMMYFUNCTION("GOOGLETRANSLATE(B3779:B5064,""en"",""fr"")"),"garde-robe")</f>
        <v>garde-robe</v>
      </c>
    </row>
    <row r="3780" ht="19.5" customHeight="1">
      <c r="A3780" s="26" t="s">
        <v>10186</v>
      </c>
      <c r="B3780" s="27" t="s">
        <v>10187</v>
      </c>
      <c r="C3780" s="28" t="s">
        <v>178</v>
      </c>
      <c r="D3780" s="29">
        <v>55.0</v>
      </c>
      <c r="E3780" s="28" t="s">
        <v>10188</v>
      </c>
      <c r="F3780" s="7" t="str">
        <f>IFERROR(__xludf.DUMMYFUNCTION("GOOGLETRANSLATE(B3780:B5064,""en"",""fr"")"),"poignet")</f>
        <v>poignet</v>
      </c>
    </row>
    <row r="3781" ht="19.5" customHeight="1">
      <c r="A3781" s="26" t="s">
        <v>10189</v>
      </c>
      <c r="B3781" s="27" t="s">
        <v>10190</v>
      </c>
      <c r="C3781" s="28" t="s">
        <v>178</v>
      </c>
      <c r="D3781" s="29">
        <v>55.0</v>
      </c>
      <c r="E3781" s="28" t="s">
        <v>10191</v>
      </c>
      <c r="F3781" s="7" t="str">
        <f>IFERROR(__xludf.DUMMYFUNCTION("GOOGLETRANSLATE(B3781:B5064,""en"",""fr"")"),"nerf")</f>
        <v>nerf</v>
      </c>
    </row>
    <row r="3782" ht="19.5" customHeight="1">
      <c r="A3782" s="26" t="s">
        <v>10192</v>
      </c>
      <c r="B3782" s="27" t="s">
        <v>10193</v>
      </c>
      <c r="C3782" s="28" t="s">
        <v>178</v>
      </c>
      <c r="D3782" s="29">
        <v>55.0</v>
      </c>
      <c r="E3782" s="28" t="s">
        <v>10194</v>
      </c>
      <c r="F3782" s="7" t="str">
        <f>IFERROR(__xludf.DUMMYFUNCTION("GOOGLETRANSLATE(B3782:B5064,""en"",""fr"")"),"dépôt")</f>
        <v>dépôt</v>
      </c>
    </row>
    <row r="3783" ht="19.5" customHeight="1">
      <c r="A3783" s="26" t="s">
        <v>10195</v>
      </c>
      <c r="B3783" s="27" t="s">
        <v>10196</v>
      </c>
      <c r="C3783" s="28" t="s">
        <v>178</v>
      </c>
      <c r="D3783" s="29">
        <v>55.0</v>
      </c>
      <c r="E3783" s="28" t="s">
        <v>10197</v>
      </c>
      <c r="F3783" s="7" t="str">
        <f>IFERROR(__xludf.DUMMYFUNCTION("GOOGLETRANSLATE(B3783:B5064,""en"",""fr"")"),"piste")</f>
        <v>piste</v>
      </c>
    </row>
    <row r="3784" ht="19.5" customHeight="1">
      <c r="A3784" s="26" t="s">
        <v>10198</v>
      </c>
      <c r="B3784" s="27" t="s">
        <v>10199</v>
      </c>
      <c r="C3784" s="28" t="s">
        <v>32</v>
      </c>
      <c r="D3784" s="29">
        <v>55.0</v>
      </c>
      <c r="E3784" s="28" t="s">
        <v>10200</v>
      </c>
      <c r="F3784" s="7" t="str">
        <f>IFERROR(__xludf.DUMMYFUNCTION("GOOGLETRANSLATE(B3784:B5064,""en"",""fr"")"),"collier")</f>
        <v>collier</v>
      </c>
    </row>
    <row r="3785" ht="19.5" customHeight="1">
      <c r="A3785" s="26" t="s">
        <v>10201</v>
      </c>
      <c r="B3785" s="27" t="s">
        <v>10202</v>
      </c>
      <c r="C3785" s="28" t="s">
        <v>178</v>
      </c>
      <c r="D3785" s="29">
        <v>55.0</v>
      </c>
      <c r="E3785" s="28" t="s">
        <v>10203</v>
      </c>
      <c r="F3785" s="7" t="str">
        <f>IFERROR(__xludf.DUMMYFUNCTION("GOOGLETRANSLATE(B3785:B5064,""en"",""fr"")"),"vélo")</f>
        <v>vélo</v>
      </c>
    </row>
    <row r="3786" ht="19.5" customHeight="1">
      <c r="A3786" s="26" t="s">
        <v>10204</v>
      </c>
      <c r="B3786" s="27" t="s">
        <v>10205</v>
      </c>
      <c r="C3786" s="28" t="s">
        <v>85</v>
      </c>
      <c r="D3786" s="29">
        <v>54.0</v>
      </c>
      <c r="E3786" s="28" t="s">
        <v>10205</v>
      </c>
      <c r="F3786" s="7" t="str">
        <f>IFERROR(__xludf.DUMMYFUNCTION("GOOGLETRANSLATE(B3786:B5064,""en"",""fr"")"),"ahem")</f>
        <v>ahem</v>
      </c>
    </row>
    <row r="3787" ht="19.5" customHeight="1">
      <c r="A3787" s="26" t="s">
        <v>10206</v>
      </c>
      <c r="B3787" s="27" t="s">
        <v>10207</v>
      </c>
      <c r="C3787" s="28" t="s">
        <v>100</v>
      </c>
      <c r="D3787" s="29">
        <v>54.0</v>
      </c>
      <c r="E3787" s="28" t="s">
        <v>10207</v>
      </c>
      <c r="F3787" s="7" t="str">
        <f>IFERROR(__xludf.DUMMYFUNCTION("GOOGLETRANSLATE(B3787:B5064,""en"",""fr"")"),"ressemblent")</f>
        <v>ressemblent</v>
      </c>
    </row>
    <row r="3788" ht="19.5" customHeight="1">
      <c r="A3788" s="26" t="s">
        <v>10208</v>
      </c>
      <c r="B3788" s="27" t="s">
        <v>10209</v>
      </c>
      <c r="C3788" s="28" t="s">
        <v>178</v>
      </c>
      <c r="D3788" s="29">
        <v>54.0</v>
      </c>
      <c r="E3788" s="28" t="s">
        <v>10210</v>
      </c>
      <c r="F3788" s="7" t="str">
        <f>IFERROR(__xludf.DUMMYFUNCTION("GOOGLETRANSLATE(B3788:B5064,""en"",""fr"")"),"allergie")</f>
        <v>allergie</v>
      </c>
    </row>
    <row r="3789" ht="19.5" customHeight="1">
      <c r="A3789" s="26" t="s">
        <v>10211</v>
      </c>
      <c r="B3789" s="27" t="s">
        <v>10212</v>
      </c>
      <c r="C3789" s="28" t="s">
        <v>178</v>
      </c>
      <c r="D3789" s="29">
        <v>54.0</v>
      </c>
      <c r="E3789" s="28" t="s">
        <v>10213</v>
      </c>
      <c r="F3789" s="7" t="str">
        <f>IFERROR(__xludf.DUMMYFUNCTION("GOOGLETRANSLATE(B3789:B5064,""en"",""fr"")"),"athée")</f>
        <v>athée</v>
      </c>
    </row>
    <row r="3790" ht="19.5" customHeight="1">
      <c r="A3790" s="26" t="s">
        <v>10214</v>
      </c>
      <c r="B3790" s="27" t="s">
        <v>10215</v>
      </c>
      <c r="C3790" s="28" t="s">
        <v>178</v>
      </c>
      <c r="D3790" s="29">
        <v>54.0</v>
      </c>
      <c r="E3790" s="28" t="s">
        <v>10216</v>
      </c>
      <c r="F3790" s="7" t="str">
        <f>IFERROR(__xludf.DUMMYFUNCTION("GOOGLETRANSLATE(B3790:B5064,""en"",""fr"")"),"chambre")</f>
        <v>chambre</v>
      </c>
    </row>
    <row r="3791" ht="19.5" customHeight="1">
      <c r="A3791" s="26" t="s">
        <v>10217</v>
      </c>
      <c r="B3791" s="27" t="s">
        <v>10218</v>
      </c>
      <c r="C3791" s="28" t="s">
        <v>178</v>
      </c>
      <c r="D3791" s="29">
        <v>54.0</v>
      </c>
      <c r="E3791" s="28" t="s">
        <v>10219</v>
      </c>
      <c r="F3791" s="7" t="str">
        <f>IFERROR(__xludf.DUMMYFUNCTION("GOOGLETRANSLATE(B3791:B5064,""en"",""fr"")"),"cheeseburger")</f>
        <v>cheeseburger</v>
      </c>
    </row>
    <row r="3792" ht="19.5" customHeight="1">
      <c r="A3792" s="26" t="s">
        <v>10220</v>
      </c>
      <c r="B3792" s="27" t="s">
        <v>10221</v>
      </c>
      <c r="C3792" s="28" t="s">
        <v>178</v>
      </c>
      <c r="D3792" s="29">
        <v>54.0</v>
      </c>
      <c r="E3792" s="28" t="s">
        <v>10222</v>
      </c>
      <c r="F3792" s="7" t="str">
        <f>IFERROR(__xludf.DUMMYFUNCTION("GOOGLETRANSLATE(B3792:B5064,""en"",""fr"")"),"conscience")</f>
        <v>conscience</v>
      </c>
    </row>
    <row r="3793" ht="19.5" customHeight="1">
      <c r="A3793" s="26" t="s">
        <v>10223</v>
      </c>
      <c r="B3793" s="27" t="s">
        <v>10224</v>
      </c>
      <c r="C3793" s="28" t="s">
        <v>32</v>
      </c>
      <c r="D3793" s="29">
        <v>54.0</v>
      </c>
      <c r="E3793" s="28" t="s">
        <v>10225</v>
      </c>
      <c r="F3793" s="7" t="str">
        <f>IFERROR(__xludf.DUMMYFUNCTION("GOOGLETRANSLATE(B3793:B5064,""en"",""fr"")"),"câlin")</f>
        <v>câlin</v>
      </c>
    </row>
    <row r="3794" ht="19.5" customHeight="1">
      <c r="A3794" s="26" t="s">
        <v>10226</v>
      </c>
      <c r="B3794" s="27" t="s">
        <v>10227</v>
      </c>
      <c r="C3794" s="28" t="s">
        <v>178</v>
      </c>
      <c r="D3794" s="29">
        <v>54.0</v>
      </c>
      <c r="E3794" s="28" t="s">
        <v>10228</v>
      </c>
      <c r="F3794" s="7" t="str">
        <f>IFERROR(__xludf.DUMMYFUNCTION("GOOGLETRANSLATE(B3794:B5064,""en"",""fr"")"),"existence")</f>
        <v>existence</v>
      </c>
    </row>
    <row r="3795" ht="19.5" customHeight="1">
      <c r="A3795" s="26" t="s">
        <v>10229</v>
      </c>
      <c r="B3795" s="27" t="s">
        <v>10230</v>
      </c>
      <c r="C3795" s="28" t="s">
        <v>178</v>
      </c>
      <c r="D3795" s="29">
        <v>54.0</v>
      </c>
      <c r="E3795" s="28" t="s">
        <v>10231</v>
      </c>
      <c r="F3795" s="7" t="str">
        <f>IFERROR(__xludf.DUMMYFUNCTION("GOOGLETRANSLATE(B3795:B5064,""en"",""fr"")"),"Galerie")</f>
        <v>Galerie</v>
      </c>
    </row>
    <row r="3796" ht="19.5" customHeight="1">
      <c r="A3796" s="26" t="s">
        <v>10232</v>
      </c>
      <c r="B3796" s="27" t="s">
        <v>10233</v>
      </c>
      <c r="C3796" s="28" t="s">
        <v>178</v>
      </c>
      <c r="D3796" s="29">
        <v>54.0</v>
      </c>
      <c r="E3796" s="28" t="s">
        <v>10234</v>
      </c>
      <c r="F3796" s="7" t="str">
        <f>IFERROR(__xludf.DUMMYFUNCTION("GOOGLETRANSLATE(B3796:B5064,""en"",""fr"")"),"instinct")</f>
        <v>instinct</v>
      </c>
    </row>
    <row r="3797" ht="19.5" customHeight="1">
      <c r="A3797" s="26" t="s">
        <v>10235</v>
      </c>
      <c r="B3797" s="27" t="s">
        <v>10236</v>
      </c>
      <c r="C3797" s="28" t="s">
        <v>178</v>
      </c>
      <c r="D3797" s="29">
        <v>54.0</v>
      </c>
      <c r="E3797" s="28" t="s">
        <v>10237</v>
      </c>
      <c r="F3797" s="7" t="str">
        <f>IFERROR(__xludf.DUMMYFUNCTION("GOOGLETRANSLATE(B3797:B5064,""en"",""fr"")"),"instruction")</f>
        <v>instruction</v>
      </c>
    </row>
    <row r="3798" ht="19.5" customHeight="1">
      <c r="A3798" s="26" t="s">
        <v>10238</v>
      </c>
      <c r="B3798" s="27" t="s">
        <v>10239</v>
      </c>
      <c r="C3798" s="28" t="s">
        <v>134</v>
      </c>
      <c r="D3798" s="29">
        <v>54.0</v>
      </c>
      <c r="E3798" s="28" t="s">
        <v>10240</v>
      </c>
      <c r="F3798" s="7" t="str">
        <f>IFERROR(__xludf.DUMMYFUNCTION("GOOGLETRANSLATE(B3798:B5064,""en"",""fr"")"),"loyal")</f>
        <v>loyal</v>
      </c>
    </row>
    <row r="3799" ht="19.5" customHeight="1">
      <c r="A3799" s="26" t="s">
        <v>10241</v>
      </c>
      <c r="B3799" s="27" t="s">
        <v>10242</v>
      </c>
      <c r="C3799" s="28" t="s">
        <v>32</v>
      </c>
      <c r="D3799" s="29">
        <v>54.0</v>
      </c>
      <c r="E3799" s="28" t="s">
        <v>10243</v>
      </c>
      <c r="F3799" s="7" t="str">
        <f>IFERROR(__xludf.DUMMYFUNCTION("GOOGLETRANSLATE(B3799:B5064,""en"",""fr"")"),"maintenir")</f>
        <v>maintenir</v>
      </c>
    </row>
    <row r="3800" ht="19.5" customHeight="1">
      <c r="A3800" s="26" t="s">
        <v>10244</v>
      </c>
      <c r="B3800" s="27" t="s">
        <v>10245</v>
      </c>
      <c r="C3800" s="28" t="s">
        <v>178</v>
      </c>
      <c r="D3800" s="29">
        <v>54.0</v>
      </c>
      <c r="E3800" s="28" t="s">
        <v>10245</v>
      </c>
      <c r="F3800" s="7" t="str">
        <f>IFERROR(__xludf.DUMMYFUNCTION("GOOGLETRANSLATE(B3800:B5064,""en"",""fr"")"),"entretien")</f>
        <v>entretien</v>
      </c>
    </row>
    <row r="3801" ht="19.5" customHeight="1">
      <c r="A3801" s="26" t="s">
        <v>10246</v>
      </c>
      <c r="B3801" s="27" t="s">
        <v>10247</v>
      </c>
      <c r="C3801" s="28" t="s">
        <v>134</v>
      </c>
      <c r="D3801" s="29">
        <v>54.0</v>
      </c>
      <c r="E3801" s="28" t="s">
        <v>10247</v>
      </c>
      <c r="F3801" s="7" t="str">
        <f>IFERROR(__xludf.DUMMYFUNCTION("GOOGLETRANSLATE(B3801:B5064,""en"",""fr"")"),"sans signification")</f>
        <v>sans signification</v>
      </c>
    </row>
    <row r="3802" ht="19.5" customHeight="1">
      <c r="A3802" s="26" t="s">
        <v>10248</v>
      </c>
      <c r="B3802" s="27" t="s">
        <v>10249</v>
      </c>
      <c r="C3802" s="28" t="s">
        <v>32</v>
      </c>
      <c r="D3802" s="29">
        <v>54.0</v>
      </c>
      <c r="E3802" s="28" t="s">
        <v>10250</v>
      </c>
      <c r="F3802" s="7" t="str">
        <f>IFERROR(__xludf.DUMMYFUNCTION("GOOGLETRANSLATE(B3802:B5064,""en"",""fr"")"),"mémoriser")</f>
        <v>mémoriser</v>
      </c>
    </row>
    <row r="3803" ht="19.5" customHeight="1">
      <c r="A3803" s="26" t="s">
        <v>10251</v>
      </c>
      <c r="B3803" s="27" t="s">
        <v>10252</v>
      </c>
      <c r="C3803" s="28" t="s">
        <v>178</v>
      </c>
      <c r="D3803" s="29">
        <v>54.0</v>
      </c>
      <c r="E3803" s="28" t="s">
        <v>10253</v>
      </c>
      <c r="F3803" s="7" t="str">
        <f>IFERROR(__xludf.DUMMYFUNCTION("GOOGLETRANSLATE(B3803:B5064,""en"",""fr"")"),"missile")</f>
        <v>missile</v>
      </c>
    </row>
    <row r="3804" ht="19.5" customHeight="1">
      <c r="A3804" s="26" t="s">
        <v>10254</v>
      </c>
      <c r="B3804" s="27" t="s">
        <v>10255</v>
      </c>
      <c r="C3804" s="28" t="s">
        <v>134</v>
      </c>
      <c r="D3804" s="29">
        <v>54.0</v>
      </c>
      <c r="E3804" s="28" t="s">
        <v>10256</v>
      </c>
      <c r="F3804" s="7" t="str">
        <f>IFERROR(__xludf.DUMMYFUNCTION("GOOGLETRANSLATE(B3804:B5064,""en"",""fr"")"),"humide")</f>
        <v>humide</v>
      </c>
    </row>
    <row r="3805" ht="19.5" customHeight="1">
      <c r="A3805" s="26" t="s">
        <v>10257</v>
      </c>
      <c r="B3805" s="27" t="s">
        <v>10258</v>
      </c>
      <c r="C3805" s="28" t="s">
        <v>32</v>
      </c>
      <c r="D3805" s="29">
        <v>54.0</v>
      </c>
      <c r="E3805" s="28" t="s">
        <v>10259</v>
      </c>
      <c r="F3805" s="7" t="str">
        <f>IFERROR(__xludf.DUMMYFUNCTION("GOOGLETRANSLATE(B3805:B5064,""en"",""fr"")"),"harceler")</f>
        <v>harceler</v>
      </c>
    </row>
    <row r="3806" ht="19.5" customHeight="1">
      <c r="A3806" s="26" t="s">
        <v>10260</v>
      </c>
      <c r="B3806" s="27" t="s">
        <v>10261</v>
      </c>
      <c r="C3806" s="28" t="s">
        <v>150</v>
      </c>
      <c r="D3806" s="29">
        <v>54.0</v>
      </c>
      <c r="E3806" s="28" t="s">
        <v>10261</v>
      </c>
      <c r="F3806" s="7" t="str">
        <f>IFERROR(__xludf.DUMMYFUNCTION("GOOGLETRANSLATE(B3806:B5064,""en"",""fr"")"),"quatre vingt quinze")</f>
        <v>quatre vingt quinze</v>
      </c>
    </row>
    <row r="3807" ht="19.5" customHeight="1">
      <c r="A3807" s="26" t="s">
        <v>10262</v>
      </c>
      <c r="B3807" s="27" t="s">
        <v>10263</v>
      </c>
      <c r="C3807" s="28" t="s">
        <v>178</v>
      </c>
      <c r="D3807" s="29">
        <v>54.0</v>
      </c>
      <c r="E3807" s="28" t="s">
        <v>10264</v>
      </c>
      <c r="F3807" s="7" t="str">
        <f>IFERROR(__xludf.DUMMYFUNCTION("GOOGLETRANSLATE(B3807:B5064,""en"",""fr"")"),"paintball")</f>
        <v>paintball</v>
      </c>
    </row>
    <row r="3808" ht="19.5" customHeight="1">
      <c r="A3808" s="26" t="s">
        <v>10265</v>
      </c>
      <c r="B3808" s="27" t="s">
        <v>10266</v>
      </c>
      <c r="C3808" s="28" t="s">
        <v>178</v>
      </c>
      <c r="D3808" s="29">
        <v>54.0</v>
      </c>
      <c r="E3808" s="28" t="s">
        <v>10267</v>
      </c>
      <c r="F3808" s="7" t="str">
        <f>IFERROR(__xludf.DUMMYFUNCTION("GOOGLETRANSLATE(B3808:B5064,""en"",""fr"")"),"modèle")</f>
        <v>modèle</v>
      </c>
    </row>
    <row r="3809" ht="19.5" customHeight="1">
      <c r="A3809" s="26" t="s">
        <v>10268</v>
      </c>
      <c r="B3809" s="27" t="s">
        <v>10269</v>
      </c>
      <c r="C3809" s="28" t="s">
        <v>178</v>
      </c>
      <c r="D3809" s="29">
        <v>54.0</v>
      </c>
      <c r="E3809" s="28" t="s">
        <v>10270</v>
      </c>
      <c r="F3809" s="7" t="str">
        <f>IFERROR(__xludf.DUMMYFUNCTION("GOOGLETRANSLATE(B3809:B5064,""en"",""fr"")"),"physicien")</f>
        <v>physicien</v>
      </c>
    </row>
    <row r="3810" ht="19.5" customHeight="1">
      <c r="A3810" s="26" t="s">
        <v>10271</v>
      </c>
      <c r="B3810" s="27" t="s">
        <v>10272</v>
      </c>
      <c r="C3810" s="28" t="s">
        <v>134</v>
      </c>
      <c r="D3810" s="29">
        <v>54.0</v>
      </c>
      <c r="E3810" s="28" t="s">
        <v>10272</v>
      </c>
      <c r="F3810" s="7" t="str">
        <f>IFERROR(__xludf.DUMMYFUNCTION("GOOGLETRANSLATE(B3810:B5064,""en"",""fr"")"),"inutile")</f>
        <v>inutile</v>
      </c>
    </row>
    <row r="3811" ht="19.5" customHeight="1">
      <c r="A3811" s="26" t="s">
        <v>10273</v>
      </c>
      <c r="B3811" s="27" t="s">
        <v>10274</v>
      </c>
      <c r="C3811" s="28" t="s">
        <v>32</v>
      </c>
      <c r="D3811" s="29">
        <v>54.0</v>
      </c>
      <c r="E3811" s="28" t="s">
        <v>10275</v>
      </c>
      <c r="F3811" s="7" t="str">
        <f>IFERROR(__xludf.DUMMYFUNCTION("GOOGLETRANSLATE(B3811:B5064,""en"",""fr"")"),"polonais")</f>
        <v>polonais</v>
      </c>
    </row>
    <row r="3812" ht="19.5" customHeight="1">
      <c r="A3812" s="26" t="s">
        <v>10276</v>
      </c>
      <c r="B3812" s="27" t="s">
        <v>10277</v>
      </c>
      <c r="C3812" s="28" t="s">
        <v>178</v>
      </c>
      <c r="D3812" s="29">
        <v>54.0</v>
      </c>
      <c r="E3812" s="28" t="s">
        <v>10278</v>
      </c>
      <c r="F3812" s="7" t="str">
        <f>IFERROR(__xludf.DUMMYFUNCTION("GOOGLETRANSLATE(B3812:B5064,""en"",""fr"")"),"en lisant")</f>
        <v>en lisant</v>
      </c>
    </row>
    <row r="3813" ht="19.5" customHeight="1">
      <c r="A3813" s="26" t="s">
        <v>10279</v>
      </c>
      <c r="B3813" s="27" t="s">
        <v>8560</v>
      </c>
      <c r="C3813" s="28" t="s">
        <v>85</v>
      </c>
      <c r="D3813" s="29">
        <v>54.0</v>
      </c>
      <c r="E3813" s="28" t="s">
        <v>8560</v>
      </c>
      <c r="F3813" s="7" t="str">
        <f>IFERROR(__xludf.DUMMYFUNCTION("GOOGLETRANSLATE(B3813:B5064,""en"",""fr"")"),"silence")</f>
        <v>silence</v>
      </c>
    </row>
    <row r="3814" ht="19.5" customHeight="1">
      <c r="A3814" s="26" t="s">
        <v>10280</v>
      </c>
      <c r="B3814" s="27" t="s">
        <v>10281</v>
      </c>
      <c r="C3814" s="28" t="s">
        <v>178</v>
      </c>
      <c r="D3814" s="29">
        <v>54.0</v>
      </c>
      <c r="E3814" s="28" t="s">
        <v>10282</v>
      </c>
      <c r="F3814" s="7" t="str">
        <f>IFERROR(__xludf.DUMMYFUNCTION("GOOGLETRANSLATE(B3814:B5064,""en"",""fr"")"),"sitcom")</f>
        <v>sitcom</v>
      </c>
    </row>
    <row r="3815" ht="19.5" customHeight="1">
      <c r="A3815" s="26" t="s">
        <v>10283</v>
      </c>
      <c r="B3815" s="27" t="s">
        <v>10284</v>
      </c>
      <c r="C3815" s="28" t="s">
        <v>134</v>
      </c>
      <c r="D3815" s="29">
        <v>54.0</v>
      </c>
      <c r="E3815" s="28" t="s">
        <v>10285</v>
      </c>
      <c r="F3815" s="7" t="str">
        <f>IFERROR(__xludf.DUMMYFUNCTION("GOOGLETRANSLATE(B3815:B5064,""en"",""fr"")"),"léger")</f>
        <v>léger</v>
      </c>
    </row>
    <row r="3816" ht="19.5" customHeight="1">
      <c r="A3816" s="26" t="s">
        <v>10286</v>
      </c>
      <c r="B3816" s="27" t="s">
        <v>10287</v>
      </c>
      <c r="C3816" s="28" t="s">
        <v>178</v>
      </c>
      <c r="D3816" s="29">
        <v>54.0</v>
      </c>
      <c r="E3816" s="28" t="s">
        <v>10288</v>
      </c>
      <c r="F3816" s="7" t="str">
        <f>IFERROR(__xludf.DUMMYFUNCTION("GOOGLETRANSLATE(B3816:B5064,""en"",""fr"")"),"softball")</f>
        <v>softball</v>
      </c>
    </row>
    <row r="3817" ht="19.5" customHeight="1">
      <c r="A3817" s="26" t="s">
        <v>10289</v>
      </c>
      <c r="B3817" s="27" t="s">
        <v>1720</v>
      </c>
      <c r="C3817" s="28" t="s">
        <v>32</v>
      </c>
      <c r="D3817" s="29">
        <v>54.0</v>
      </c>
      <c r="E3817" s="28" t="s">
        <v>10290</v>
      </c>
      <c r="F3817" s="7" t="str">
        <f>IFERROR(__xludf.DUMMYFUNCTION("GOOGLETRANSLATE(B3817:B5064,""en"",""fr"")"),"étoile")</f>
        <v>étoile</v>
      </c>
    </row>
    <row r="3818" ht="19.5" customHeight="1">
      <c r="A3818" s="26" t="s">
        <v>10291</v>
      </c>
      <c r="B3818" s="27" t="s">
        <v>10292</v>
      </c>
      <c r="C3818" s="28" t="s">
        <v>32</v>
      </c>
      <c r="D3818" s="29">
        <v>54.0</v>
      </c>
      <c r="E3818" s="28" t="s">
        <v>10293</v>
      </c>
      <c r="F3818" s="7" t="str">
        <f>IFERROR(__xludf.DUMMYFUNCTION("GOOGLETRANSLATE(B3818:B5064,""en"",""fr"")"),"bande")</f>
        <v>bande</v>
      </c>
    </row>
    <row r="3819" ht="19.5" customHeight="1">
      <c r="A3819" s="26" t="s">
        <v>10294</v>
      </c>
      <c r="B3819" s="27" t="s">
        <v>10295</v>
      </c>
      <c r="C3819" s="28" t="s">
        <v>178</v>
      </c>
      <c r="D3819" s="29">
        <v>54.0</v>
      </c>
      <c r="E3819" s="28" t="s">
        <v>10296</v>
      </c>
      <c r="F3819" s="7" t="str">
        <f>IFERROR(__xludf.DUMMYFUNCTION("GOOGLETRANSLATE(B3819:B5064,""en"",""fr"")"),"temple")</f>
        <v>temple</v>
      </c>
    </row>
    <row r="3820" ht="19.5" customHeight="1">
      <c r="A3820" s="26" t="s">
        <v>10297</v>
      </c>
      <c r="B3820" s="27" t="s">
        <v>10298</v>
      </c>
      <c r="C3820" s="28" t="s">
        <v>178</v>
      </c>
      <c r="D3820" s="29">
        <v>54.0</v>
      </c>
      <c r="E3820" s="28" t="s">
        <v>10299</v>
      </c>
      <c r="F3820" s="7" t="str">
        <f>IFERROR(__xludf.DUMMYFUNCTION("GOOGLETRANSLATE(B3820:B5064,""en"",""fr"")"),"torture")</f>
        <v>torture</v>
      </c>
    </row>
    <row r="3821" ht="19.5" customHeight="1">
      <c r="A3821" s="26" t="s">
        <v>10300</v>
      </c>
      <c r="B3821" s="27" t="s">
        <v>10298</v>
      </c>
      <c r="C3821" s="28" t="s">
        <v>32</v>
      </c>
      <c r="D3821" s="29">
        <v>54.0</v>
      </c>
      <c r="E3821" s="28" t="s">
        <v>10299</v>
      </c>
      <c r="F3821" s="7" t="str">
        <f>IFERROR(__xludf.DUMMYFUNCTION("GOOGLETRANSLATE(B3821:B5064,""en"",""fr"")"),"torture")</f>
        <v>torture</v>
      </c>
    </row>
    <row r="3822" ht="19.5" customHeight="1">
      <c r="A3822" s="26" t="s">
        <v>10301</v>
      </c>
      <c r="B3822" s="27" t="s">
        <v>10302</v>
      </c>
      <c r="C3822" s="28" t="s">
        <v>178</v>
      </c>
      <c r="D3822" s="29">
        <v>54.0</v>
      </c>
      <c r="E3822" s="28" t="s">
        <v>10303</v>
      </c>
      <c r="F3822" s="7" t="str">
        <f>IFERROR(__xludf.DUMMYFUNCTION("GOOGLETRANSLATE(B3822:B5064,""en"",""fr"")"),"la cire")</f>
        <v>la cire</v>
      </c>
    </row>
    <row r="3823" ht="19.5" customHeight="1">
      <c r="A3823" s="26" t="s">
        <v>10304</v>
      </c>
      <c r="B3823" s="27" t="s">
        <v>10305</v>
      </c>
      <c r="C3823" s="28" t="s">
        <v>134</v>
      </c>
      <c r="D3823" s="29">
        <v>54.0</v>
      </c>
      <c r="E3823" s="28" t="s">
        <v>10306</v>
      </c>
      <c r="F3823" s="7" t="str">
        <f>IFERROR(__xludf.DUMMYFUNCTION("GOOGLETRANSLATE(B3823:B5064,""en"",""fr"")"),"en bois")</f>
        <v>en bois</v>
      </c>
    </row>
    <row r="3824" ht="19.5" customHeight="1">
      <c r="A3824" s="26" t="s">
        <v>10307</v>
      </c>
      <c r="B3824" s="27" t="s">
        <v>10308</v>
      </c>
      <c r="C3824" s="28" t="s">
        <v>134</v>
      </c>
      <c r="D3824" s="29">
        <v>54.0</v>
      </c>
      <c r="E3824" s="28" t="s">
        <v>10309</v>
      </c>
      <c r="F3824" s="7" t="str">
        <f>IFERROR(__xludf.DUMMYFUNCTION("GOOGLETRANSLATE(B3824:B5064,""en"",""fr"")"),"intérieur")</f>
        <v>intérieur</v>
      </c>
    </row>
    <row r="3825" ht="19.5" customHeight="1">
      <c r="A3825" s="26" t="s">
        <v>10310</v>
      </c>
      <c r="B3825" s="27" t="s">
        <v>10311</v>
      </c>
      <c r="C3825" s="28" t="s">
        <v>178</v>
      </c>
      <c r="D3825" s="29">
        <v>54.0</v>
      </c>
      <c r="E3825" s="28" t="s">
        <v>10312</v>
      </c>
      <c r="F3825" s="7" t="str">
        <f>IFERROR(__xludf.DUMMYFUNCTION("GOOGLETRANSLATE(B3825:B5064,""en"",""fr"")"),"elfe")</f>
        <v>elfe</v>
      </c>
    </row>
    <row r="3826" ht="19.5" customHeight="1">
      <c r="A3826" s="26" t="s">
        <v>10313</v>
      </c>
      <c r="B3826" s="27" t="s">
        <v>10314</v>
      </c>
      <c r="C3826" s="28" t="s">
        <v>178</v>
      </c>
      <c r="D3826" s="29">
        <v>54.0</v>
      </c>
      <c r="E3826" s="28" t="s">
        <v>10315</v>
      </c>
      <c r="F3826" s="7" t="str">
        <f>IFERROR(__xludf.DUMMYFUNCTION("GOOGLETRANSLATE(B3826:B5064,""en"",""fr"")"),"griffe")</f>
        <v>griffe</v>
      </c>
    </row>
    <row r="3827" ht="19.5" customHeight="1">
      <c r="A3827" s="26" t="s">
        <v>10316</v>
      </c>
      <c r="B3827" s="27" t="s">
        <v>10317</v>
      </c>
      <c r="C3827" s="28" t="s">
        <v>178</v>
      </c>
      <c r="D3827" s="29">
        <v>54.0</v>
      </c>
      <c r="E3827" s="28" t="s">
        <v>10318</v>
      </c>
      <c r="F3827" s="7" t="str">
        <f>IFERROR(__xludf.DUMMYFUNCTION("GOOGLETRANSLATE(B3827:B5064,""en"",""fr"")"),"couche")</f>
        <v>couche</v>
      </c>
    </row>
    <row r="3828" ht="19.5" customHeight="1">
      <c r="A3828" s="26" t="s">
        <v>10319</v>
      </c>
      <c r="B3828" s="27" t="s">
        <v>10320</v>
      </c>
      <c r="C3828" s="28" t="s">
        <v>32</v>
      </c>
      <c r="D3828" s="29">
        <v>54.0</v>
      </c>
      <c r="E3828" s="28" t="s">
        <v>10321</v>
      </c>
      <c r="F3828" s="7" t="str">
        <f>IFERROR(__xludf.DUMMYFUNCTION("GOOGLETRANSLATE(B3828:B5064,""en"",""fr"")"),"remboursement")</f>
        <v>remboursement</v>
      </c>
    </row>
    <row r="3829" ht="19.5" customHeight="1">
      <c r="A3829" s="26" t="s">
        <v>10322</v>
      </c>
      <c r="B3829" s="27" t="s">
        <v>10323</v>
      </c>
      <c r="C3829" s="28" t="s">
        <v>178</v>
      </c>
      <c r="D3829" s="29">
        <v>54.0</v>
      </c>
      <c r="E3829" s="28" t="s">
        <v>10324</v>
      </c>
      <c r="F3829" s="7" t="str">
        <f>IFERROR(__xludf.DUMMYFUNCTION("GOOGLETRANSLATE(B3829:B5064,""en"",""fr"")"),"faire du vélo")</f>
        <v>faire du vélo</v>
      </c>
    </row>
    <row r="3830" ht="19.5" customHeight="1">
      <c r="A3830" s="26" t="s">
        <v>10325</v>
      </c>
      <c r="B3830" s="27" t="s">
        <v>7754</v>
      </c>
      <c r="C3830" s="28" t="s">
        <v>100</v>
      </c>
      <c r="D3830" s="29">
        <v>54.0</v>
      </c>
      <c r="E3830" s="28" t="s">
        <v>7754</v>
      </c>
      <c r="F3830" s="7" t="str">
        <f>IFERROR(__xludf.DUMMYFUNCTION("GOOGLETRANSLATE(B3830:B5064,""en"",""fr"")"),"puissant")</f>
        <v>puissant</v>
      </c>
    </row>
    <row r="3831" ht="19.5" customHeight="1">
      <c r="A3831" s="26" t="s">
        <v>10326</v>
      </c>
      <c r="B3831" s="27" t="s">
        <v>10327</v>
      </c>
      <c r="C3831" s="28" t="s">
        <v>178</v>
      </c>
      <c r="D3831" s="29">
        <v>53.0</v>
      </c>
      <c r="E3831" s="28" t="s">
        <v>10327</v>
      </c>
      <c r="F3831" s="7" t="str">
        <f>IFERROR(__xludf.DUMMYFUNCTION("GOOGLETRANSLATE(B3831:B5064,""en"",""fr"")"),"conscience")</f>
        <v>conscience</v>
      </c>
    </row>
    <row r="3832" ht="19.5" customHeight="1">
      <c r="A3832" s="26" t="s">
        <v>10328</v>
      </c>
      <c r="B3832" s="27" t="s">
        <v>10329</v>
      </c>
      <c r="C3832" s="28" t="s">
        <v>178</v>
      </c>
      <c r="D3832" s="29">
        <v>53.0</v>
      </c>
      <c r="E3832" s="28" t="s">
        <v>10329</v>
      </c>
      <c r="F3832" s="7" t="str">
        <f>IFERROR(__xludf.DUMMYFUNCTION("GOOGLETRANSLATE(B3832:B5064,""en"",""fr"")"),"bagages")</f>
        <v>bagages</v>
      </c>
    </row>
    <row r="3833" ht="19.5" customHeight="1">
      <c r="A3833" s="26" t="s">
        <v>10330</v>
      </c>
      <c r="B3833" s="27" t="s">
        <v>10331</v>
      </c>
      <c r="C3833" s="28" t="s">
        <v>134</v>
      </c>
      <c r="D3833" s="29">
        <v>53.0</v>
      </c>
      <c r="E3833" s="28" t="s">
        <v>10331</v>
      </c>
      <c r="F3833" s="7" t="str">
        <f>IFERROR(__xludf.DUMMYFUNCTION("GOOGLETRANSLATE(B3833:B5064,""en"",""fr"")"),"fermeture")</f>
        <v>fermeture</v>
      </c>
    </row>
    <row r="3834" ht="19.5" customHeight="1">
      <c r="A3834" s="26" t="s">
        <v>10332</v>
      </c>
      <c r="B3834" s="27" t="s">
        <v>10333</v>
      </c>
      <c r="C3834" s="28" t="s">
        <v>178</v>
      </c>
      <c r="D3834" s="29">
        <v>53.0</v>
      </c>
      <c r="E3834" s="28" t="s">
        <v>10334</v>
      </c>
      <c r="F3834" s="7" t="str">
        <f>IFERROR(__xludf.DUMMYFUNCTION("GOOGLETRANSLATE(B3834:B5064,""en"",""fr"")"),"criquet")</f>
        <v>criquet</v>
      </c>
    </row>
    <row r="3835" ht="19.5" customHeight="1">
      <c r="A3835" s="26" t="s">
        <v>10335</v>
      </c>
      <c r="B3835" s="27" t="s">
        <v>1496</v>
      </c>
      <c r="C3835" s="28" t="s">
        <v>178</v>
      </c>
      <c r="D3835" s="29">
        <v>53.0</v>
      </c>
      <c r="E3835" s="28" t="s">
        <v>10336</v>
      </c>
      <c r="F3835" s="7" t="str">
        <f>IFERROR(__xludf.DUMMYFUNCTION("GOOGLETRANSLATE(B3835:B5064,""en"",""fr"")"),"cher")</f>
        <v>cher</v>
      </c>
    </row>
    <row r="3836" ht="19.5" customHeight="1">
      <c r="A3836" s="26" t="s">
        <v>10337</v>
      </c>
      <c r="B3836" s="27" t="s">
        <v>10338</v>
      </c>
      <c r="C3836" s="28" t="s">
        <v>32</v>
      </c>
      <c r="D3836" s="29">
        <v>53.0</v>
      </c>
      <c r="E3836" s="28" t="s">
        <v>10339</v>
      </c>
      <c r="F3836" s="7" t="str">
        <f>IFERROR(__xludf.DUMMYFUNCTION("GOOGLETRANSLATE(B3836:B5064,""en"",""fr"")"),"décorer")</f>
        <v>décorer</v>
      </c>
    </row>
    <row r="3837" ht="19.5" customHeight="1">
      <c r="A3837" s="26" t="s">
        <v>10340</v>
      </c>
      <c r="B3837" s="27" t="s">
        <v>10341</v>
      </c>
      <c r="C3837" s="28" t="s">
        <v>178</v>
      </c>
      <c r="D3837" s="29">
        <v>53.0</v>
      </c>
      <c r="E3837" s="28" t="s">
        <v>10342</v>
      </c>
      <c r="F3837" s="7" t="str">
        <f>IFERROR(__xludf.DUMMYFUNCTION("GOOGLETRANSLATE(B3837:B5064,""en"",""fr"")"),"définition")</f>
        <v>définition</v>
      </c>
    </row>
    <row r="3838" ht="19.5" customHeight="1">
      <c r="A3838" s="26" t="s">
        <v>10343</v>
      </c>
      <c r="B3838" s="27" t="s">
        <v>10344</v>
      </c>
      <c r="C3838" s="28" t="s">
        <v>178</v>
      </c>
      <c r="D3838" s="29">
        <v>53.0</v>
      </c>
      <c r="E3838" s="28" t="s">
        <v>10345</v>
      </c>
      <c r="F3838" s="7" t="str">
        <f>IFERROR(__xludf.DUMMYFUNCTION("GOOGLETRANSLATE(B3838:B5064,""en"",""fr"")"),"développement")</f>
        <v>développement</v>
      </c>
    </row>
    <row r="3839" ht="19.5" customHeight="1">
      <c r="A3839" s="26" t="s">
        <v>10346</v>
      </c>
      <c r="B3839" s="27" t="s">
        <v>10347</v>
      </c>
      <c r="C3839" s="28" t="s">
        <v>178</v>
      </c>
      <c r="D3839" s="29">
        <v>53.0</v>
      </c>
      <c r="E3839" s="28" t="s">
        <v>10348</v>
      </c>
      <c r="F3839" s="7" t="str">
        <f>IFERROR(__xludf.DUMMYFUNCTION("GOOGLETRANSLATE(B3839:B5064,""en"",""fr"")"),"discipline")</f>
        <v>discipline</v>
      </c>
    </row>
    <row r="3840" ht="19.5" customHeight="1">
      <c r="A3840" s="26" t="s">
        <v>10349</v>
      </c>
      <c r="B3840" s="27" t="s">
        <v>3809</v>
      </c>
      <c r="C3840" s="28" t="s">
        <v>100</v>
      </c>
      <c r="D3840" s="29">
        <v>53.0</v>
      </c>
      <c r="E3840" s="28" t="s">
        <v>3809</v>
      </c>
      <c r="F3840" s="7" t="str">
        <f>IFERROR(__xludf.DUMMYFUNCTION("GOOGLETRANSLATE(B3840:B5064,""en"",""fr"")"),"double")</f>
        <v>double</v>
      </c>
    </row>
    <row r="3841" ht="19.5" customHeight="1">
      <c r="A3841" s="26" t="s">
        <v>10350</v>
      </c>
      <c r="B3841" s="27" t="s">
        <v>10351</v>
      </c>
      <c r="C3841" s="28" t="s">
        <v>178</v>
      </c>
      <c r="D3841" s="29">
        <v>53.0</v>
      </c>
      <c r="E3841" s="28" t="s">
        <v>10352</v>
      </c>
      <c r="F3841" s="7" t="str">
        <f>IFERROR(__xludf.DUMMYFUNCTION("GOOGLETRANSLATE(B3841:B5064,""en"",""fr"")"),"fin")</f>
        <v>fin</v>
      </c>
    </row>
    <row r="3842" ht="19.5" customHeight="1">
      <c r="A3842" s="26" t="s">
        <v>10353</v>
      </c>
      <c r="B3842" s="27" t="s">
        <v>10354</v>
      </c>
      <c r="C3842" s="28" t="s">
        <v>178</v>
      </c>
      <c r="D3842" s="29">
        <v>53.0</v>
      </c>
      <c r="E3842" s="28" t="s">
        <v>10355</v>
      </c>
      <c r="F3842" s="7" t="str">
        <f>IFERROR(__xludf.DUMMYFUNCTION("GOOGLETRANSLATE(B3842:B5064,""en"",""fr"")"),"entrée")</f>
        <v>entrée</v>
      </c>
    </row>
    <row r="3843" ht="19.5" customHeight="1">
      <c r="A3843" s="26" t="s">
        <v>10356</v>
      </c>
      <c r="B3843" s="27" t="s">
        <v>10357</v>
      </c>
      <c r="C3843" s="28" t="s">
        <v>178</v>
      </c>
      <c r="D3843" s="29">
        <v>53.0</v>
      </c>
      <c r="E3843" s="28" t="s">
        <v>10358</v>
      </c>
      <c r="F3843" s="7" t="str">
        <f>IFERROR(__xludf.DUMMYFUNCTION("GOOGLETRANSLATE(B3843:B5064,""en"",""fr"")"),"explosion")</f>
        <v>explosion</v>
      </c>
    </row>
    <row r="3844" ht="19.5" customHeight="1">
      <c r="A3844" s="26" t="s">
        <v>10359</v>
      </c>
      <c r="B3844" s="27" t="s">
        <v>10360</v>
      </c>
      <c r="C3844" s="28" t="s">
        <v>134</v>
      </c>
      <c r="D3844" s="29">
        <v>53.0</v>
      </c>
      <c r="E3844" s="28" t="s">
        <v>10360</v>
      </c>
      <c r="F3844" s="7" t="str">
        <f>IFERROR(__xludf.DUMMYFUNCTION("GOOGLETRANSLATE(B3844:B5064,""en"",""fr"")"),"congelé")</f>
        <v>congelé</v>
      </c>
    </row>
    <row r="3845" ht="19.5" customHeight="1">
      <c r="A3845" s="26" t="s">
        <v>10361</v>
      </c>
      <c r="B3845" s="27" t="s">
        <v>4152</v>
      </c>
      <c r="C3845" s="28" t="s">
        <v>32</v>
      </c>
      <c r="D3845" s="29">
        <v>53.0</v>
      </c>
      <c r="E3845" s="28" t="s">
        <v>10362</v>
      </c>
      <c r="F3845" s="7" t="str">
        <f>IFERROR(__xludf.DUMMYFUNCTION("GOOGLETRANSLATE(B3845:B5064,""en"",""fr"")"),"garde")</f>
        <v>garde</v>
      </c>
    </row>
    <row r="3846" ht="19.5" customHeight="1">
      <c r="A3846" s="26" t="s">
        <v>10363</v>
      </c>
      <c r="B3846" s="27" t="s">
        <v>10364</v>
      </c>
      <c r="C3846" s="28" t="s">
        <v>32</v>
      </c>
      <c r="D3846" s="29">
        <v>53.0</v>
      </c>
      <c r="E3846" s="28" t="s">
        <v>10365</v>
      </c>
      <c r="F3846" s="7" t="str">
        <f>IFERROR(__xludf.DUMMYFUNCTION("GOOGLETRANSLATE(B3846:B5064,""en"",""fr"")"),"pirater")</f>
        <v>pirater</v>
      </c>
    </row>
    <row r="3847" ht="19.5" customHeight="1">
      <c r="A3847" s="26" t="s">
        <v>10366</v>
      </c>
      <c r="B3847" s="27" t="s">
        <v>10367</v>
      </c>
      <c r="C3847" s="28" t="s">
        <v>134</v>
      </c>
      <c r="D3847" s="29">
        <v>53.0</v>
      </c>
      <c r="E3847" s="28" t="s">
        <v>10367</v>
      </c>
      <c r="F3847" s="7" t="str">
        <f>IFERROR(__xludf.DUMMYFUNCTION("GOOGLETRANSLATE(B3847:B5064,""en"",""fr"")"),"fait maison")</f>
        <v>fait maison</v>
      </c>
    </row>
    <row r="3848" ht="19.5" customHeight="1">
      <c r="A3848" s="26" t="s">
        <v>10368</v>
      </c>
      <c r="B3848" s="27" t="s">
        <v>10369</v>
      </c>
      <c r="C3848" s="28" t="s">
        <v>178</v>
      </c>
      <c r="D3848" s="29">
        <v>53.0</v>
      </c>
      <c r="E3848" s="28" t="s">
        <v>10370</v>
      </c>
      <c r="F3848" s="7" t="str">
        <f>IFERROR(__xludf.DUMMYFUNCTION("GOOGLETRANSLATE(B3848:B5064,""en"",""fr"")"),"chasseur")</f>
        <v>chasseur</v>
      </c>
    </row>
    <row r="3849" ht="19.5" customHeight="1">
      <c r="A3849" s="26" t="s">
        <v>10371</v>
      </c>
      <c r="B3849" s="27" t="s">
        <v>4285</v>
      </c>
      <c r="C3849" s="28" t="s">
        <v>32</v>
      </c>
      <c r="D3849" s="29">
        <v>53.0</v>
      </c>
      <c r="E3849" s="28" t="s">
        <v>10372</v>
      </c>
      <c r="F3849" s="7" t="str">
        <f>IFERROR(__xludf.DUMMYFUNCTION("GOOGLETRANSLATE(B3849:B5064,""en"",""fr"")"),"intérêt")</f>
        <v>intérêt</v>
      </c>
    </row>
    <row r="3850" ht="19.5" customHeight="1">
      <c r="A3850" s="26" t="s">
        <v>10373</v>
      </c>
      <c r="B3850" s="27" t="s">
        <v>10374</v>
      </c>
      <c r="C3850" s="28" t="s">
        <v>178</v>
      </c>
      <c r="D3850" s="29">
        <v>53.0</v>
      </c>
      <c r="E3850" s="28" t="s">
        <v>10375</v>
      </c>
      <c r="F3850" s="7" t="str">
        <f>IFERROR(__xludf.DUMMYFUNCTION("GOOGLETRANSLATE(B3850:B5064,""en"",""fr"")"),"cerf-volant")</f>
        <v>cerf-volant</v>
      </c>
    </row>
    <row r="3851" ht="19.5" customHeight="1">
      <c r="A3851" s="26" t="s">
        <v>10376</v>
      </c>
      <c r="B3851" s="27" t="s">
        <v>4426</v>
      </c>
      <c r="C3851" s="28" t="s">
        <v>32</v>
      </c>
      <c r="D3851" s="29">
        <v>53.0</v>
      </c>
      <c r="E3851" s="28" t="s">
        <v>10377</v>
      </c>
      <c r="F3851" s="7" t="str">
        <f>IFERROR(__xludf.DUMMYFUNCTION("GOOGLETRANSLATE(B3851:B5064,""en"",""fr"")"),"maître")</f>
        <v>maître</v>
      </c>
    </row>
    <row r="3852" ht="19.5" customHeight="1">
      <c r="A3852" s="26" t="s">
        <v>10378</v>
      </c>
      <c r="B3852" s="27" t="s">
        <v>10379</v>
      </c>
      <c r="C3852" s="28" t="s">
        <v>178</v>
      </c>
      <c r="D3852" s="29">
        <v>53.0</v>
      </c>
      <c r="E3852" s="28" t="s">
        <v>10380</v>
      </c>
      <c r="F3852" s="7" t="str">
        <f>IFERROR(__xludf.DUMMYFUNCTION("GOOGLETRANSLATE(B3852:B5064,""en"",""fr"")"),"entre temps")</f>
        <v>entre temps</v>
      </c>
    </row>
    <row r="3853" ht="19.5" customHeight="1">
      <c r="A3853" s="26" t="s">
        <v>10381</v>
      </c>
      <c r="B3853" s="27" t="s">
        <v>10382</v>
      </c>
      <c r="C3853" s="28" t="s">
        <v>178</v>
      </c>
      <c r="D3853" s="29">
        <v>53.0</v>
      </c>
      <c r="E3853" s="28" t="s">
        <v>10383</v>
      </c>
      <c r="F3853" s="7" t="str">
        <f>IFERROR(__xludf.DUMMYFUNCTION("GOOGLETRANSLATE(B3853:B5064,""en"",""fr"")"),"hypothèque")</f>
        <v>hypothèque</v>
      </c>
    </row>
    <row r="3854" ht="19.5" customHeight="1">
      <c r="A3854" s="26" t="s">
        <v>10384</v>
      </c>
      <c r="B3854" s="27" t="s">
        <v>10385</v>
      </c>
      <c r="C3854" s="28" t="s">
        <v>178</v>
      </c>
      <c r="D3854" s="29">
        <v>53.0</v>
      </c>
      <c r="E3854" s="28" t="s">
        <v>10386</v>
      </c>
      <c r="F3854" s="7" t="str">
        <f>IFERROR(__xludf.DUMMYFUNCTION("GOOGLETRANSLATE(B3854:B5064,""en"",""fr"")"),"nacho")</f>
        <v>nacho</v>
      </c>
    </row>
    <row r="3855" ht="19.5" customHeight="1">
      <c r="A3855" s="26" t="s">
        <v>10387</v>
      </c>
      <c r="B3855" s="27" t="s">
        <v>10388</v>
      </c>
      <c r="C3855" s="28" t="s">
        <v>85</v>
      </c>
      <c r="D3855" s="29">
        <v>53.0</v>
      </c>
      <c r="E3855" s="28" t="s">
        <v>10388</v>
      </c>
      <c r="F3855" s="7" t="str">
        <f>IFERROR(__xludf.DUMMYFUNCTION("GOOGLETRANSLATE(B3855:B5064,""en"",""fr"")"),"oho")</f>
        <v>oho</v>
      </c>
    </row>
    <row r="3856" ht="19.5" customHeight="1">
      <c r="A3856" s="26" t="s">
        <v>10389</v>
      </c>
      <c r="B3856" s="27" t="s">
        <v>10390</v>
      </c>
      <c r="C3856" s="28" t="s">
        <v>178</v>
      </c>
      <c r="D3856" s="29">
        <v>53.0</v>
      </c>
      <c r="E3856" s="28" t="s">
        <v>10391</v>
      </c>
      <c r="F3856" s="7" t="str">
        <f>IFERROR(__xludf.DUMMYFUNCTION("GOOGLETRANSLATE(B3856:B5064,""en"",""fr"")"),"pacte")</f>
        <v>pacte</v>
      </c>
    </row>
    <row r="3857" ht="19.5" customHeight="1">
      <c r="A3857" s="26" t="s">
        <v>10392</v>
      </c>
      <c r="B3857" s="27" t="s">
        <v>10393</v>
      </c>
      <c r="C3857" s="28" t="s">
        <v>178</v>
      </c>
      <c r="D3857" s="29">
        <v>53.0</v>
      </c>
      <c r="E3857" s="28" t="s">
        <v>10394</v>
      </c>
      <c r="F3857" s="7" t="str">
        <f>IFERROR(__xludf.DUMMYFUNCTION("GOOGLETRANSLATE(B3857:B5064,""en"",""fr"")"),"palais")</f>
        <v>palais</v>
      </c>
    </row>
    <row r="3858" ht="19.5" customHeight="1">
      <c r="A3858" s="26" t="s">
        <v>10395</v>
      </c>
      <c r="B3858" s="27" t="s">
        <v>10396</v>
      </c>
      <c r="C3858" s="28" t="s">
        <v>178</v>
      </c>
      <c r="D3858" s="29">
        <v>53.0</v>
      </c>
      <c r="E3858" s="28" t="s">
        <v>10397</v>
      </c>
      <c r="F3858" s="7" t="str">
        <f>IFERROR(__xludf.DUMMYFUNCTION("GOOGLETRANSLATE(B3858:B5064,""en"",""fr"")"),"mot de passe")</f>
        <v>mot de passe</v>
      </c>
    </row>
    <row r="3859" ht="19.5" customHeight="1">
      <c r="A3859" s="26" t="s">
        <v>10398</v>
      </c>
      <c r="B3859" s="27" t="s">
        <v>10399</v>
      </c>
      <c r="C3859" s="28" t="s">
        <v>178</v>
      </c>
      <c r="D3859" s="29">
        <v>53.0</v>
      </c>
      <c r="E3859" s="28" t="s">
        <v>10400</v>
      </c>
      <c r="F3859" s="7" t="str">
        <f>IFERROR(__xludf.DUMMYFUNCTION("GOOGLETRANSLATE(B3859:B5064,""en"",""fr"")"),"gage")</f>
        <v>gage</v>
      </c>
    </row>
    <row r="3860" ht="19.5" customHeight="1">
      <c r="A3860" s="26" t="s">
        <v>10401</v>
      </c>
      <c r="B3860" s="27" t="s">
        <v>10402</v>
      </c>
      <c r="C3860" s="28" t="s">
        <v>178</v>
      </c>
      <c r="D3860" s="29">
        <v>53.0</v>
      </c>
      <c r="E3860" s="28" t="s">
        <v>10403</v>
      </c>
      <c r="F3860" s="7" t="str">
        <f>IFERROR(__xludf.DUMMYFUNCTION("GOOGLETRANSLATE(B3860:B5064,""en"",""fr"")"),"étang")</f>
        <v>étang</v>
      </c>
    </row>
    <row r="3861" ht="19.5" customHeight="1">
      <c r="A3861" s="26" t="s">
        <v>10404</v>
      </c>
      <c r="B3861" s="27" t="s">
        <v>1697</v>
      </c>
      <c r="C3861" s="28" t="s">
        <v>32</v>
      </c>
      <c r="D3861" s="29">
        <v>53.0</v>
      </c>
      <c r="E3861" s="28" t="s">
        <v>10405</v>
      </c>
      <c r="F3861" s="7" t="str">
        <f>IFERROR(__xludf.DUMMYFUNCTION("GOOGLETRANSLATE(B3861:B5064,""en"",""fr"")"),"pouvoir")</f>
        <v>pouvoir</v>
      </c>
    </row>
    <row r="3862" ht="19.5" customHeight="1">
      <c r="A3862" s="26" t="s">
        <v>10406</v>
      </c>
      <c r="B3862" s="27" t="s">
        <v>10407</v>
      </c>
      <c r="C3862" s="28" t="s">
        <v>178</v>
      </c>
      <c r="D3862" s="29">
        <v>53.0</v>
      </c>
      <c r="E3862" s="28" t="s">
        <v>10408</v>
      </c>
      <c r="F3862" s="7" t="str">
        <f>IFERROR(__xludf.DUMMYFUNCTION("GOOGLETRANSLATE(B3862:B5064,""en"",""fr"")"),"résolution")</f>
        <v>résolution</v>
      </c>
    </row>
    <row r="3863" ht="19.5" customHeight="1">
      <c r="A3863" s="26" t="s">
        <v>10409</v>
      </c>
      <c r="B3863" s="27" t="s">
        <v>10410</v>
      </c>
      <c r="C3863" s="28" t="s">
        <v>32</v>
      </c>
      <c r="D3863" s="29">
        <v>53.0</v>
      </c>
      <c r="E3863" s="28" t="s">
        <v>10411</v>
      </c>
      <c r="F3863" s="7" t="str">
        <f>IFERROR(__xludf.DUMMYFUNCTION("GOOGLETRANSLATE(B3863:B5064,""en"",""fr"")"),"plate-forme")</f>
        <v>plate-forme</v>
      </c>
    </row>
    <row r="3864" ht="19.5" customHeight="1">
      <c r="A3864" s="26" t="s">
        <v>10412</v>
      </c>
      <c r="B3864" s="27" t="s">
        <v>10413</v>
      </c>
      <c r="C3864" s="28" t="s">
        <v>32</v>
      </c>
      <c r="D3864" s="29">
        <v>53.0</v>
      </c>
      <c r="E3864" s="28" t="s">
        <v>10414</v>
      </c>
      <c r="F3864" s="7" t="str">
        <f>IFERROR(__xludf.DUMMYFUNCTION("GOOGLETRANSLATE(B3864:B5064,""en"",""fr"")"),"sacrifier")</f>
        <v>sacrifier</v>
      </c>
    </row>
    <row r="3865" ht="19.5" customHeight="1">
      <c r="A3865" s="26" t="s">
        <v>10415</v>
      </c>
      <c r="B3865" s="27" t="s">
        <v>10416</v>
      </c>
      <c r="C3865" s="28" t="s">
        <v>178</v>
      </c>
      <c r="D3865" s="29">
        <v>53.0</v>
      </c>
      <c r="E3865" s="28" t="s">
        <v>10417</v>
      </c>
      <c r="F3865" s="7" t="str">
        <f>IFERROR(__xludf.DUMMYFUNCTION("GOOGLETRANSLATE(B3865:B5064,""en"",""fr"")"),"secteur")</f>
        <v>secteur</v>
      </c>
    </row>
    <row r="3866" ht="19.5" customHeight="1">
      <c r="A3866" s="26" t="s">
        <v>10418</v>
      </c>
      <c r="B3866" s="27" t="s">
        <v>7905</v>
      </c>
      <c r="C3866" s="28" t="s">
        <v>32</v>
      </c>
      <c r="D3866" s="29">
        <v>53.0</v>
      </c>
      <c r="E3866" s="28" t="s">
        <v>10419</v>
      </c>
      <c r="F3866" s="7" t="str">
        <f>IFERROR(__xludf.DUMMYFUNCTION("GOOGLETRANSLATE(B3866:B5064,""en"",""fr"")"),"vapeur")</f>
        <v>vapeur</v>
      </c>
    </row>
    <row r="3867" ht="19.5" customHeight="1">
      <c r="A3867" s="26" t="s">
        <v>10420</v>
      </c>
      <c r="B3867" s="27" t="s">
        <v>10421</v>
      </c>
      <c r="C3867" s="28" t="s">
        <v>178</v>
      </c>
      <c r="D3867" s="29">
        <v>53.0</v>
      </c>
      <c r="E3867" s="28" t="s">
        <v>10422</v>
      </c>
      <c r="F3867" s="7" t="str">
        <f>IFERROR(__xludf.DUMMYFUNCTION("GOOGLETRANSLATE(B3867:B5064,""en"",""fr"")"),"coucher de soleil")</f>
        <v>coucher de soleil</v>
      </c>
    </row>
    <row r="3868" ht="19.5" customHeight="1">
      <c r="A3868" s="26" t="s">
        <v>10423</v>
      </c>
      <c r="B3868" s="27" t="s">
        <v>10424</v>
      </c>
      <c r="C3868" s="28" t="s">
        <v>134</v>
      </c>
      <c r="D3868" s="29">
        <v>53.0</v>
      </c>
      <c r="E3868" s="28" t="s">
        <v>10424</v>
      </c>
      <c r="F3868" s="7" t="str">
        <f>IFERROR(__xludf.DUMMYFUNCTION("GOOGLETRANSLATE(B3868:B5064,""en"",""fr"")"),"supérieur")</f>
        <v>supérieur</v>
      </c>
    </row>
    <row r="3869" ht="19.5" customHeight="1">
      <c r="A3869" s="26" t="s">
        <v>10425</v>
      </c>
      <c r="B3869" s="27" t="s">
        <v>10426</v>
      </c>
      <c r="C3869" s="28" t="s">
        <v>178</v>
      </c>
      <c r="D3869" s="29">
        <v>53.0</v>
      </c>
      <c r="E3869" s="28" t="s">
        <v>10427</v>
      </c>
      <c r="F3869" s="7" t="str">
        <f>IFERROR(__xludf.DUMMYFUNCTION("GOOGLETRANSLATE(B3869:B5064,""en"",""fr"")"),"chirurgien")</f>
        <v>chirurgien</v>
      </c>
    </row>
    <row r="3870" ht="19.5" customHeight="1">
      <c r="A3870" s="26" t="s">
        <v>10428</v>
      </c>
      <c r="B3870" s="27" t="s">
        <v>10429</v>
      </c>
      <c r="C3870" s="28" t="s">
        <v>32</v>
      </c>
      <c r="D3870" s="29">
        <v>53.0</v>
      </c>
      <c r="E3870" s="28" t="s">
        <v>10430</v>
      </c>
      <c r="F3870" s="7" t="str">
        <f>IFERROR(__xludf.DUMMYFUNCTION("GOOGLETRANSLATE(B3870:B5064,""en"",""fr"")"),"taquiner")</f>
        <v>taquiner</v>
      </c>
    </row>
    <row r="3871" ht="19.5" customHeight="1">
      <c r="A3871" s="26" t="s">
        <v>10431</v>
      </c>
      <c r="B3871" s="27" t="s">
        <v>10432</v>
      </c>
      <c r="C3871" s="28" t="s">
        <v>100</v>
      </c>
      <c r="D3871" s="29">
        <v>53.0</v>
      </c>
      <c r="E3871" s="28" t="s">
        <v>10432</v>
      </c>
      <c r="F3871" s="7" t="str">
        <f>IFERROR(__xludf.DUMMYFUNCTION("GOOGLETRANSLATE(B3871:B5064,""en"",""fr"")"),"ainsi")</f>
        <v>ainsi</v>
      </c>
    </row>
    <row r="3872" ht="19.5" customHeight="1">
      <c r="A3872" s="26" t="s">
        <v>10433</v>
      </c>
      <c r="B3872" s="27" t="s">
        <v>10434</v>
      </c>
      <c r="C3872" s="28" t="s">
        <v>150</v>
      </c>
      <c r="D3872" s="29">
        <v>53.0</v>
      </c>
      <c r="E3872" s="28" t="s">
        <v>10434</v>
      </c>
      <c r="F3872" s="7" t="str">
        <f>IFERROR(__xludf.DUMMYFUNCTION("GOOGLETRANSLATE(B3872:B5064,""en"",""fr"")"),"vingt-huit")</f>
        <v>vingt-huit</v>
      </c>
    </row>
    <row r="3873" ht="19.5" customHeight="1">
      <c r="A3873" s="26" t="s">
        <v>10435</v>
      </c>
      <c r="B3873" s="27" t="s">
        <v>10436</v>
      </c>
      <c r="C3873" s="28" t="s">
        <v>178</v>
      </c>
      <c r="D3873" s="29">
        <v>53.0</v>
      </c>
      <c r="E3873" s="28" t="s">
        <v>10437</v>
      </c>
      <c r="F3873" s="7" t="str">
        <f>IFERROR(__xludf.DUMMYFUNCTION("GOOGLETRANSLATE(B3873:B5064,""en"",""fr"")"),"végétarien")</f>
        <v>végétarien</v>
      </c>
    </row>
    <row r="3874" ht="19.5" customHeight="1">
      <c r="A3874" s="26" t="s">
        <v>10438</v>
      </c>
      <c r="B3874" s="27" t="s">
        <v>10439</v>
      </c>
      <c r="C3874" s="28" t="s">
        <v>32</v>
      </c>
      <c r="D3874" s="29">
        <v>53.0</v>
      </c>
      <c r="E3874" s="28" t="s">
        <v>10440</v>
      </c>
      <c r="F3874" s="7" t="str">
        <f>IFERROR(__xludf.DUMMYFUNCTION("GOOGLETRANSLATE(B3874:B5064,""en"",""fr"")"),"cassette vidéo")</f>
        <v>cassette vidéo</v>
      </c>
    </row>
    <row r="3875" ht="19.5" customHeight="1">
      <c r="A3875" s="26" t="s">
        <v>10441</v>
      </c>
      <c r="B3875" s="27" t="s">
        <v>4774</v>
      </c>
      <c r="C3875" s="28" t="s">
        <v>32</v>
      </c>
      <c r="D3875" s="29">
        <v>53.0</v>
      </c>
      <c r="E3875" s="28" t="s">
        <v>10442</v>
      </c>
      <c r="F3875" s="7" t="str">
        <f>IFERROR(__xludf.DUMMYFUNCTION("GOOGLETRANSLATE(B3875:B5064,""en"",""fr"")"),"voir")</f>
        <v>voir</v>
      </c>
    </row>
    <row r="3876" ht="19.5" customHeight="1">
      <c r="A3876" s="26" t="s">
        <v>10443</v>
      </c>
      <c r="B3876" s="27" t="s">
        <v>6115</v>
      </c>
      <c r="C3876" s="28" t="s">
        <v>100</v>
      </c>
      <c r="D3876" s="29">
        <v>53.0</v>
      </c>
      <c r="E3876" s="28" t="s">
        <v>6116</v>
      </c>
      <c r="F3876" s="7" t="str">
        <f>IFERROR(__xludf.DUMMYFUNCTION("GOOGLETRANSLATE(B3876:B5064,""en"",""fr"")"),"large")</f>
        <v>large</v>
      </c>
    </row>
    <row r="3877" ht="19.5" customHeight="1">
      <c r="A3877" s="26" t="s">
        <v>10444</v>
      </c>
      <c r="B3877" s="27" t="s">
        <v>10445</v>
      </c>
      <c r="C3877" s="28" t="s">
        <v>178</v>
      </c>
      <c r="D3877" s="29">
        <v>53.0</v>
      </c>
      <c r="E3877" s="28" t="s">
        <v>10446</v>
      </c>
      <c r="F3877" s="7" t="str">
        <f>IFERROR(__xludf.DUMMYFUNCTION("GOOGLETRANSLATE(B3877:B5064,""en"",""fr"")"),"entraînement")</f>
        <v>entraînement</v>
      </c>
    </row>
    <row r="3878" ht="19.5" customHeight="1">
      <c r="A3878" s="26" t="s">
        <v>10447</v>
      </c>
      <c r="B3878" s="27" t="s">
        <v>10448</v>
      </c>
      <c r="C3878" s="28" t="s">
        <v>178</v>
      </c>
      <c r="D3878" s="29">
        <v>53.0</v>
      </c>
      <c r="E3878" s="28" t="s">
        <v>10449</v>
      </c>
      <c r="F3878" s="7" t="str">
        <f>IFERROR(__xludf.DUMMYFUNCTION("GOOGLETRANSLATE(B3878:B5064,""en"",""fr"")"),"blesser")</f>
        <v>blesser</v>
      </c>
    </row>
    <row r="3879" ht="19.5" customHeight="1">
      <c r="A3879" s="26" t="s">
        <v>10450</v>
      </c>
      <c r="B3879" s="27" t="s">
        <v>10451</v>
      </c>
      <c r="C3879" s="28" t="s">
        <v>178</v>
      </c>
      <c r="D3879" s="29">
        <v>53.0</v>
      </c>
      <c r="E3879" s="28" t="s">
        <v>10452</v>
      </c>
      <c r="F3879" s="7" t="str">
        <f>IFERROR(__xludf.DUMMYFUNCTION("GOOGLETRANSLATE(B3879:B5064,""en"",""fr"")"),"pyramide")</f>
        <v>pyramide</v>
      </c>
    </row>
    <row r="3880" ht="19.5" customHeight="1">
      <c r="A3880" s="26" t="s">
        <v>10453</v>
      </c>
      <c r="B3880" s="27" t="s">
        <v>10454</v>
      </c>
      <c r="C3880" s="28" t="s">
        <v>178</v>
      </c>
      <c r="D3880" s="29">
        <v>53.0</v>
      </c>
      <c r="E3880" s="28" t="s">
        <v>10455</v>
      </c>
      <c r="F3880" s="7" t="str">
        <f>IFERROR(__xludf.DUMMYFUNCTION("GOOGLETRANSLATE(B3880:B5064,""en"",""fr"")"),"buffet")</f>
        <v>buffet</v>
      </c>
    </row>
    <row r="3881" ht="19.5" customHeight="1">
      <c r="A3881" s="26" t="s">
        <v>10456</v>
      </c>
      <c r="B3881" s="27" t="s">
        <v>10457</v>
      </c>
      <c r="C3881" s="28" t="s">
        <v>178</v>
      </c>
      <c r="D3881" s="29">
        <v>52.0</v>
      </c>
      <c r="E3881" s="28" t="s">
        <v>10458</v>
      </c>
      <c r="F3881" s="7" t="str">
        <f>IFERROR(__xludf.DUMMYFUNCTION("GOOGLETRANSLATE(B3881:B5064,""en"",""fr"")"),"antique")</f>
        <v>antique</v>
      </c>
    </row>
    <row r="3882" ht="19.5" customHeight="1">
      <c r="A3882" s="26" t="s">
        <v>10459</v>
      </c>
      <c r="B3882" s="27" t="s">
        <v>10460</v>
      </c>
      <c r="C3882" s="28" t="s">
        <v>32</v>
      </c>
      <c r="D3882" s="29">
        <v>52.0</v>
      </c>
      <c r="E3882" s="28" t="s">
        <v>10461</v>
      </c>
      <c r="F3882" s="7" t="str">
        <f>IFERROR(__xludf.DUMMYFUNCTION("GOOGLETRANSLATE(B3882:B5064,""en"",""fr"")"),"appel")</f>
        <v>appel</v>
      </c>
    </row>
    <row r="3883" ht="19.5" customHeight="1">
      <c r="A3883" s="26" t="s">
        <v>10462</v>
      </c>
      <c r="B3883" s="27" t="s">
        <v>10463</v>
      </c>
      <c r="C3883" s="28" t="s">
        <v>178</v>
      </c>
      <c r="D3883" s="29">
        <v>52.0</v>
      </c>
      <c r="E3883" s="28" t="s">
        <v>10464</v>
      </c>
      <c r="F3883" s="7" t="str">
        <f>IFERROR(__xludf.DUMMYFUNCTION("GOOGLETRANSLATE(B3883:B5064,""en"",""fr"")"),"arrangement")</f>
        <v>arrangement</v>
      </c>
    </row>
    <row r="3884" ht="19.5" customHeight="1">
      <c r="A3884" s="26" t="s">
        <v>10465</v>
      </c>
      <c r="B3884" s="27" t="s">
        <v>2775</v>
      </c>
      <c r="C3884" s="28" t="s">
        <v>178</v>
      </c>
      <c r="D3884" s="29">
        <v>52.0</v>
      </c>
      <c r="E3884" s="28" t="s">
        <v>10466</v>
      </c>
      <c r="F3884" s="7" t="str">
        <f>IFERROR(__xludf.DUMMYFUNCTION("GOOGLETRANSLATE(B3884:B5064,""en"",""fr"")"),"base")</f>
        <v>base</v>
      </c>
    </row>
    <row r="3885" ht="19.5" customHeight="1">
      <c r="A3885" s="26" t="s">
        <v>10467</v>
      </c>
      <c r="B3885" s="27" t="s">
        <v>10468</v>
      </c>
      <c r="C3885" s="28" t="s">
        <v>178</v>
      </c>
      <c r="D3885" s="29">
        <v>52.0</v>
      </c>
      <c r="E3885" s="28" t="s">
        <v>10468</v>
      </c>
      <c r="F3885" s="7" t="str">
        <f>IFERROR(__xludf.DUMMYFUNCTION("GOOGLETRANSLATE(B3885:B5064,""en"",""fr"")"),"blues")</f>
        <v>blues</v>
      </c>
    </row>
    <row r="3886" ht="19.5" customHeight="1">
      <c r="A3886" s="26" t="s">
        <v>10469</v>
      </c>
      <c r="B3886" s="27" t="s">
        <v>10470</v>
      </c>
      <c r="C3886" s="28" t="s">
        <v>178</v>
      </c>
      <c r="D3886" s="29">
        <v>52.0</v>
      </c>
      <c r="E3886" s="28" t="s">
        <v>10471</v>
      </c>
      <c r="F3886" s="7" t="str">
        <f>IFERROR(__xludf.DUMMYFUNCTION("GOOGLETRANSLATE(B3886:B5064,""en"",""fr"")"),"fermeture")</f>
        <v>fermeture</v>
      </c>
    </row>
    <row r="3887" ht="19.5" customHeight="1">
      <c r="A3887" s="26" t="s">
        <v>10472</v>
      </c>
      <c r="B3887" s="27" t="s">
        <v>10473</v>
      </c>
      <c r="C3887" s="28" t="s">
        <v>134</v>
      </c>
      <c r="D3887" s="29">
        <v>52.0</v>
      </c>
      <c r="E3887" s="28" t="s">
        <v>10473</v>
      </c>
      <c r="F3887" s="7" t="str">
        <f>IFERROR(__xludf.DUMMYFUNCTION("GOOGLETRANSLATE(B3887:B5064,""en"",""fr"")"),"spectaculaire")</f>
        <v>spectaculaire</v>
      </c>
    </row>
    <row r="3888" ht="19.5" customHeight="1">
      <c r="A3888" s="26" t="s">
        <v>10474</v>
      </c>
      <c r="B3888" s="27" t="s">
        <v>10475</v>
      </c>
      <c r="C3888" s="28" t="s">
        <v>100</v>
      </c>
      <c r="D3888" s="29">
        <v>52.0</v>
      </c>
      <c r="E3888" s="28" t="s">
        <v>10475</v>
      </c>
      <c r="F3888" s="7" t="str">
        <f>IFERROR(__xludf.DUMMYFUNCTION("GOOGLETRANSLATE(B3888:B5064,""en"",""fr"")"),"en général")</f>
        <v>en général</v>
      </c>
    </row>
    <row r="3889" ht="19.5" customHeight="1">
      <c r="A3889" s="26" t="s">
        <v>10476</v>
      </c>
      <c r="B3889" s="27" t="s">
        <v>10477</v>
      </c>
      <c r="C3889" s="28" t="s">
        <v>134</v>
      </c>
      <c r="D3889" s="29">
        <v>52.0</v>
      </c>
      <c r="E3889" s="28" t="s">
        <v>10477</v>
      </c>
      <c r="F3889" s="7" t="str">
        <f>IFERROR(__xludf.DUMMYFUNCTION("GOOGLETRANSLATE(B3889:B5064,""en"",""fr"")"),"Guinée")</f>
        <v>Guinée</v>
      </c>
    </row>
    <row r="3890" ht="19.5" customHeight="1">
      <c r="A3890" s="26" t="s">
        <v>10478</v>
      </c>
      <c r="B3890" s="27" t="s">
        <v>10479</v>
      </c>
      <c r="C3890" s="28" t="s">
        <v>134</v>
      </c>
      <c r="D3890" s="29">
        <v>52.0</v>
      </c>
      <c r="E3890" s="28" t="s">
        <v>10479</v>
      </c>
      <c r="F3890" s="7" t="str">
        <f>IFERROR(__xludf.DUMMYFUNCTION("GOOGLETRANSLATE(B3890:B5064,""en"",""fr"")"),"hystérique")</f>
        <v>hystérique</v>
      </c>
    </row>
    <row r="3891" ht="19.5" customHeight="1">
      <c r="A3891" s="26" t="s">
        <v>10480</v>
      </c>
      <c r="B3891" s="27" t="s">
        <v>10481</v>
      </c>
      <c r="C3891" s="28" t="s">
        <v>134</v>
      </c>
      <c r="D3891" s="29">
        <v>52.0</v>
      </c>
      <c r="E3891" s="28" t="s">
        <v>10481</v>
      </c>
      <c r="F3891" s="7" t="str">
        <f>IFERROR(__xludf.DUMMYFUNCTION("GOOGLETRANSLATE(B3891:B5064,""en"",""fr"")"),"je vais")</f>
        <v>je vais</v>
      </c>
    </row>
    <row r="3892" ht="19.5" customHeight="1">
      <c r="A3892" s="26" t="s">
        <v>10482</v>
      </c>
      <c r="B3892" s="27" t="s">
        <v>10483</v>
      </c>
      <c r="C3892" s="28" t="s">
        <v>178</v>
      </c>
      <c r="D3892" s="29">
        <v>52.0</v>
      </c>
      <c r="E3892" s="28" t="s">
        <v>10484</v>
      </c>
      <c r="F3892" s="7" t="str">
        <f>IFERROR(__xludf.DUMMYFUNCTION("GOOGLETRANSLATE(B3892:B5064,""en"",""fr"")"),"couvercle")</f>
        <v>couvercle</v>
      </c>
    </row>
    <row r="3893" ht="19.5" customHeight="1">
      <c r="A3893" s="26" t="s">
        <v>10485</v>
      </c>
      <c r="B3893" s="27" t="s">
        <v>10486</v>
      </c>
      <c r="C3893" s="28" t="s">
        <v>178</v>
      </c>
      <c r="D3893" s="29">
        <v>52.0</v>
      </c>
      <c r="E3893" s="28" t="s">
        <v>10487</v>
      </c>
      <c r="F3893" s="7" t="str">
        <f>IFERROR(__xludf.DUMMYFUNCTION("GOOGLETRANSLATE(B3893:B5064,""en"",""fr"")"),"méthode")</f>
        <v>méthode</v>
      </c>
    </row>
    <row r="3894" ht="19.5" customHeight="1">
      <c r="A3894" s="26" t="s">
        <v>10488</v>
      </c>
      <c r="B3894" s="27" t="s">
        <v>10489</v>
      </c>
      <c r="C3894" s="28" t="s">
        <v>134</v>
      </c>
      <c r="D3894" s="29">
        <v>52.0</v>
      </c>
      <c r="E3894" s="28" t="s">
        <v>10489</v>
      </c>
      <c r="F3894" s="7" t="str">
        <f>IFERROR(__xludf.DUMMYFUNCTION("GOOGLETRANSLATE(B3894:B5064,""en"",""fr"")"),"scandaleux")</f>
        <v>scandaleux</v>
      </c>
    </row>
    <row r="3895" ht="19.5" customHeight="1">
      <c r="A3895" s="26" t="s">
        <v>10490</v>
      </c>
      <c r="B3895" s="27" t="s">
        <v>10491</v>
      </c>
      <c r="C3895" s="28" t="s">
        <v>32</v>
      </c>
      <c r="D3895" s="29">
        <v>52.0</v>
      </c>
      <c r="E3895" s="28" t="s">
        <v>10492</v>
      </c>
      <c r="F3895" s="7" t="str">
        <f>IFERROR(__xludf.DUMMYFUNCTION("GOOGLETRANSLATE(B3895:B5064,""en"",""fr"")"),"peler")</f>
        <v>peler</v>
      </c>
    </row>
    <row r="3896" ht="19.5" customHeight="1">
      <c r="A3896" s="26" t="s">
        <v>10493</v>
      </c>
      <c r="B3896" s="27" t="s">
        <v>10494</v>
      </c>
      <c r="C3896" s="28" t="s">
        <v>178</v>
      </c>
      <c r="D3896" s="29">
        <v>52.0</v>
      </c>
      <c r="E3896" s="28" t="s">
        <v>10495</v>
      </c>
      <c r="F3896" s="7" t="str">
        <f>IFERROR(__xludf.DUMMYFUNCTION("GOOGLETRANSLATE(B3896:B5064,""en"",""fr"")"),"éruption cutanée")</f>
        <v>éruption cutanée</v>
      </c>
    </row>
    <row r="3897" ht="19.5" customHeight="1">
      <c r="A3897" s="26" t="s">
        <v>10496</v>
      </c>
      <c r="B3897" s="27" t="s">
        <v>10413</v>
      </c>
      <c r="C3897" s="28" t="s">
        <v>178</v>
      </c>
      <c r="D3897" s="29">
        <v>52.0</v>
      </c>
      <c r="E3897" s="28" t="s">
        <v>10497</v>
      </c>
      <c r="F3897" s="7" t="str">
        <f>IFERROR(__xludf.DUMMYFUNCTION("GOOGLETRANSLATE(B3897:B5064,""en"",""fr"")"),"sacrifier")</f>
        <v>sacrifier</v>
      </c>
    </row>
    <row r="3898" ht="19.5" customHeight="1">
      <c r="A3898" s="26" t="s">
        <v>10498</v>
      </c>
      <c r="B3898" s="27" t="s">
        <v>10499</v>
      </c>
      <c r="C3898" s="28" t="s">
        <v>134</v>
      </c>
      <c r="D3898" s="29">
        <v>52.0</v>
      </c>
      <c r="E3898" s="28" t="s">
        <v>10499</v>
      </c>
      <c r="F3898" s="7" t="str">
        <f>IFERROR(__xludf.DUMMYFUNCTION("GOOGLETRANSLATE(B3898:B5064,""en"",""fr"")"),"soi-disant")</f>
        <v>soi-disant</v>
      </c>
    </row>
    <row r="3899" ht="19.5" customHeight="1">
      <c r="A3899" s="26" t="s">
        <v>10500</v>
      </c>
      <c r="B3899" s="27" t="s">
        <v>10501</v>
      </c>
      <c r="C3899" s="28" t="s">
        <v>134</v>
      </c>
      <c r="D3899" s="29">
        <v>52.0</v>
      </c>
      <c r="E3899" s="28" t="s">
        <v>10501</v>
      </c>
      <c r="F3899" s="7" t="str">
        <f>IFERROR(__xludf.DUMMYFUNCTION("GOOGLETRANSLATE(B3899:B5064,""en"",""fr"")"),"sophistiqué")</f>
        <v>sophistiqué</v>
      </c>
    </row>
    <row r="3900" ht="19.5" customHeight="1">
      <c r="A3900" s="26" t="s">
        <v>10502</v>
      </c>
      <c r="B3900" s="27" t="s">
        <v>10503</v>
      </c>
      <c r="C3900" s="28" t="s">
        <v>178</v>
      </c>
      <c r="D3900" s="29">
        <v>52.0</v>
      </c>
      <c r="E3900" s="28" t="s">
        <v>10504</v>
      </c>
      <c r="F3900" s="7" t="str">
        <f>IFERROR(__xludf.DUMMYFUNCTION("GOOGLETRANSLATE(B3900:B5064,""en"",""fr"")"),"tabouret")</f>
        <v>tabouret</v>
      </c>
    </row>
    <row r="3901" ht="19.5" customHeight="1">
      <c r="A3901" s="26" t="s">
        <v>10505</v>
      </c>
      <c r="B3901" s="27" t="s">
        <v>10506</v>
      </c>
      <c r="C3901" s="28" t="s">
        <v>32</v>
      </c>
      <c r="D3901" s="29">
        <v>52.0</v>
      </c>
      <c r="E3901" s="28" t="s">
        <v>10507</v>
      </c>
      <c r="F3901" s="7" t="str">
        <f>IFERROR(__xludf.DUMMYFUNCTION("GOOGLETRANSLATE(B3901:B5064,""en"",""fr"")"),"lutte")</f>
        <v>lutte</v>
      </c>
    </row>
    <row r="3902" ht="19.5" customHeight="1">
      <c r="A3902" s="26" t="s">
        <v>10508</v>
      </c>
      <c r="B3902" s="27" t="s">
        <v>10509</v>
      </c>
      <c r="C3902" s="28" t="s">
        <v>134</v>
      </c>
      <c r="D3902" s="29">
        <v>52.0</v>
      </c>
      <c r="E3902" s="28" t="s">
        <v>10510</v>
      </c>
      <c r="F3902" s="7" t="str">
        <f>IFERROR(__xludf.DUMMYFUNCTION("GOOGLETRANSLATE(B3902:B5064,""en"",""fr"")"),"subtil")</f>
        <v>subtil</v>
      </c>
    </row>
    <row r="3903" ht="19.5" customHeight="1">
      <c r="A3903" s="26" t="s">
        <v>10511</v>
      </c>
      <c r="B3903" s="27" t="s">
        <v>10512</v>
      </c>
      <c r="C3903" s="28" t="s">
        <v>32</v>
      </c>
      <c r="D3903" s="29">
        <v>52.0</v>
      </c>
      <c r="E3903" s="28" t="s">
        <v>10513</v>
      </c>
      <c r="F3903" s="7" t="str">
        <f>IFERROR(__xludf.DUMMYFUNCTION("GOOGLETRANSLATE(B3903:B5064,""en"",""fr"")"),"suspendre")</f>
        <v>suspendre</v>
      </c>
    </row>
    <row r="3904" ht="19.5" customHeight="1">
      <c r="A3904" s="26" t="s">
        <v>10514</v>
      </c>
      <c r="B3904" s="27" t="s">
        <v>10515</v>
      </c>
      <c r="C3904" s="28" t="s">
        <v>178</v>
      </c>
      <c r="D3904" s="29">
        <v>52.0</v>
      </c>
      <c r="E3904" s="28" t="s">
        <v>10516</v>
      </c>
      <c r="F3904" s="7" t="str">
        <f>IFERROR(__xludf.DUMMYFUNCTION("GOOGLETRANSLATE(B3904:B5064,""en"",""fr"")"),"tension")</f>
        <v>tension</v>
      </c>
    </row>
    <row r="3905" ht="19.5" customHeight="1">
      <c r="A3905" s="26" t="s">
        <v>10517</v>
      </c>
      <c r="B3905" s="27" t="s">
        <v>1241</v>
      </c>
      <c r="C3905" s="28" t="s">
        <v>32</v>
      </c>
      <c r="D3905" s="29">
        <v>52.0</v>
      </c>
      <c r="E3905" s="28" t="s">
        <v>10518</v>
      </c>
      <c r="F3905" s="7" t="str">
        <f>IFERROR(__xludf.DUMMYFUNCTION("GOOGLETRANSLATE(B3905:B5064,""en"",""fr"")"),"eau")</f>
        <v>eau</v>
      </c>
    </row>
    <row r="3906" ht="19.5" customHeight="1">
      <c r="A3906" s="26" t="s">
        <v>10519</v>
      </c>
      <c r="B3906" s="27" t="s">
        <v>10520</v>
      </c>
      <c r="C3906" s="28" t="s">
        <v>134</v>
      </c>
      <c r="D3906" s="29">
        <v>52.0</v>
      </c>
      <c r="E3906" s="28" t="s">
        <v>10521</v>
      </c>
      <c r="F3906" s="7" t="str">
        <f>IFERROR(__xludf.DUMMYFUNCTION("GOOGLETRANSLATE(B3906:B5064,""en"",""fr"")"),"riche")</f>
        <v>riche</v>
      </c>
    </row>
    <row r="3907" ht="19.5" customHeight="1">
      <c r="A3907" s="26" t="s">
        <v>10522</v>
      </c>
      <c r="B3907" s="27" t="s">
        <v>5986</v>
      </c>
      <c r="C3907" s="28" t="s">
        <v>134</v>
      </c>
      <c r="D3907" s="29">
        <v>52.0</v>
      </c>
      <c r="E3907" s="28" t="s">
        <v>10523</v>
      </c>
      <c r="F3907" s="7" t="str">
        <f>IFERROR(__xludf.DUMMYFUNCTION("GOOGLETRANSLATE(B3907:B5064,""en"",""fr"")"),"de rechange")</f>
        <v>de rechange</v>
      </c>
    </row>
    <row r="3908" ht="19.5" customHeight="1">
      <c r="A3908" s="26" t="s">
        <v>10524</v>
      </c>
      <c r="B3908" s="27" t="s">
        <v>10525</v>
      </c>
      <c r="C3908" s="28" t="s">
        <v>178</v>
      </c>
      <c r="D3908" s="29">
        <v>52.0</v>
      </c>
      <c r="E3908" s="28" t="s">
        <v>10526</v>
      </c>
      <c r="F3908" s="7" t="str">
        <f>IFERROR(__xludf.DUMMYFUNCTION("GOOGLETRANSLATE(B3908:B5064,""en"",""fr"")"),"coussin")</f>
        <v>coussin</v>
      </c>
    </row>
    <row r="3909" ht="19.5" customHeight="1">
      <c r="A3909" s="26" t="s">
        <v>10527</v>
      </c>
      <c r="B3909" s="27" t="s">
        <v>10528</v>
      </c>
      <c r="C3909" s="28" t="s">
        <v>178</v>
      </c>
      <c r="D3909" s="29">
        <v>52.0</v>
      </c>
      <c r="E3909" s="28" t="s">
        <v>10529</v>
      </c>
      <c r="F3909" s="7" t="str">
        <f>IFERROR(__xludf.DUMMYFUNCTION("GOOGLETRANSLATE(B3909:B5064,""en"",""fr"")"),"rebelle")</f>
        <v>rebelle</v>
      </c>
    </row>
    <row r="3910" ht="19.5" customHeight="1">
      <c r="A3910" s="26" t="s">
        <v>10530</v>
      </c>
      <c r="B3910" s="27" t="s">
        <v>10531</v>
      </c>
      <c r="C3910" s="28" t="s">
        <v>728</v>
      </c>
      <c r="D3910" s="29">
        <v>52.0</v>
      </c>
      <c r="E3910" s="28" t="s">
        <v>10531</v>
      </c>
      <c r="F3910" s="7" t="str">
        <f>IFERROR(__xludf.DUMMYFUNCTION("GOOGLETRANSLATE(B3910:B5064,""en"",""fr"")"),"Mafia")</f>
        <v>Mafia</v>
      </c>
    </row>
    <row r="3911" ht="19.5" customHeight="1">
      <c r="A3911" s="26" t="s">
        <v>10532</v>
      </c>
      <c r="B3911" s="27" t="s">
        <v>10533</v>
      </c>
      <c r="C3911" s="28" t="s">
        <v>32</v>
      </c>
      <c r="D3911" s="29">
        <v>51.0</v>
      </c>
      <c r="E3911" s="28" t="s">
        <v>10534</v>
      </c>
      <c r="F3911" s="7" t="str">
        <f>IFERROR(__xludf.DUMMYFUNCTION("GOOGLETRANSLATE(B3911:B5064,""en"",""fr"")"),"but")</f>
        <v>but</v>
      </c>
    </row>
    <row r="3912" ht="19.5" customHeight="1">
      <c r="A3912" s="26" t="s">
        <v>10535</v>
      </c>
      <c r="B3912" s="27" t="s">
        <v>10536</v>
      </c>
      <c r="C3912" s="28" t="s">
        <v>178</v>
      </c>
      <c r="D3912" s="29">
        <v>51.0</v>
      </c>
      <c r="E3912" s="28" t="s">
        <v>10537</v>
      </c>
      <c r="F3912" s="7" t="str">
        <f>IFERROR(__xludf.DUMMYFUNCTION("GOOGLETRANSLATE(B3912:B5064,""en"",""fr"")"),"auto")</f>
        <v>auto</v>
      </c>
    </row>
    <row r="3913" ht="19.5" customHeight="1">
      <c r="A3913" s="26" t="s">
        <v>10538</v>
      </c>
      <c r="B3913" s="27" t="s">
        <v>10539</v>
      </c>
      <c r="C3913" s="28" t="s">
        <v>178</v>
      </c>
      <c r="D3913" s="29">
        <v>51.0</v>
      </c>
      <c r="E3913" s="28" t="s">
        <v>10540</v>
      </c>
      <c r="F3913" s="7" t="str">
        <f>IFERROR(__xludf.DUMMYFUNCTION("GOOGLETRANSLATE(B3913:B5064,""en"",""fr"")"),"intestin")</f>
        <v>intestin</v>
      </c>
    </row>
    <row r="3914" ht="19.5" customHeight="1">
      <c r="A3914" s="26" t="s">
        <v>10541</v>
      </c>
      <c r="B3914" s="27" t="s">
        <v>4741</v>
      </c>
      <c r="C3914" s="28" t="s">
        <v>32</v>
      </c>
      <c r="D3914" s="29">
        <v>51.0</v>
      </c>
      <c r="E3914" s="28" t="s">
        <v>10542</v>
      </c>
      <c r="F3914" s="7" t="str">
        <f>IFERROR(__xludf.DUMMYFUNCTION("GOOGLETRANSLATE(B3914:B5064,""en"",""fr"")"),"bogue")</f>
        <v>bogue</v>
      </c>
    </row>
    <row r="3915" ht="19.5" customHeight="1">
      <c r="A3915" s="26" t="s">
        <v>10543</v>
      </c>
      <c r="B3915" s="27" t="s">
        <v>10544</v>
      </c>
      <c r="C3915" s="28" t="s">
        <v>178</v>
      </c>
      <c r="D3915" s="29">
        <v>51.0</v>
      </c>
      <c r="E3915" s="28" t="s">
        <v>10545</v>
      </c>
      <c r="F3915" s="7" t="str">
        <f>IFERROR(__xludf.DUMMYFUNCTION("GOOGLETRANSLATE(B3915:B5064,""en"",""fr"")"),"déception")</f>
        <v>déception</v>
      </c>
    </row>
    <row r="3916" ht="19.5" customHeight="1">
      <c r="A3916" s="26" t="s">
        <v>10546</v>
      </c>
      <c r="B3916" s="27" t="s">
        <v>10547</v>
      </c>
      <c r="C3916" s="28" t="s">
        <v>32</v>
      </c>
      <c r="D3916" s="29">
        <v>51.0</v>
      </c>
      <c r="E3916" s="28" t="s">
        <v>10548</v>
      </c>
      <c r="F3916" s="7" t="str">
        <f>IFERROR(__xludf.DUMMYFUNCTION("GOOGLETRANSLATE(B3916:B5064,""en"",""fr"")"),"s'adresser")</f>
        <v>s'adresser</v>
      </c>
    </row>
    <row r="3917" ht="19.5" customHeight="1">
      <c r="A3917" s="26" t="s">
        <v>10549</v>
      </c>
      <c r="B3917" s="27" t="s">
        <v>10550</v>
      </c>
      <c r="C3917" s="28" t="s">
        <v>4654</v>
      </c>
      <c r="D3917" s="29">
        <v>51.0</v>
      </c>
      <c r="E3917" s="28" t="s">
        <v>10551</v>
      </c>
      <c r="F3917" s="7" t="str">
        <f>IFERROR(__xludf.DUMMYFUNCTION("GOOGLETRANSLATE(B3917:B5064,""en"",""fr"")"),"PDG")</f>
        <v>PDG</v>
      </c>
    </row>
    <row r="3918" ht="19.5" customHeight="1">
      <c r="A3918" s="26" t="s">
        <v>10552</v>
      </c>
      <c r="B3918" s="27" t="s">
        <v>10553</v>
      </c>
      <c r="C3918" s="28" t="s">
        <v>134</v>
      </c>
      <c r="D3918" s="29">
        <v>51.0</v>
      </c>
      <c r="E3918" s="28" t="s">
        <v>10554</v>
      </c>
      <c r="F3918" s="7" t="str">
        <f>IFERROR(__xludf.DUMMYFUNCTION("GOOGLETRANSLATE(B3918:B5064,""en"",""fr"")"),"joufflu")</f>
        <v>joufflu</v>
      </c>
    </row>
    <row r="3919" ht="19.5" customHeight="1">
      <c r="A3919" s="26" t="s">
        <v>10555</v>
      </c>
      <c r="B3919" s="27" t="s">
        <v>10556</v>
      </c>
      <c r="C3919" s="28" t="s">
        <v>32</v>
      </c>
      <c r="D3919" s="29">
        <v>51.0</v>
      </c>
      <c r="E3919" s="28" t="s">
        <v>10557</v>
      </c>
      <c r="F3919" s="7" t="str">
        <f>IFERROR(__xludf.DUMMYFUNCTION("GOOGLETRANSLATE(B3919:B5064,""en"",""fr"")"),"confort")</f>
        <v>confort</v>
      </c>
    </row>
    <row r="3920" ht="19.5" customHeight="1">
      <c r="A3920" s="26" t="s">
        <v>10558</v>
      </c>
      <c r="B3920" s="27" t="s">
        <v>10559</v>
      </c>
      <c r="C3920" s="28" t="s">
        <v>178</v>
      </c>
      <c r="D3920" s="29">
        <v>51.0</v>
      </c>
      <c r="E3920" s="28" t="s">
        <v>10560</v>
      </c>
      <c r="F3920" s="7" t="str">
        <f>IFERROR(__xludf.DUMMYFUNCTION("GOOGLETRANSLATE(B3920:B5064,""en"",""fr"")"),"conflit")</f>
        <v>conflit</v>
      </c>
    </row>
    <row r="3921" ht="19.5" customHeight="1">
      <c r="A3921" s="26" t="s">
        <v>10561</v>
      </c>
      <c r="B3921" s="27" t="s">
        <v>10562</v>
      </c>
      <c r="C3921" s="28" t="s">
        <v>32</v>
      </c>
      <c r="D3921" s="29">
        <v>51.0</v>
      </c>
      <c r="E3921" s="28" t="s">
        <v>10563</v>
      </c>
      <c r="F3921" s="7" t="str">
        <f>IFERROR(__xludf.DUMMYFUNCTION("GOOGLETRANSLATE(B3921:B5064,""en"",""fr"")"),"convertir")</f>
        <v>convertir</v>
      </c>
    </row>
    <row r="3922" ht="19.5" customHeight="1">
      <c r="A3922" s="26" t="s">
        <v>10564</v>
      </c>
      <c r="B3922" s="27" t="s">
        <v>10565</v>
      </c>
      <c r="C3922" s="28" t="s">
        <v>178</v>
      </c>
      <c r="D3922" s="29">
        <v>51.0</v>
      </c>
      <c r="E3922" s="28" t="s">
        <v>10566</v>
      </c>
      <c r="F3922" s="7" t="str">
        <f>IFERROR(__xludf.DUMMYFUNCTION("GOOGLETRANSLATE(B3922:B5064,""en"",""fr"")"),"laitier")</f>
        <v>laitier</v>
      </c>
    </row>
    <row r="3923" ht="19.5" customHeight="1">
      <c r="A3923" s="26" t="s">
        <v>10567</v>
      </c>
      <c r="B3923" s="27" t="s">
        <v>10568</v>
      </c>
      <c r="C3923" s="28" t="s">
        <v>178</v>
      </c>
      <c r="D3923" s="29">
        <v>51.0</v>
      </c>
      <c r="E3923" s="28" t="s">
        <v>10569</v>
      </c>
      <c r="F3923" s="7" t="str">
        <f>IFERROR(__xludf.DUMMYFUNCTION("GOOGLETRANSLATE(B3923:B5064,""en"",""fr"")"),"division")</f>
        <v>division</v>
      </c>
    </row>
    <row r="3924" ht="19.5" customHeight="1">
      <c r="A3924" s="26" t="s">
        <v>10570</v>
      </c>
      <c r="B3924" s="27" t="s">
        <v>10571</v>
      </c>
      <c r="C3924" s="28" t="s">
        <v>178</v>
      </c>
      <c r="D3924" s="29">
        <v>51.0</v>
      </c>
      <c r="E3924" s="28" t="s">
        <v>10572</v>
      </c>
      <c r="F3924" s="7" t="str">
        <f>IFERROR(__xludf.DUMMYFUNCTION("GOOGLETRANSLATE(B3924:B5064,""en"",""fr"")"),"don")</f>
        <v>don</v>
      </c>
    </row>
    <row r="3925" ht="19.5" customHeight="1">
      <c r="A3925" s="26" t="s">
        <v>10573</v>
      </c>
      <c r="B3925" s="27" t="s">
        <v>10574</v>
      </c>
      <c r="C3925" s="28" t="s">
        <v>32</v>
      </c>
      <c r="D3925" s="29">
        <v>51.0</v>
      </c>
      <c r="E3925" s="28" t="s">
        <v>10575</v>
      </c>
      <c r="F3925" s="7" t="str">
        <f>IFERROR(__xludf.DUMMYFUNCTION("GOOGLETRANSLATE(B3925:B5064,""en"",""fr"")"),"modifier")</f>
        <v>modifier</v>
      </c>
    </row>
    <row r="3926" ht="19.5" customHeight="1">
      <c r="A3926" s="26" t="s">
        <v>10576</v>
      </c>
      <c r="B3926" s="27" t="s">
        <v>10577</v>
      </c>
      <c r="C3926" s="28" t="s">
        <v>32</v>
      </c>
      <c r="D3926" s="29">
        <v>51.0</v>
      </c>
      <c r="E3926" s="28" t="s">
        <v>10578</v>
      </c>
      <c r="F3926" s="7" t="str">
        <f>IFERROR(__xludf.DUMMYFUNCTION("GOOGLETRANSLATE(B3926:B5064,""en"",""fr"")"),"expirer")</f>
        <v>expirer</v>
      </c>
    </row>
    <row r="3927" ht="19.5" customHeight="1">
      <c r="A3927" s="26" t="s">
        <v>10579</v>
      </c>
      <c r="B3927" s="27" t="s">
        <v>6548</v>
      </c>
      <c r="C3927" s="28" t="s">
        <v>32</v>
      </c>
      <c r="D3927" s="29">
        <v>51.0</v>
      </c>
      <c r="E3927" s="28" t="s">
        <v>10580</v>
      </c>
      <c r="F3927" s="7" t="str">
        <f>IFERROR(__xludf.DUMMYFUNCTION("GOOGLETRANSLATE(B3927:B5064,""en"",""fr"")"),"éclair")</f>
        <v>éclair</v>
      </c>
    </row>
    <row r="3928" ht="19.5" customHeight="1">
      <c r="A3928" s="26" t="s">
        <v>10581</v>
      </c>
      <c r="B3928" s="27" t="s">
        <v>10582</v>
      </c>
      <c r="C3928" s="28" t="s">
        <v>178</v>
      </c>
      <c r="D3928" s="29">
        <v>51.0</v>
      </c>
      <c r="E3928" s="28" t="s">
        <v>10583</v>
      </c>
      <c r="F3928" s="7" t="str">
        <f>IFERROR(__xludf.DUMMYFUNCTION("GOOGLETRANSLATE(B3928:B5064,""en"",""fr"")"),"prospectus")</f>
        <v>prospectus</v>
      </c>
    </row>
    <row r="3929" ht="19.5" customHeight="1">
      <c r="A3929" s="26" t="s">
        <v>10584</v>
      </c>
      <c r="B3929" s="27" t="s">
        <v>10585</v>
      </c>
      <c r="C3929" s="28" t="s">
        <v>134</v>
      </c>
      <c r="D3929" s="29">
        <v>51.0</v>
      </c>
      <c r="E3929" s="28" t="s">
        <v>10586</v>
      </c>
      <c r="F3929" s="7" t="str">
        <f>IFERROR(__xludf.DUMMYFUNCTION("GOOGLETRANSLATE(B3929:B5064,""en"",""fr"")"),"bizarre")</f>
        <v>bizarre</v>
      </c>
    </row>
    <row r="3930" ht="19.5" customHeight="1">
      <c r="A3930" s="26" t="s">
        <v>10587</v>
      </c>
      <c r="B3930" s="27" t="s">
        <v>10588</v>
      </c>
      <c r="C3930" s="28" t="s">
        <v>178</v>
      </c>
      <c r="D3930" s="29">
        <v>51.0</v>
      </c>
      <c r="E3930" s="28" t="s">
        <v>10588</v>
      </c>
      <c r="F3930" s="7" t="str">
        <f>IFERROR(__xludf.DUMMYFUNCTION("GOOGLETRANSLATE(B3930:B5064,""en"",""fr"")"),"marchandises")</f>
        <v>marchandises</v>
      </c>
    </row>
    <row r="3931" ht="19.5" customHeight="1">
      <c r="A3931" s="26" t="s">
        <v>10589</v>
      </c>
      <c r="B3931" s="27" t="s">
        <v>10590</v>
      </c>
      <c r="C3931" s="28" t="s">
        <v>178</v>
      </c>
      <c r="D3931" s="29">
        <v>51.0</v>
      </c>
      <c r="E3931" s="28" t="s">
        <v>10591</v>
      </c>
      <c r="F3931" s="7" t="str">
        <f>IFERROR(__xludf.DUMMYFUNCTION("GOOGLETRANSLATE(B3931:B5064,""en"",""fr"")"),"hamster")</f>
        <v>hamster</v>
      </c>
    </row>
    <row r="3932" ht="19.5" customHeight="1">
      <c r="A3932" s="26" t="s">
        <v>10592</v>
      </c>
      <c r="B3932" s="27" t="s">
        <v>10593</v>
      </c>
      <c r="C3932" s="28" t="s">
        <v>178</v>
      </c>
      <c r="D3932" s="29">
        <v>51.0</v>
      </c>
      <c r="E3932" s="28" t="s">
        <v>10594</v>
      </c>
      <c r="F3932" s="7" t="str">
        <f>IFERROR(__xludf.DUMMYFUNCTION("GOOGLETRANSLATE(B3932:B5064,""en"",""fr"")"),"honnêteté")</f>
        <v>honnêteté</v>
      </c>
    </row>
    <row r="3933" ht="19.5" customHeight="1">
      <c r="A3933" s="26" t="s">
        <v>10595</v>
      </c>
      <c r="B3933" s="27" t="s">
        <v>10596</v>
      </c>
      <c r="C3933" s="28" t="s">
        <v>134</v>
      </c>
      <c r="D3933" s="29">
        <v>51.0</v>
      </c>
      <c r="E3933" s="28" t="s">
        <v>10596</v>
      </c>
      <c r="F3933" s="7" t="str">
        <f>IFERROR(__xludf.DUMMYFUNCTION("GOOGLETRANSLATE(B3933:B5064,""en"",""fr"")"),"ignorant")</f>
        <v>ignorant</v>
      </c>
    </row>
    <row r="3934" ht="19.5" customHeight="1">
      <c r="A3934" s="26" t="s">
        <v>10597</v>
      </c>
      <c r="B3934" s="27" t="s">
        <v>10598</v>
      </c>
      <c r="C3934" s="28" t="s">
        <v>178</v>
      </c>
      <c r="D3934" s="29">
        <v>51.0</v>
      </c>
      <c r="E3934" s="28" t="s">
        <v>10599</v>
      </c>
      <c r="F3934" s="7" t="str">
        <f>IFERROR(__xludf.DUMMYFUNCTION("GOOGLETRANSLATE(B3934:B5064,""en"",""fr"")"),"inspiration")</f>
        <v>inspiration</v>
      </c>
    </row>
    <row r="3935" ht="19.5" customHeight="1">
      <c r="A3935" s="26" t="s">
        <v>10600</v>
      </c>
      <c r="B3935" s="27" t="s">
        <v>10601</v>
      </c>
      <c r="C3935" s="28" t="s">
        <v>32</v>
      </c>
      <c r="D3935" s="29">
        <v>51.0</v>
      </c>
      <c r="E3935" s="28" t="s">
        <v>10602</v>
      </c>
      <c r="F3935" s="7" t="str">
        <f>IFERROR(__xludf.DUMMYFUNCTION("GOOGLETRANSLATE(B3935:B5064,""en"",""fr"")"),"masturber")</f>
        <v>masturber</v>
      </c>
    </row>
    <row r="3936" ht="19.5" customHeight="1">
      <c r="A3936" s="26" t="s">
        <v>10603</v>
      </c>
      <c r="B3936" s="27" t="s">
        <v>10604</v>
      </c>
      <c r="C3936" s="28" t="s">
        <v>178</v>
      </c>
      <c r="D3936" s="29">
        <v>51.0</v>
      </c>
      <c r="E3936" s="28" t="s">
        <v>10605</v>
      </c>
      <c r="F3936" s="7" t="str">
        <f>IFERROR(__xludf.DUMMYFUNCTION("GOOGLETRANSLATE(B3936:B5064,""en"",""fr"")"),"melon")</f>
        <v>melon</v>
      </c>
    </row>
    <row r="3937" ht="19.5" customHeight="1">
      <c r="A3937" s="26" t="s">
        <v>10606</v>
      </c>
      <c r="B3937" s="27" t="s">
        <v>10607</v>
      </c>
      <c r="C3937" s="28" t="s">
        <v>178</v>
      </c>
      <c r="D3937" s="29">
        <v>51.0</v>
      </c>
      <c r="E3937" s="28" t="s">
        <v>10608</v>
      </c>
      <c r="F3937" s="7" t="str">
        <f>IFERROR(__xludf.DUMMYFUNCTION("GOOGLETRANSLATE(B3937:B5064,""en"",""fr"")"),"métaphore")</f>
        <v>métaphore</v>
      </c>
    </row>
    <row r="3938" ht="19.5" customHeight="1">
      <c r="A3938" s="26" t="s">
        <v>10609</v>
      </c>
      <c r="B3938" s="27" t="s">
        <v>10610</v>
      </c>
      <c r="C3938" s="28" t="s">
        <v>178</v>
      </c>
      <c r="D3938" s="29">
        <v>51.0</v>
      </c>
      <c r="E3938" s="28" t="s">
        <v>10611</v>
      </c>
      <c r="F3938" s="7" t="str">
        <f>IFERROR(__xludf.DUMMYFUNCTION("GOOGLETRANSLATE(B3938:B5064,""en"",""fr"")"),"nain")</f>
        <v>nain</v>
      </c>
    </row>
    <row r="3939" ht="19.5" customHeight="1">
      <c r="A3939" s="26" t="s">
        <v>10612</v>
      </c>
      <c r="B3939" s="27" t="s">
        <v>10613</v>
      </c>
      <c r="C3939" s="28" t="s">
        <v>134</v>
      </c>
      <c r="D3939" s="29">
        <v>51.0</v>
      </c>
      <c r="E3939" s="28" t="s">
        <v>10613</v>
      </c>
      <c r="F3939" s="7" t="str">
        <f>IFERROR(__xludf.DUMMYFUNCTION("GOOGLETRANSLATE(B3939:B5064,""en"",""fr"")"),"morale")</f>
        <v>morale</v>
      </c>
    </row>
    <row r="3940" ht="19.5" customHeight="1">
      <c r="A3940" s="26" t="s">
        <v>10614</v>
      </c>
      <c r="B3940" s="27" t="s">
        <v>10615</v>
      </c>
      <c r="C3940" s="28" t="s">
        <v>178</v>
      </c>
      <c r="D3940" s="29">
        <v>51.0</v>
      </c>
      <c r="E3940" s="28" t="s">
        <v>10616</v>
      </c>
      <c r="F3940" s="7" t="str">
        <f>IFERROR(__xludf.DUMMYFUNCTION("GOOGLETRANSLATE(B3940:B5064,""en"",""fr"")"),"motel")</f>
        <v>motel</v>
      </c>
    </row>
    <row r="3941" ht="19.5" customHeight="1">
      <c r="A3941" s="26" t="s">
        <v>10617</v>
      </c>
      <c r="B3941" s="27" t="s">
        <v>10618</v>
      </c>
      <c r="C3941" s="28" t="s">
        <v>178</v>
      </c>
      <c r="D3941" s="29">
        <v>51.0</v>
      </c>
      <c r="E3941" s="28" t="s">
        <v>10619</v>
      </c>
      <c r="F3941" s="7" t="str">
        <f>IFERROR(__xludf.DUMMYFUNCTION("GOOGLETRANSLATE(B3941:B5064,""en"",""fr"")"),"filet")</f>
        <v>filet</v>
      </c>
    </row>
    <row r="3942" ht="19.5" customHeight="1">
      <c r="A3942" s="26" t="s">
        <v>10620</v>
      </c>
      <c r="B3942" s="27" t="s">
        <v>10621</v>
      </c>
      <c r="C3942" s="28" t="s">
        <v>150</v>
      </c>
      <c r="D3942" s="29">
        <v>51.0</v>
      </c>
      <c r="E3942" s="28" t="s">
        <v>10621</v>
      </c>
      <c r="F3942" s="7" t="str">
        <f>IFERROR(__xludf.DUMMYFUNCTION("GOOGLETRANSLATE(B3942:B5064,""en"",""fr"")"),"cent cinquante")</f>
        <v>cent cinquante</v>
      </c>
    </row>
    <row r="3943" ht="19.5" customHeight="1">
      <c r="A3943" s="26" t="s">
        <v>10622</v>
      </c>
      <c r="B3943" s="27" t="s">
        <v>10623</v>
      </c>
      <c r="C3943" s="28" t="s">
        <v>32</v>
      </c>
      <c r="D3943" s="29">
        <v>51.0</v>
      </c>
      <c r="E3943" s="28" t="s">
        <v>10624</v>
      </c>
      <c r="F3943" s="7" t="str">
        <f>IFERROR(__xludf.DUMMYFUNCTION("GOOGLETRANSLATE(B3943:B5064,""en"",""fr"")"),"participer")</f>
        <v>participer</v>
      </c>
    </row>
    <row r="3944" ht="19.5" customHeight="1">
      <c r="A3944" s="26" t="s">
        <v>10625</v>
      </c>
      <c r="B3944" s="27" t="s">
        <v>10626</v>
      </c>
      <c r="C3944" s="28" t="s">
        <v>178</v>
      </c>
      <c r="D3944" s="29">
        <v>51.0</v>
      </c>
      <c r="E3944" s="28" t="s">
        <v>10627</v>
      </c>
      <c r="F3944" s="7" t="str">
        <f>IFERROR(__xludf.DUMMYFUNCTION("GOOGLETRANSLATE(B3944:B5064,""en"",""fr"")"),"stratège")</f>
        <v>stratège</v>
      </c>
    </row>
    <row r="3945" ht="19.5" customHeight="1">
      <c r="A3945" s="26" t="s">
        <v>10628</v>
      </c>
      <c r="B3945" s="27" t="s">
        <v>10629</v>
      </c>
      <c r="C3945" s="28" t="s">
        <v>178</v>
      </c>
      <c r="D3945" s="29">
        <v>51.0</v>
      </c>
      <c r="E3945" s="28" t="s">
        <v>10630</v>
      </c>
      <c r="F3945" s="7" t="str">
        <f>IFERROR(__xludf.DUMMYFUNCTION("GOOGLETRANSLATE(B3945:B5064,""en"",""fr"")"),"radiation")</f>
        <v>radiation</v>
      </c>
    </row>
    <row r="3946" ht="19.5" customHeight="1">
      <c r="A3946" s="26" t="s">
        <v>10631</v>
      </c>
      <c r="B3946" s="27" t="s">
        <v>10632</v>
      </c>
      <c r="C3946" s="28" t="s">
        <v>134</v>
      </c>
      <c r="D3946" s="29">
        <v>51.0</v>
      </c>
      <c r="E3946" s="28" t="s">
        <v>10633</v>
      </c>
      <c r="F3946" s="7" t="str">
        <f>IFERROR(__xludf.DUMMYFUNCTION("GOOGLETRANSLATE(B3946:B5064,""en"",""fr"")"),"brut")</f>
        <v>brut</v>
      </c>
    </row>
    <row r="3947" ht="19.5" customHeight="1">
      <c r="A3947" s="26" t="s">
        <v>10634</v>
      </c>
      <c r="B3947" s="27" t="s">
        <v>10635</v>
      </c>
      <c r="C3947" s="28" t="s">
        <v>32</v>
      </c>
      <c r="D3947" s="29">
        <v>51.0</v>
      </c>
      <c r="E3947" s="28" t="s">
        <v>10636</v>
      </c>
      <c r="F3947" s="7" t="str">
        <f>IFERROR(__xludf.DUMMYFUNCTION("GOOGLETRANSLATE(B3947:B5064,""en"",""fr"")"),"se rapporter")</f>
        <v>se rapporter</v>
      </c>
    </row>
    <row r="3948" ht="19.5" customHeight="1">
      <c r="A3948" s="26" t="s">
        <v>10637</v>
      </c>
      <c r="B3948" s="27" t="s">
        <v>10638</v>
      </c>
      <c r="C3948" s="28" t="s">
        <v>178</v>
      </c>
      <c r="D3948" s="29">
        <v>51.0</v>
      </c>
      <c r="E3948" s="28" t="s">
        <v>10639</v>
      </c>
      <c r="F3948" s="7" t="str">
        <f>IFERROR(__xludf.DUMMYFUNCTION("GOOGLETRANSLATE(B3948:B5064,""en"",""fr"")"),"résident")</f>
        <v>résident</v>
      </c>
    </row>
    <row r="3949" ht="19.5" customHeight="1">
      <c r="A3949" s="26" t="s">
        <v>10640</v>
      </c>
      <c r="B3949" s="27" t="s">
        <v>10641</v>
      </c>
      <c r="C3949" s="28" t="s">
        <v>150</v>
      </c>
      <c r="D3949" s="29">
        <v>51.0</v>
      </c>
      <c r="E3949" s="28" t="s">
        <v>10641</v>
      </c>
      <c r="F3949" s="7" t="str">
        <f>IFERROR(__xludf.DUMMYFUNCTION("GOOGLETRANSLATE(B3949:B5064,""en"",""fr"")"),"soixante-douze")</f>
        <v>soixante-douze</v>
      </c>
    </row>
    <row r="3950" ht="19.5" customHeight="1">
      <c r="A3950" s="26" t="s">
        <v>10642</v>
      </c>
      <c r="B3950" s="27" t="s">
        <v>10643</v>
      </c>
      <c r="C3950" s="28" t="s">
        <v>32</v>
      </c>
      <c r="D3950" s="29">
        <v>51.0</v>
      </c>
      <c r="E3950" s="28" t="s">
        <v>10644</v>
      </c>
      <c r="F3950" s="7" t="str">
        <f>IFERROR(__xludf.DUMMYFUNCTION("GOOGLETRANSLATE(B3950:B5064,""en"",""fr"")"),"se serrer à se moucher")</f>
        <v>se serrer à se moucher</v>
      </c>
    </row>
    <row r="3951" ht="19.5" customHeight="1">
      <c r="A3951" s="26" t="s">
        <v>10645</v>
      </c>
      <c r="B3951" s="27" t="s">
        <v>10646</v>
      </c>
      <c r="C3951" s="28" t="s">
        <v>134</v>
      </c>
      <c r="D3951" s="29">
        <v>51.0</v>
      </c>
      <c r="E3951" s="28" t="s">
        <v>10647</v>
      </c>
      <c r="F3951" s="7" t="str">
        <f>IFERROR(__xludf.DUMMYFUNCTION("GOOGLETRANSLATE(B3951:B5064,""en"",""fr"")"),"du sud")</f>
        <v>du sud</v>
      </c>
    </row>
    <row r="3952" ht="19.5" customHeight="1">
      <c r="A3952" s="26" t="s">
        <v>10648</v>
      </c>
      <c r="B3952" s="27" t="s">
        <v>10649</v>
      </c>
      <c r="C3952" s="28" t="s">
        <v>134</v>
      </c>
      <c r="D3952" s="29">
        <v>51.0</v>
      </c>
      <c r="E3952" s="28" t="s">
        <v>10650</v>
      </c>
      <c r="F3952" s="7" t="str">
        <f>IFERROR(__xludf.DUMMYFUNCTION("GOOGLETRANSLATE(B3952:B5064,""en"",""fr"")"),"collant")</f>
        <v>collant</v>
      </c>
    </row>
    <row r="3953" ht="19.5" customHeight="1">
      <c r="A3953" s="26" t="s">
        <v>10651</v>
      </c>
      <c r="B3953" s="27" t="s">
        <v>10652</v>
      </c>
      <c r="C3953" s="28" t="s">
        <v>178</v>
      </c>
      <c r="D3953" s="29">
        <v>51.0</v>
      </c>
      <c r="E3953" s="28" t="s">
        <v>10653</v>
      </c>
      <c r="F3953" s="7" t="str">
        <f>IFERROR(__xludf.DUMMYFUNCTION("GOOGLETRANSLATE(B3953:B5064,""en"",""fr"")"),"trois façons")</f>
        <v>trois façons</v>
      </c>
    </row>
    <row r="3954" ht="19.5" customHeight="1">
      <c r="A3954" s="26" t="s">
        <v>10654</v>
      </c>
      <c r="B3954" s="27" t="s">
        <v>10655</v>
      </c>
      <c r="C3954" s="28" t="s">
        <v>178</v>
      </c>
      <c r="D3954" s="29">
        <v>51.0</v>
      </c>
      <c r="E3954" s="28" t="s">
        <v>10656</v>
      </c>
      <c r="F3954" s="7" t="str">
        <f>IFERROR(__xludf.DUMMYFUNCTION("GOOGLETRANSLATE(B3954:B5064,""en"",""fr"")"),"étain")</f>
        <v>étain</v>
      </c>
    </row>
    <row r="3955" ht="19.5" customHeight="1">
      <c r="A3955" s="26" t="s">
        <v>10657</v>
      </c>
      <c r="B3955" s="27" t="s">
        <v>10658</v>
      </c>
      <c r="C3955" s="28" t="s">
        <v>178</v>
      </c>
      <c r="D3955" s="29">
        <v>51.0</v>
      </c>
      <c r="E3955" s="28" t="s">
        <v>10659</v>
      </c>
      <c r="F3955" s="7" t="str">
        <f>IFERROR(__xludf.DUMMYFUNCTION("GOOGLETRANSLATE(B3955:B5064,""en"",""fr"")"),"lieu de travail")</f>
        <v>lieu de travail</v>
      </c>
    </row>
    <row r="3956" ht="19.5" customHeight="1">
      <c r="A3956" s="26" t="s">
        <v>10660</v>
      </c>
      <c r="B3956" s="27" t="s">
        <v>10661</v>
      </c>
      <c r="C3956" s="28" t="s">
        <v>32</v>
      </c>
      <c r="D3956" s="29">
        <v>51.0</v>
      </c>
      <c r="E3956" s="28" t="s">
        <v>10662</v>
      </c>
      <c r="F3956" s="7" t="str">
        <f>IFERROR(__xludf.DUMMYFUNCTION("GOOGLETRANSLATE(B3956:B5064,""en"",""fr"")"),"Zoom")</f>
        <v>Zoom</v>
      </c>
    </row>
    <row r="3957" ht="19.5" customHeight="1">
      <c r="A3957" s="26" t="s">
        <v>10663</v>
      </c>
      <c r="B3957" s="27" t="s">
        <v>10664</v>
      </c>
      <c r="C3957" s="28" t="s">
        <v>178</v>
      </c>
      <c r="D3957" s="29">
        <v>51.0</v>
      </c>
      <c r="E3957" s="28" t="s">
        <v>10664</v>
      </c>
      <c r="F3957" s="7" t="str">
        <f>IFERROR(__xludf.DUMMYFUNCTION("GOOGLETRANSLATE(B3957:B5064,""en"",""fr"")"),"agissant")</f>
        <v>agissant</v>
      </c>
    </row>
    <row r="3958" ht="19.5" customHeight="1">
      <c r="A3958" s="26" t="s">
        <v>10665</v>
      </c>
      <c r="B3958" s="27" t="s">
        <v>10666</v>
      </c>
      <c r="C3958" s="28" t="s">
        <v>134</v>
      </c>
      <c r="D3958" s="29">
        <v>51.0</v>
      </c>
      <c r="E3958" s="28" t="s">
        <v>10666</v>
      </c>
      <c r="F3958" s="7" t="str">
        <f>IFERROR(__xludf.DUMMYFUNCTION("GOOGLETRANSLATE(B3958:B5064,""en"",""fr"")"),"spirituel")</f>
        <v>spirituel</v>
      </c>
    </row>
    <row r="3959" ht="19.5" customHeight="1">
      <c r="A3959" s="26" t="s">
        <v>10667</v>
      </c>
      <c r="B3959" s="27" t="s">
        <v>10668</v>
      </c>
      <c r="C3959" s="28" t="s">
        <v>178</v>
      </c>
      <c r="D3959" s="29">
        <v>51.0</v>
      </c>
      <c r="E3959" s="28" t="s">
        <v>10669</v>
      </c>
      <c r="F3959" s="7" t="str">
        <f>IFERROR(__xludf.DUMMYFUNCTION("GOOGLETRANSLATE(B3959:B5064,""en"",""fr"")"),"fente")</f>
        <v>fente</v>
      </c>
    </row>
    <row r="3960" ht="19.5" customHeight="1">
      <c r="A3960" s="26" t="s">
        <v>10670</v>
      </c>
      <c r="B3960" s="27" t="s">
        <v>10671</v>
      </c>
      <c r="C3960" s="28" t="s">
        <v>32</v>
      </c>
      <c r="D3960" s="29">
        <v>50.0</v>
      </c>
      <c r="E3960" s="28" t="s">
        <v>10672</v>
      </c>
      <c r="F3960" s="7" t="str">
        <f>IFERROR(__xludf.DUMMYFUNCTION("GOOGLETRANSLATE(B3960:B5064,""en"",""fr"")"),"Activer")</f>
        <v>Activer</v>
      </c>
    </row>
    <row r="3961" ht="19.5" customHeight="1">
      <c r="A3961" s="26" t="s">
        <v>10673</v>
      </c>
      <c r="B3961" s="27" t="s">
        <v>1726</v>
      </c>
      <c r="C3961" s="28" t="s">
        <v>32</v>
      </c>
      <c r="D3961" s="29">
        <v>50.0</v>
      </c>
      <c r="E3961" s="28" t="s">
        <v>10674</v>
      </c>
      <c r="F3961" s="7" t="str">
        <f>IFERROR(__xludf.DUMMYFUNCTION("GOOGLETRANSLATE(B3961:B5064,""en"",""fr"")"),"air")</f>
        <v>air</v>
      </c>
    </row>
    <row r="3962" ht="19.5" customHeight="1">
      <c r="A3962" s="26" t="s">
        <v>10675</v>
      </c>
      <c r="B3962" s="27" t="s">
        <v>10676</v>
      </c>
      <c r="C3962" s="28" t="s">
        <v>178</v>
      </c>
      <c r="D3962" s="29">
        <v>50.0</v>
      </c>
      <c r="E3962" s="28" t="s">
        <v>10677</v>
      </c>
      <c r="F3962" s="7" t="str">
        <f>IFERROR(__xludf.DUMMYFUNCTION("GOOGLETRANSLATE(B3962:B5064,""en"",""fr"")"),"mallette")</f>
        <v>mallette</v>
      </c>
    </row>
    <row r="3963" ht="19.5" customHeight="1">
      <c r="A3963" s="26" t="s">
        <v>10678</v>
      </c>
      <c r="B3963" s="27" t="s">
        <v>10679</v>
      </c>
      <c r="C3963" s="28" t="s">
        <v>178</v>
      </c>
      <c r="D3963" s="29">
        <v>50.0</v>
      </c>
      <c r="E3963" s="28" t="s">
        <v>10680</v>
      </c>
      <c r="F3963" s="7" t="str">
        <f>IFERROR(__xludf.DUMMYFUNCTION("GOOGLETRANSLATE(B3963:B5064,""en"",""fr"")"),"eau de Cologne")</f>
        <v>eau de Cologne</v>
      </c>
    </row>
    <row r="3964" ht="19.5" customHeight="1">
      <c r="A3964" s="26" t="s">
        <v>10681</v>
      </c>
      <c r="B3964" s="27" t="s">
        <v>10682</v>
      </c>
      <c r="C3964" s="28" t="s">
        <v>134</v>
      </c>
      <c r="D3964" s="29">
        <v>50.0</v>
      </c>
      <c r="E3964" s="28" t="s">
        <v>10682</v>
      </c>
      <c r="F3964" s="7" t="str">
        <f>IFERROR(__xludf.DUMMYFUNCTION("GOOGLETRANSLATE(B3964:B5064,""en"",""fr"")"),"compétitif")</f>
        <v>compétitif</v>
      </c>
    </row>
    <row r="3965" ht="19.5" customHeight="1">
      <c r="A3965" s="26" t="s">
        <v>10683</v>
      </c>
      <c r="B3965" s="27" t="s">
        <v>3882</v>
      </c>
      <c r="C3965" s="28" t="s">
        <v>178</v>
      </c>
      <c r="D3965" s="29">
        <v>50.0</v>
      </c>
      <c r="E3965" s="28" t="s">
        <v>10684</v>
      </c>
      <c r="F3965" s="7" t="str">
        <f>IFERROR(__xludf.DUMMYFUNCTION("GOOGLETRANSLATE(B3965:B5064,""en"",""fr"")"),"croix")</f>
        <v>croix</v>
      </c>
    </row>
    <row r="3966" ht="19.5" customHeight="1">
      <c r="A3966" s="26" t="s">
        <v>10685</v>
      </c>
      <c r="B3966" s="27" t="s">
        <v>10686</v>
      </c>
      <c r="C3966" s="28" t="s">
        <v>178</v>
      </c>
      <c r="D3966" s="29">
        <v>50.0</v>
      </c>
      <c r="E3966" s="28" t="s">
        <v>10687</v>
      </c>
      <c r="F3966" s="7" t="str">
        <f>IFERROR(__xludf.DUMMYFUNCTION("GOOGLETRANSLATE(B3966:B5064,""en"",""fr"")"),"dépression")</f>
        <v>dépression</v>
      </c>
    </row>
    <row r="3967" ht="19.5" customHeight="1">
      <c r="A3967" s="26" t="s">
        <v>10688</v>
      </c>
      <c r="B3967" s="27" t="s">
        <v>1478</v>
      </c>
      <c r="C3967" s="28" t="s">
        <v>100</v>
      </c>
      <c r="D3967" s="29">
        <v>50.0</v>
      </c>
      <c r="E3967" s="28" t="s">
        <v>1479</v>
      </c>
      <c r="F3967" s="7" t="str">
        <f>IFERROR(__xludf.DUMMYFUNCTION("GOOGLETRANSLATE(B3967:B5064,""en"",""fr"")"),"tôt")</f>
        <v>tôt</v>
      </c>
    </row>
    <row r="3968" ht="19.5" customHeight="1">
      <c r="A3968" s="26" t="s">
        <v>10689</v>
      </c>
      <c r="B3968" s="27" t="s">
        <v>10690</v>
      </c>
      <c r="C3968" s="28" t="s">
        <v>32</v>
      </c>
      <c r="D3968" s="29">
        <v>50.0</v>
      </c>
      <c r="E3968" s="28" t="s">
        <v>10691</v>
      </c>
      <c r="F3968" s="7" t="str">
        <f>IFERROR(__xludf.DUMMYFUNCTION("GOOGLETRANSLATE(B3968:B5064,""en"",""fr"")"),"étendre")</f>
        <v>étendre</v>
      </c>
    </row>
    <row r="3969" ht="19.5" customHeight="1">
      <c r="A3969" s="26" t="s">
        <v>10692</v>
      </c>
      <c r="B3969" s="27" t="s">
        <v>10693</v>
      </c>
      <c r="C3969" s="28" t="s">
        <v>178</v>
      </c>
      <c r="D3969" s="29">
        <v>50.0</v>
      </c>
      <c r="E3969" s="28" t="s">
        <v>10694</v>
      </c>
      <c r="F3969" s="7" t="str">
        <f>IFERROR(__xludf.DUMMYFUNCTION("GOOGLETRANSLATE(B3969:B5064,""en"",""fr"")"),"combattant")</f>
        <v>combattant</v>
      </c>
    </row>
    <row r="3970" ht="19.5" customHeight="1">
      <c r="A3970" s="26" t="s">
        <v>10695</v>
      </c>
      <c r="B3970" s="27" t="s">
        <v>10696</v>
      </c>
      <c r="C3970" s="28" t="s">
        <v>100</v>
      </c>
      <c r="D3970" s="29">
        <v>50.0</v>
      </c>
      <c r="E3970" s="28" t="s">
        <v>10696</v>
      </c>
      <c r="F3970" s="7" t="str">
        <f>IFERROR(__xludf.DUMMYFUNCTION("GOOGLETRANSLATE(B3970:B5064,""en"",""fr"")"),"doucement")</f>
        <v>doucement</v>
      </c>
    </row>
    <row r="3971" ht="19.5" customHeight="1">
      <c r="A3971" s="26" t="s">
        <v>10697</v>
      </c>
      <c r="B3971" s="27" t="s">
        <v>10698</v>
      </c>
      <c r="C3971" s="28" t="s">
        <v>134</v>
      </c>
      <c r="D3971" s="29">
        <v>50.0</v>
      </c>
      <c r="E3971" s="28" t="s">
        <v>10698</v>
      </c>
      <c r="F3971" s="7" t="str">
        <f>IFERROR(__xludf.DUMMYFUNCTION("GOOGLETRANSLATE(B3971:B5064,""en"",""fr"")"),"disparu")</f>
        <v>disparu</v>
      </c>
    </row>
    <row r="3972" ht="19.5" customHeight="1">
      <c r="A3972" s="26" t="s">
        <v>10699</v>
      </c>
      <c r="B3972" s="27" t="s">
        <v>10700</v>
      </c>
      <c r="C3972" s="28" t="s">
        <v>178</v>
      </c>
      <c r="D3972" s="29">
        <v>50.0</v>
      </c>
      <c r="E3972" s="28" t="s">
        <v>10701</v>
      </c>
      <c r="F3972" s="7" t="str">
        <f>IFERROR(__xludf.DUMMYFUNCTION("GOOGLETRANSLATE(B3972:B5064,""en"",""fr"")"),"l'obtention du diplôme")</f>
        <v>l'obtention du diplôme</v>
      </c>
    </row>
    <row r="3973" ht="19.5" customHeight="1">
      <c r="A3973" s="26" t="s">
        <v>10702</v>
      </c>
      <c r="B3973" s="27" t="s">
        <v>10703</v>
      </c>
      <c r="C3973" s="28" t="s">
        <v>178</v>
      </c>
      <c r="D3973" s="29">
        <v>50.0</v>
      </c>
      <c r="E3973" s="28" t="s">
        <v>10704</v>
      </c>
      <c r="F3973" s="7" t="str">
        <f>IFERROR(__xludf.DUMMYFUNCTION("GOOGLETRANSLATE(B3973:B5064,""en"",""fr"")"),"chagrin")</f>
        <v>chagrin</v>
      </c>
    </row>
    <row r="3974" ht="19.5" customHeight="1">
      <c r="A3974" s="26" t="s">
        <v>10705</v>
      </c>
      <c r="B3974" s="27" t="s">
        <v>10706</v>
      </c>
      <c r="C3974" s="28" t="s">
        <v>178</v>
      </c>
      <c r="D3974" s="29">
        <v>50.0</v>
      </c>
      <c r="E3974" s="28" t="s">
        <v>10707</v>
      </c>
      <c r="F3974" s="7" t="str">
        <f>IFERROR(__xludf.DUMMYFUNCTION("GOOGLETRANSLATE(B3974:B5064,""en"",""fr"")"),"croissance")</f>
        <v>croissance</v>
      </c>
    </row>
    <row r="3975" ht="19.5" customHeight="1">
      <c r="A3975" s="26" t="s">
        <v>10708</v>
      </c>
      <c r="B3975" s="27" t="s">
        <v>10709</v>
      </c>
      <c r="C3975" s="28" t="s">
        <v>32</v>
      </c>
      <c r="D3975" s="29">
        <v>50.0</v>
      </c>
      <c r="E3975" s="28" t="s">
        <v>10710</v>
      </c>
      <c r="F3975" s="7" t="str">
        <f>IFERROR(__xludf.DUMMYFUNCTION("GOOGLETRANSLATE(B3975:B5064,""en"",""fr"")"),"infecter")</f>
        <v>infecter</v>
      </c>
    </row>
    <row r="3976" ht="19.5" customHeight="1">
      <c r="A3976" s="26" t="s">
        <v>10711</v>
      </c>
      <c r="B3976" s="27" t="s">
        <v>10712</v>
      </c>
      <c r="C3976" s="28" t="s">
        <v>178</v>
      </c>
      <c r="D3976" s="29">
        <v>50.0</v>
      </c>
      <c r="E3976" s="28" t="s">
        <v>10713</v>
      </c>
      <c r="F3976" s="7" t="str">
        <f>IFERROR(__xludf.DUMMYFUNCTION("GOOGLETRANSLATE(B3976:B5064,""en"",""fr"")"),"latté")</f>
        <v>latté</v>
      </c>
    </row>
    <row r="3977" ht="19.5" customHeight="1">
      <c r="A3977" s="26" t="s">
        <v>10714</v>
      </c>
      <c r="B3977" s="27" t="s">
        <v>10715</v>
      </c>
      <c r="C3977" s="28" t="s">
        <v>178</v>
      </c>
      <c r="D3977" s="29">
        <v>50.0</v>
      </c>
      <c r="E3977" s="28" t="s">
        <v>10716</v>
      </c>
      <c r="F3977" s="7" t="str">
        <f>IFERROR(__xludf.DUMMYFUNCTION("GOOGLETRANSLATE(B3977:B5064,""en"",""fr"")"),"fuir")</f>
        <v>fuir</v>
      </c>
    </row>
    <row r="3978" ht="19.5" customHeight="1">
      <c r="A3978" s="26" t="s">
        <v>10717</v>
      </c>
      <c r="B3978" s="27" t="s">
        <v>10718</v>
      </c>
      <c r="C3978" s="28" t="s">
        <v>134</v>
      </c>
      <c r="D3978" s="29">
        <v>50.0</v>
      </c>
      <c r="E3978" s="28" t="s">
        <v>10718</v>
      </c>
      <c r="F3978" s="7" t="str">
        <f>IFERROR(__xludf.DUMMYFUNCTION("GOOGLETRANSLATE(B3978:B5064,""en"",""fr"")"),"logique")</f>
        <v>logique</v>
      </c>
    </row>
    <row r="3979" ht="19.5" customHeight="1">
      <c r="A3979" s="26" t="s">
        <v>10719</v>
      </c>
      <c r="B3979" s="27" t="s">
        <v>10720</v>
      </c>
      <c r="C3979" s="28" t="s">
        <v>32</v>
      </c>
      <c r="D3979" s="29">
        <v>50.0</v>
      </c>
      <c r="E3979" s="28" t="s">
        <v>10721</v>
      </c>
      <c r="F3979" s="7" t="str">
        <f>IFERROR(__xludf.DUMMYFUNCTION("GOOGLETRANSLATE(B3979:B5064,""en"",""fr"")"),"leurre")</f>
        <v>leurre</v>
      </c>
    </row>
    <row r="3980" ht="19.5" customHeight="1">
      <c r="A3980" s="26" t="s">
        <v>10722</v>
      </c>
      <c r="B3980" s="27" t="s">
        <v>10723</v>
      </c>
      <c r="C3980" s="28" t="s">
        <v>178</v>
      </c>
      <c r="D3980" s="29">
        <v>50.0</v>
      </c>
      <c r="E3980" s="28" t="s">
        <v>10724</v>
      </c>
      <c r="F3980" s="7" t="str">
        <f>IFERROR(__xludf.DUMMYFUNCTION("GOOGLETRANSLATE(B3980:B5064,""en"",""fr"")"),"macaroni")</f>
        <v>macaroni</v>
      </c>
    </row>
    <row r="3981" ht="19.5" customHeight="1">
      <c r="A3981" s="26" t="s">
        <v>10725</v>
      </c>
      <c r="B3981" s="27" t="s">
        <v>10726</v>
      </c>
      <c r="C3981" s="28" t="s">
        <v>178</v>
      </c>
      <c r="D3981" s="29">
        <v>50.0</v>
      </c>
      <c r="E3981" s="28" t="s">
        <v>10727</v>
      </c>
      <c r="F3981" s="7" t="str">
        <f>IFERROR(__xludf.DUMMYFUNCTION("GOOGLETRANSLATE(B3981:B5064,""en"",""fr"")"),"millénaire")</f>
        <v>millénaire</v>
      </c>
    </row>
    <row r="3982" ht="19.5" customHeight="1">
      <c r="A3982" s="26" t="s">
        <v>10728</v>
      </c>
      <c r="B3982" s="27" t="s">
        <v>10729</v>
      </c>
      <c r="C3982" s="28" t="s">
        <v>150</v>
      </c>
      <c r="D3982" s="29">
        <v>50.0</v>
      </c>
      <c r="E3982" s="28" t="s">
        <v>10729</v>
      </c>
      <c r="F3982" s="7" t="str">
        <f>IFERROR(__xludf.DUMMYFUNCTION("GOOGLETRANSLATE(B3982:B5064,""en"",""fr"")"),"quatre-vingt-dix-neuf")</f>
        <v>quatre-vingt-dix-neuf</v>
      </c>
    </row>
    <row r="3983" ht="19.5" customHeight="1">
      <c r="A3983" s="26" t="s">
        <v>10730</v>
      </c>
      <c r="B3983" s="27" t="s">
        <v>10731</v>
      </c>
      <c r="C3983" s="28" t="s">
        <v>178</v>
      </c>
      <c r="D3983" s="29">
        <v>50.0</v>
      </c>
      <c r="E3983" s="28" t="s">
        <v>10732</v>
      </c>
      <c r="F3983" s="7" t="str">
        <f>IFERROR(__xludf.DUMMYFUNCTION("GOOGLETRANSLATE(B3983:B5064,""en"",""fr"")"),"olive")</f>
        <v>olive</v>
      </c>
    </row>
    <row r="3984" ht="19.5" customHeight="1">
      <c r="A3984" s="26" t="s">
        <v>10733</v>
      </c>
      <c r="B3984" s="27" t="s">
        <v>10734</v>
      </c>
      <c r="C3984" s="28" t="s">
        <v>134</v>
      </c>
      <c r="D3984" s="29">
        <v>50.0</v>
      </c>
      <c r="E3984" s="28" t="s">
        <v>10734</v>
      </c>
      <c r="F3984" s="7" t="str">
        <f>IFERROR(__xludf.DUMMYFUNCTION("GOOGLETRANSLATE(B3984:B5064,""en"",""fr"")"),"ordinaire")</f>
        <v>ordinaire</v>
      </c>
    </row>
    <row r="3985" ht="19.5" customHeight="1">
      <c r="A3985" s="26" t="s">
        <v>10735</v>
      </c>
      <c r="B3985" s="27" t="s">
        <v>10736</v>
      </c>
      <c r="C3985" s="28" t="s">
        <v>134</v>
      </c>
      <c r="D3985" s="29">
        <v>50.0</v>
      </c>
      <c r="E3985" s="28" t="s">
        <v>10737</v>
      </c>
      <c r="F3985" s="7" t="str">
        <f>IFERROR(__xludf.DUMMYFUNCTION("GOOGLETRANSLATE(B3985:B5064,""en"",""fr"")"),"extérieur")</f>
        <v>extérieur</v>
      </c>
    </row>
    <row r="3986" ht="19.5" customHeight="1">
      <c r="A3986" s="26" t="s">
        <v>10738</v>
      </c>
      <c r="B3986" s="27" t="s">
        <v>10739</v>
      </c>
      <c r="C3986" s="28" t="s">
        <v>178</v>
      </c>
      <c r="D3986" s="29">
        <v>50.0</v>
      </c>
      <c r="E3986" s="28" t="s">
        <v>10740</v>
      </c>
      <c r="F3986" s="7" t="str">
        <f>IFERROR(__xludf.DUMMYFUNCTION("GOOGLETRANSLATE(B3986:B5064,""en"",""fr"")"),"oxygène")</f>
        <v>oxygène</v>
      </c>
    </row>
    <row r="3987" ht="19.5" customHeight="1">
      <c r="A3987" s="26" t="s">
        <v>10741</v>
      </c>
      <c r="B3987" s="27" t="s">
        <v>5104</v>
      </c>
      <c r="C3987" s="28" t="s">
        <v>134</v>
      </c>
      <c r="D3987" s="29">
        <v>50.0</v>
      </c>
      <c r="E3987" s="28" t="s">
        <v>10742</v>
      </c>
      <c r="F3987" s="7" t="str">
        <f>IFERROR(__xludf.DUMMYFUNCTION("GOOGLETRANSLATE(B3987:B5064,""en"",""fr"")"),"patient")</f>
        <v>patient</v>
      </c>
    </row>
    <row r="3988" ht="19.5" customHeight="1">
      <c r="A3988" s="26" t="s">
        <v>10743</v>
      </c>
      <c r="B3988" s="27" t="s">
        <v>10744</v>
      </c>
      <c r="C3988" s="28" t="s">
        <v>134</v>
      </c>
      <c r="D3988" s="29">
        <v>50.0</v>
      </c>
      <c r="E3988" s="28" t="s">
        <v>10744</v>
      </c>
      <c r="F3988" s="7" t="str">
        <f>IFERROR(__xludf.DUMMYFUNCTION("GOOGLETRANSLATE(B3988:B5064,""en"",""fr"")"),"pacifique")</f>
        <v>pacifique</v>
      </c>
    </row>
    <row r="3989" ht="19.5" customHeight="1">
      <c r="A3989" s="26" t="s">
        <v>10745</v>
      </c>
      <c r="B3989" s="27" t="s">
        <v>10746</v>
      </c>
      <c r="C3989" s="28" t="s">
        <v>178</v>
      </c>
      <c r="D3989" s="29">
        <v>50.0</v>
      </c>
      <c r="E3989" s="28" t="s">
        <v>10747</v>
      </c>
      <c r="F3989" s="7" t="str">
        <f>IFERROR(__xludf.DUMMYFUNCTION("GOOGLETRANSLATE(B3989:B5064,""en"",""fr"")"),"faux")</f>
        <v>faux</v>
      </c>
    </row>
    <row r="3990" ht="19.5" customHeight="1">
      <c r="A3990" s="26" t="s">
        <v>10748</v>
      </c>
      <c r="B3990" s="27" t="s">
        <v>10749</v>
      </c>
      <c r="C3990" s="28" t="s">
        <v>178</v>
      </c>
      <c r="D3990" s="29">
        <v>50.0</v>
      </c>
      <c r="E3990" s="28" t="s">
        <v>10750</v>
      </c>
      <c r="F3990" s="7" t="str">
        <f>IFERROR(__xludf.DUMMYFUNCTION("GOOGLETRANSLATE(B3990:B5064,""en"",""fr"")"),"protocole")</f>
        <v>protocole</v>
      </c>
    </row>
    <row r="3991" ht="19.5" customHeight="1">
      <c r="A3991" s="26" t="s">
        <v>10751</v>
      </c>
      <c r="B3991" s="27" t="s">
        <v>10752</v>
      </c>
      <c r="C3991" s="28" t="s">
        <v>134</v>
      </c>
      <c r="D3991" s="29">
        <v>50.0</v>
      </c>
      <c r="E3991" s="28" t="s">
        <v>10752</v>
      </c>
      <c r="F3991" s="7" t="str">
        <f>IFERROR(__xludf.DUMMYFUNCTION("GOOGLETRANSLATE(B3991:B5064,""en"",""fr"")"),"réaliste")</f>
        <v>réaliste</v>
      </c>
    </row>
    <row r="3992" ht="19.5" customHeight="1">
      <c r="A3992" s="26" t="s">
        <v>10753</v>
      </c>
      <c r="B3992" s="27" t="s">
        <v>10754</v>
      </c>
      <c r="C3992" s="28" t="s">
        <v>178</v>
      </c>
      <c r="D3992" s="29">
        <v>50.0</v>
      </c>
      <c r="E3992" s="28" t="s">
        <v>10755</v>
      </c>
      <c r="F3992" s="7" t="str">
        <f>IFERROR(__xludf.DUMMYFUNCTION("GOOGLETRANSLATE(B3992:B5064,""en"",""fr"")"),"récital")</f>
        <v>récital</v>
      </c>
    </row>
    <row r="3993" ht="19.5" customHeight="1">
      <c r="A3993" s="26" t="s">
        <v>10756</v>
      </c>
      <c r="B3993" s="27" t="s">
        <v>10757</v>
      </c>
      <c r="C3993" s="28" t="s">
        <v>134</v>
      </c>
      <c r="D3993" s="29">
        <v>50.0</v>
      </c>
      <c r="E3993" s="28" t="s">
        <v>10757</v>
      </c>
      <c r="F3993" s="7" t="str">
        <f>IFERROR(__xludf.DUMMYFUNCTION("GOOGLETRANSLATE(B3993:B5064,""en"",""fr"")"),"remarquable")</f>
        <v>remarquable</v>
      </c>
    </row>
    <row r="3994" ht="19.5" customHeight="1">
      <c r="A3994" s="26" t="s">
        <v>10758</v>
      </c>
      <c r="B3994" s="27" t="s">
        <v>10759</v>
      </c>
      <c r="C3994" s="28" t="s">
        <v>32</v>
      </c>
      <c r="D3994" s="29">
        <v>50.0</v>
      </c>
      <c r="E3994" s="28" t="s">
        <v>10760</v>
      </c>
      <c r="F3994" s="7" t="str">
        <f>IFERROR(__xludf.DUMMYFUNCTION("GOOGLETRANSLATE(B3994:B5064,""en"",""fr"")"),"sabotage")</f>
        <v>sabotage</v>
      </c>
    </row>
    <row r="3995" ht="19.5" customHeight="1">
      <c r="A3995" s="26" t="s">
        <v>10761</v>
      </c>
      <c r="B3995" s="27" t="s">
        <v>10762</v>
      </c>
      <c r="C3995" s="28" t="s">
        <v>100</v>
      </c>
      <c r="D3995" s="29">
        <v>50.0</v>
      </c>
      <c r="E3995" s="28" t="s">
        <v>10762</v>
      </c>
      <c r="F3995" s="7" t="str">
        <f>IFERROR(__xludf.DUMMYFUNCTION("GOOGLETRANSLATE(B3995:B5064,""en"",""fr"")"),"malheureusement")</f>
        <v>malheureusement</v>
      </c>
    </row>
    <row r="3996" ht="19.5" customHeight="1">
      <c r="A3996" s="26" t="s">
        <v>10763</v>
      </c>
      <c r="B3996" s="27" t="s">
        <v>8338</v>
      </c>
      <c r="C3996" s="28" t="s">
        <v>178</v>
      </c>
      <c r="D3996" s="29">
        <v>50.0</v>
      </c>
      <c r="E3996" s="28" t="s">
        <v>10764</v>
      </c>
      <c r="F3996" s="7" t="str">
        <f>IFERROR(__xludf.DUMMYFUNCTION("GOOGLETRANSLATE(B3996:B5064,""en"",""fr"")"),"senior")</f>
        <v>senior</v>
      </c>
    </row>
    <row r="3997" ht="19.5" customHeight="1">
      <c r="A3997" s="26" t="s">
        <v>10765</v>
      </c>
      <c r="B3997" s="27" t="s">
        <v>10766</v>
      </c>
      <c r="C3997" s="28" t="s">
        <v>32</v>
      </c>
      <c r="D3997" s="29">
        <v>50.0</v>
      </c>
      <c r="E3997" s="28" t="s">
        <v>10767</v>
      </c>
      <c r="F3997" s="7" t="str">
        <f>IFERROR(__xludf.DUMMYFUNCTION("GOOGLETRANSLATE(B3997:B5064,""en"",""fr"")"),"scintillait")</f>
        <v>scintillait</v>
      </c>
    </row>
    <row r="3998" ht="19.5" customHeight="1">
      <c r="A3998" s="26" t="s">
        <v>10768</v>
      </c>
      <c r="B3998" s="27" t="s">
        <v>10769</v>
      </c>
      <c r="C3998" s="28" t="s">
        <v>150</v>
      </c>
      <c r="D3998" s="29">
        <v>50.0</v>
      </c>
      <c r="E3998" s="28" t="s">
        <v>10769</v>
      </c>
      <c r="F3998" s="7" t="str">
        <f>IFERROR(__xludf.DUMMYFUNCTION("GOOGLETRANSLATE(B3998:B5064,""en"",""fr"")"),"trente deux")</f>
        <v>trente deux</v>
      </c>
    </row>
    <row r="3999" ht="19.5" customHeight="1">
      <c r="A3999" s="26" t="s">
        <v>10770</v>
      </c>
      <c r="B3999" s="27" t="s">
        <v>10771</v>
      </c>
      <c r="C3999" s="28" t="s">
        <v>32</v>
      </c>
      <c r="D3999" s="29">
        <v>50.0</v>
      </c>
      <c r="E3999" s="28" t="s">
        <v>10772</v>
      </c>
      <c r="F3999" s="7" t="str">
        <f>IFERROR(__xludf.DUMMYFUNCTION("GOOGLETRANSLATE(B3999:B5064,""en"",""fr"")"),"remorquer")</f>
        <v>remorquer</v>
      </c>
    </row>
    <row r="4000" ht="19.5" customHeight="1">
      <c r="A4000" s="26" t="s">
        <v>10773</v>
      </c>
      <c r="B4000" s="27" t="s">
        <v>10774</v>
      </c>
      <c r="C4000" s="28" t="s">
        <v>134</v>
      </c>
      <c r="D4000" s="29">
        <v>50.0</v>
      </c>
      <c r="E4000" s="28" t="s">
        <v>10774</v>
      </c>
      <c r="F4000" s="7" t="str">
        <f>IFERROR(__xludf.DUMMYFUNCTION("GOOGLETRANSLATE(B4000:B5064,""en"",""fr"")"),"vulnérable")</f>
        <v>vulnérable</v>
      </c>
    </row>
    <row r="4001" ht="19.5" customHeight="1">
      <c r="A4001" s="26" t="s">
        <v>10775</v>
      </c>
      <c r="B4001" s="27" t="s">
        <v>10776</v>
      </c>
      <c r="C4001" s="28" t="s">
        <v>178</v>
      </c>
      <c r="D4001" s="29">
        <v>50.0</v>
      </c>
      <c r="E4001" s="28" t="s">
        <v>10776</v>
      </c>
      <c r="F4001" s="7" t="str">
        <f>IFERROR(__xludf.DUMMYFUNCTION("GOOGLETRANSLATE(B4001:B5064,""en"",""fr"")"),"des eaux")</f>
        <v>des eaux</v>
      </c>
    </row>
    <row r="4002" ht="19.5" customHeight="1">
      <c r="A4002" s="26" t="s">
        <v>10777</v>
      </c>
      <c r="B4002" s="27" t="s">
        <v>1462</v>
      </c>
      <c r="C4002" s="28" t="s">
        <v>178</v>
      </c>
      <c r="D4002" s="29">
        <v>50.0</v>
      </c>
      <c r="E4002" s="28" t="s">
        <v>10778</v>
      </c>
      <c r="F4002" s="7" t="str">
        <f>IFERROR(__xludf.DUMMYFUNCTION("GOOGLETRANSLATE(B4002:B5064,""en"",""fr"")"),"accueillir")</f>
        <v>accueillir</v>
      </c>
    </row>
    <row r="4003" ht="19.5" customHeight="1">
      <c r="A4003" s="26" t="s">
        <v>10779</v>
      </c>
      <c r="B4003" s="27" t="s">
        <v>10780</v>
      </c>
      <c r="C4003" s="28" t="s">
        <v>178</v>
      </c>
      <c r="D4003" s="29">
        <v>50.0</v>
      </c>
      <c r="E4003" s="28" t="s">
        <v>10781</v>
      </c>
      <c r="F4003" s="7" t="str">
        <f>IFERROR(__xludf.DUMMYFUNCTION("GOOGLETRANSLATE(B4003:B5064,""en"",""fr"")"),"loup")</f>
        <v>loup</v>
      </c>
    </row>
    <row r="4004" ht="19.5" customHeight="1">
      <c r="A4004" s="26" t="s">
        <v>10782</v>
      </c>
      <c r="B4004" s="27" t="s">
        <v>9775</v>
      </c>
      <c r="C4004" s="28" t="s">
        <v>178</v>
      </c>
      <c r="D4004" s="29">
        <v>50.0</v>
      </c>
      <c r="E4004" s="28" t="s">
        <v>10783</v>
      </c>
      <c r="F4004" s="7" t="str">
        <f>IFERROR(__xludf.DUMMYFUNCTION("GOOGLETRANSLATE(B4004:B5064,""en"",""fr"")"),"détruire")</f>
        <v>détruire</v>
      </c>
    </row>
    <row r="4005" ht="19.5" customHeight="1">
      <c r="A4005" s="26" t="s">
        <v>10784</v>
      </c>
      <c r="B4005" s="27" t="s">
        <v>10785</v>
      </c>
      <c r="C4005" s="28" t="s">
        <v>85</v>
      </c>
      <c r="D4005" s="29">
        <v>50.0</v>
      </c>
      <c r="E4005" s="28" t="s">
        <v>10785</v>
      </c>
      <c r="F4005" s="7" t="str">
        <f>IFERROR(__xludf.DUMMYFUNCTION("GOOGLETRANSLATE(B4005:B5064,""en"",""fr"")"),"Miam")</f>
        <v>Miam</v>
      </c>
    </row>
    <row r="4006" ht="19.5" customHeight="1">
      <c r="A4006" s="26" t="s">
        <v>10786</v>
      </c>
      <c r="B4006" s="27" t="s">
        <v>10787</v>
      </c>
      <c r="C4006" s="28" t="s">
        <v>32</v>
      </c>
      <c r="D4006" s="29">
        <v>50.0</v>
      </c>
      <c r="E4006" s="28" t="s">
        <v>10788</v>
      </c>
      <c r="F4006" s="7" t="str">
        <f>IFERROR(__xludf.DUMMYFUNCTION("GOOGLETRANSLATE(B4006:B5064,""en"",""fr"")"),"miche de pain")</f>
        <v>miche de pain</v>
      </c>
    </row>
    <row r="4007" ht="19.5" customHeight="1">
      <c r="A4007" s="26" t="s">
        <v>10789</v>
      </c>
      <c r="B4007" s="27" t="s">
        <v>10790</v>
      </c>
      <c r="C4007" s="28" t="s">
        <v>32</v>
      </c>
      <c r="D4007" s="29">
        <v>50.0</v>
      </c>
      <c r="E4007" s="28" t="s">
        <v>10791</v>
      </c>
      <c r="F4007" s="7" t="str">
        <f>IFERROR(__xludf.DUMMYFUNCTION("GOOGLETRANSLATE(B4007:B5064,""en"",""fr"")"),"parfum")</f>
        <v>parfum</v>
      </c>
    </row>
    <row r="4008" ht="19.5" customHeight="1">
      <c r="A4008" s="26" t="s">
        <v>10792</v>
      </c>
      <c r="B4008" s="27" t="s">
        <v>10793</v>
      </c>
      <c r="C4008" s="28" t="s">
        <v>134</v>
      </c>
      <c r="D4008" s="29">
        <v>50.0</v>
      </c>
      <c r="E4008" s="28" t="s">
        <v>10794</v>
      </c>
      <c r="F4008" s="7" t="str">
        <f>IFERROR(__xludf.DUMMYFUNCTION("GOOGLETRANSLATE(B4008:B5064,""en"",""fr"")"),"nu")</f>
        <v>nu</v>
      </c>
    </row>
    <row r="4009" ht="19.5" customHeight="1">
      <c r="A4009" s="26" t="s">
        <v>10795</v>
      </c>
      <c r="B4009" s="27" t="s">
        <v>10796</v>
      </c>
      <c r="C4009" s="28" t="s">
        <v>178</v>
      </c>
      <c r="D4009" s="29">
        <v>50.0</v>
      </c>
      <c r="E4009" s="28" t="s">
        <v>10797</v>
      </c>
      <c r="F4009" s="7" t="str">
        <f>IFERROR(__xludf.DUMMYFUNCTION("GOOGLETRANSLATE(B4009:B5064,""en"",""fr"")"),"CV")</f>
        <v>CV</v>
      </c>
    </row>
    <row r="4010" ht="19.5" customHeight="1">
      <c r="A4010" s="26" t="s">
        <v>10798</v>
      </c>
      <c r="B4010" s="27" t="s">
        <v>10799</v>
      </c>
      <c r="C4010" s="28" t="s">
        <v>178</v>
      </c>
      <c r="D4010" s="29">
        <v>50.0</v>
      </c>
      <c r="E4010" s="28" t="s">
        <v>10800</v>
      </c>
      <c r="F4010" s="7" t="str">
        <f>IFERROR(__xludf.DUMMYFUNCTION("GOOGLETRANSLATE(B4010:B5064,""en"",""fr"")"),"cicatrice")</f>
        <v>cicatrice</v>
      </c>
    </row>
    <row r="4011" ht="19.5" customHeight="1">
      <c r="A4011" s="26" t="s">
        <v>10801</v>
      </c>
      <c r="B4011" s="27" t="s">
        <v>3996</v>
      </c>
      <c r="C4011" s="28" t="s">
        <v>85</v>
      </c>
      <c r="D4011" s="29">
        <v>50.0</v>
      </c>
      <c r="E4011" s="28" t="s">
        <v>3996</v>
      </c>
      <c r="F4011" s="7" t="str">
        <f>IFERROR(__xludf.DUMMYFUNCTION("GOOGLETRANSLATE(B4011:B5064,""en"",""fr"")"),"claquer")</f>
        <v>claquer</v>
      </c>
    </row>
    <row r="4012" ht="19.5" customHeight="1">
      <c r="A4012" s="26" t="s">
        <v>10802</v>
      </c>
      <c r="B4012" s="27" t="s">
        <v>4135</v>
      </c>
      <c r="C4012" s="28" t="s">
        <v>32</v>
      </c>
      <c r="D4012" s="29">
        <v>49.0</v>
      </c>
      <c r="E4012" s="28" t="s">
        <v>10803</v>
      </c>
      <c r="F4012" s="7" t="str">
        <f>IFERROR(__xludf.DUMMYFUNCTION("GOOGLETRANSLATE(B4012:B5064,""en"",""fr"")"),"adresse")</f>
        <v>adresse</v>
      </c>
    </row>
    <row r="4013" ht="19.5" customHeight="1">
      <c r="A4013" s="26" t="s">
        <v>10804</v>
      </c>
      <c r="B4013" s="27" t="s">
        <v>10805</v>
      </c>
      <c r="C4013" s="28" t="s">
        <v>178</v>
      </c>
      <c r="D4013" s="29">
        <v>49.0</v>
      </c>
      <c r="E4013" s="28" t="s">
        <v>10806</v>
      </c>
      <c r="F4013" s="7" t="str">
        <f>IFERROR(__xludf.DUMMYFUNCTION("GOOGLETRANSLATE(B4013:B5064,""en"",""fr"")"),"ordre du jour")</f>
        <v>ordre du jour</v>
      </c>
    </row>
    <row r="4014" ht="19.5" customHeight="1">
      <c r="A4014" s="26" t="s">
        <v>10807</v>
      </c>
      <c r="B4014" s="27" t="s">
        <v>10808</v>
      </c>
      <c r="C4014" s="28" t="s">
        <v>32</v>
      </c>
      <c r="D4014" s="29">
        <v>49.0</v>
      </c>
      <c r="E4014" s="28" t="s">
        <v>10809</v>
      </c>
      <c r="F4014" s="7" t="str">
        <f>IFERROR(__xludf.DUMMYFUNCTION("GOOGLETRANSLATE(B4014:B5064,""en"",""fr"")"),"attribuer")</f>
        <v>attribuer</v>
      </c>
    </row>
    <row r="4015" ht="19.5" customHeight="1">
      <c r="A4015" s="26" t="s">
        <v>10810</v>
      </c>
      <c r="B4015" s="27" t="s">
        <v>10811</v>
      </c>
      <c r="C4015" s="28" t="s">
        <v>178</v>
      </c>
      <c r="D4015" s="29">
        <v>49.0</v>
      </c>
      <c r="E4015" s="28" t="s">
        <v>10812</v>
      </c>
      <c r="F4015" s="7" t="str">
        <f>IFERROR(__xludf.DUMMYFUNCTION("GOOGLETRANSLATE(B4015:B5064,""en"",""fr"")"),"un autographe")</f>
        <v>un autographe</v>
      </c>
    </row>
    <row r="4016" ht="19.5" customHeight="1">
      <c r="A4016" s="26" t="s">
        <v>10813</v>
      </c>
      <c r="B4016" s="27" t="s">
        <v>10814</v>
      </c>
      <c r="C4016" s="28" t="s">
        <v>32</v>
      </c>
      <c r="D4016" s="29">
        <v>49.0</v>
      </c>
      <c r="E4016" s="28" t="s">
        <v>10815</v>
      </c>
      <c r="F4016" s="7" t="str">
        <f>IFERROR(__xludf.DUMMYFUNCTION("GOOGLETRANSLATE(B4016:B5064,""en"",""fr"")"),"attendre")</f>
        <v>attendre</v>
      </c>
    </row>
    <row r="4017" ht="19.5" customHeight="1">
      <c r="A4017" s="26" t="s">
        <v>10816</v>
      </c>
      <c r="B4017" s="27" t="s">
        <v>10817</v>
      </c>
      <c r="C4017" s="28" t="s">
        <v>178</v>
      </c>
      <c r="D4017" s="29">
        <v>49.0</v>
      </c>
      <c r="E4017" s="28" t="s">
        <v>10818</v>
      </c>
      <c r="F4017" s="7" t="str">
        <f>IFERROR(__xludf.DUMMYFUNCTION("GOOGLETRANSLATE(B4017:B5064,""en"",""fr"")"),"milliardaire")</f>
        <v>milliardaire</v>
      </c>
    </row>
    <row r="4018" ht="19.5" customHeight="1">
      <c r="A4018" s="26" t="s">
        <v>10819</v>
      </c>
      <c r="B4018" s="27" t="s">
        <v>10820</v>
      </c>
      <c r="C4018" s="28" t="s">
        <v>178</v>
      </c>
      <c r="D4018" s="29">
        <v>49.0</v>
      </c>
      <c r="E4018" s="28" t="s">
        <v>10821</v>
      </c>
      <c r="F4018" s="7" t="str">
        <f>IFERROR(__xludf.DUMMYFUNCTION("GOOGLETRANSLATE(B4018:B5064,""en"",""fr"")"),"librairie")</f>
        <v>librairie</v>
      </c>
    </row>
    <row r="4019" ht="19.5" customHeight="1">
      <c r="A4019" s="26" t="s">
        <v>10822</v>
      </c>
      <c r="B4019" s="27" t="s">
        <v>10823</v>
      </c>
      <c r="C4019" s="28" t="s">
        <v>178</v>
      </c>
      <c r="D4019" s="29">
        <v>49.0</v>
      </c>
      <c r="E4019" s="28" t="s">
        <v>10824</v>
      </c>
      <c r="F4019" s="7" t="str">
        <f>IFERROR(__xludf.DUMMYFUNCTION("GOOGLETRANSLATE(B4019:B5064,""en"",""fr"")"),"acheteur")</f>
        <v>acheteur</v>
      </c>
    </row>
    <row r="4020" ht="19.5" customHeight="1">
      <c r="A4020" s="26" t="s">
        <v>10825</v>
      </c>
      <c r="B4020" s="27" t="s">
        <v>10826</v>
      </c>
      <c r="C4020" s="28" t="s">
        <v>178</v>
      </c>
      <c r="D4020" s="29">
        <v>49.0</v>
      </c>
      <c r="E4020" s="28" t="s">
        <v>10827</v>
      </c>
      <c r="F4020" s="7" t="str">
        <f>IFERROR(__xludf.DUMMYFUNCTION("GOOGLETRANSLATE(B4020:B5064,""en"",""fr"")"),"charade")</f>
        <v>charade</v>
      </c>
    </row>
    <row r="4021" ht="19.5" customHeight="1">
      <c r="A4021" s="26" t="s">
        <v>10828</v>
      </c>
      <c r="B4021" s="27" t="s">
        <v>10829</v>
      </c>
      <c r="C4021" s="28" t="s">
        <v>32</v>
      </c>
      <c r="D4021" s="29">
        <v>49.0</v>
      </c>
      <c r="E4021" s="28" t="s">
        <v>10830</v>
      </c>
      <c r="F4021" s="7" t="str">
        <f>IFERROR(__xludf.DUMMYFUNCTION("GOOGLETRANSLATE(B4021:B5064,""en"",""fr"")"),"effondrement")</f>
        <v>effondrement</v>
      </c>
    </row>
    <row r="4022" ht="19.5" customHeight="1">
      <c r="A4022" s="26" t="s">
        <v>10831</v>
      </c>
      <c r="B4022" s="27" t="s">
        <v>10832</v>
      </c>
      <c r="C4022" s="28" t="s">
        <v>178</v>
      </c>
      <c r="D4022" s="29">
        <v>49.0</v>
      </c>
      <c r="E4022" s="28" t="s">
        <v>10833</v>
      </c>
      <c r="F4022" s="7" t="str">
        <f>IFERROR(__xludf.DUMMYFUNCTION("GOOGLETRANSLATE(B4022:B5064,""en"",""fr"")"),"conditionnement")</f>
        <v>conditionnement</v>
      </c>
    </row>
    <row r="4023" ht="19.5" customHeight="1">
      <c r="A4023" s="26" t="s">
        <v>10834</v>
      </c>
      <c r="B4023" s="27" t="s">
        <v>10835</v>
      </c>
      <c r="C4023" s="28" t="s">
        <v>178</v>
      </c>
      <c r="D4023" s="29">
        <v>49.0</v>
      </c>
      <c r="E4023" s="28" t="s">
        <v>10836</v>
      </c>
      <c r="F4023" s="7" t="str">
        <f>IFERROR(__xludf.DUMMYFUNCTION("GOOGLETRANSLATE(B4023:B5064,""en"",""fr"")"),"conséquence")</f>
        <v>conséquence</v>
      </c>
    </row>
    <row r="4024" ht="19.5" customHeight="1">
      <c r="A4024" s="26" t="s">
        <v>10837</v>
      </c>
      <c r="B4024" s="27" t="s">
        <v>10838</v>
      </c>
      <c r="C4024" s="28" t="s">
        <v>134</v>
      </c>
      <c r="D4024" s="29">
        <v>49.0</v>
      </c>
      <c r="E4024" s="28" t="s">
        <v>10838</v>
      </c>
      <c r="F4024" s="7" t="str">
        <f>IFERROR(__xludf.DUMMYFUNCTION("GOOGLETRANSLATE(B4024:B5064,""en"",""fr"")"),"courbé")</f>
        <v>courbé</v>
      </c>
    </row>
    <row r="4025" ht="19.5" customHeight="1">
      <c r="A4025" s="26" t="s">
        <v>10839</v>
      </c>
      <c r="B4025" s="27" t="s">
        <v>10840</v>
      </c>
      <c r="C4025" s="28" t="s">
        <v>134</v>
      </c>
      <c r="D4025" s="29">
        <v>49.0</v>
      </c>
      <c r="E4025" s="28" t="s">
        <v>10840</v>
      </c>
      <c r="F4025" s="7" t="str">
        <f>IFERROR(__xludf.DUMMYFUNCTION("GOOGLETRANSLATE(B4025:B5064,""en"",""fr"")"),"culturel")</f>
        <v>culturel</v>
      </c>
    </row>
    <row r="4026" ht="19.5" customHeight="1">
      <c r="A4026" s="26" t="s">
        <v>10841</v>
      </c>
      <c r="B4026" s="27" t="s">
        <v>10842</v>
      </c>
      <c r="C4026" s="28" t="s">
        <v>178</v>
      </c>
      <c r="D4026" s="29">
        <v>49.0</v>
      </c>
      <c r="E4026" s="28" t="s">
        <v>10843</v>
      </c>
      <c r="F4026" s="7" t="str">
        <f>IFERROR(__xludf.DUMMYFUNCTION("GOOGLETRANSLATE(B4026:B5064,""en"",""fr"")"),"datation")</f>
        <v>datation</v>
      </c>
    </row>
    <row r="4027" ht="19.5" customHeight="1">
      <c r="A4027" s="26" t="s">
        <v>10844</v>
      </c>
      <c r="B4027" s="27" t="s">
        <v>10845</v>
      </c>
      <c r="C4027" s="28" t="s">
        <v>728</v>
      </c>
      <c r="D4027" s="29">
        <v>49.0</v>
      </c>
      <c r="E4027" s="28" t="s">
        <v>10846</v>
      </c>
      <c r="F4027" s="7" t="str">
        <f>IFERROR(__xludf.DUMMYFUNCTION("GOOGLETRANSLATE(B4027:B5064,""en"",""fr"")"),"Décembre")</f>
        <v>Décembre</v>
      </c>
    </row>
    <row r="4028" ht="19.5" customHeight="1">
      <c r="A4028" s="26" t="s">
        <v>10847</v>
      </c>
      <c r="B4028" s="27" t="s">
        <v>10848</v>
      </c>
      <c r="C4028" s="28" t="s">
        <v>178</v>
      </c>
      <c r="D4028" s="29">
        <v>49.0</v>
      </c>
      <c r="E4028" s="28" t="s">
        <v>10849</v>
      </c>
      <c r="F4028" s="7" t="str">
        <f>IFERROR(__xludf.DUMMYFUNCTION("GOOGLETRANSLATE(B4028:B5064,""en"",""fr"")"),"épicerie fine")</f>
        <v>épicerie fine</v>
      </c>
    </row>
    <row r="4029" ht="19.5" customHeight="1">
      <c r="A4029" s="26" t="s">
        <v>10850</v>
      </c>
      <c r="B4029" s="27" t="s">
        <v>10851</v>
      </c>
      <c r="C4029" s="28" t="s">
        <v>32</v>
      </c>
      <c r="D4029" s="29">
        <v>49.0</v>
      </c>
      <c r="E4029" s="28" t="s">
        <v>10852</v>
      </c>
      <c r="F4029" s="7" t="str">
        <f>IFERROR(__xludf.DUMMYFUNCTION("GOOGLETRANSLATE(B4029:B5064,""en"",""fr"")"),"examiner")</f>
        <v>examiner</v>
      </c>
    </row>
    <row r="4030" ht="19.5" customHeight="1">
      <c r="A4030" s="26" t="s">
        <v>10853</v>
      </c>
      <c r="B4030" s="27" t="s">
        <v>6303</v>
      </c>
      <c r="C4030" s="28" t="s">
        <v>32</v>
      </c>
      <c r="D4030" s="29">
        <v>49.0</v>
      </c>
      <c r="E4030" s="28" t="s">
        <v>10854</v>
      </c>
      <c r="F4030" s="7" t="str">
        <f>IFERROR(__xludf.DUMMYFUNCTION("GOOGLETRANSLATE(B4030:B5064,""en"",""fr"")"),"frire")</f>
        <v>frire</v>
      </c>
    </row>
    <row r="4031" ht="19.5" customHeight="1">
      <c r="A4031" s="26" t="s">
        <v>10855</v>
      </c>
      <c r="B4031" s="27" t="s">
        <v>10856</v>
      </c>
      <c r="C4031" s="28" t="s">
        <v>134</v>
      </c>
      <c r="D4031" s="29">
        <v>49.0</v>
      </c>
      <c r="E4031" s="28" t="s">
        <v>10856</v>
      </c>
      <c r="F4031" s="7" t="str">
        <f>IFERROR(__xludf.DUMMYFUNCTION("GOOGLETRANSLATE(B4031:B5064,""en"",""fr"")"),"cultivé")</f>
        <v>cultivé</v>
      </c>
    </row>
    <row r="4032" ht="19.5" customHeight="1">
      <c r="A4032" s="26" t="s">
        <v>10857</v>
      </c>
      <c r="B4032" s="27" t="s">
        <v>10858</v>
      </c>
      <c r="C4032" s="28" t="s">
        <v>178</v>
      </c>
      <c r="D4032" s="29">
        <v>49.0</v>
      </c>
      <c r="E4032" s="28" t="s">
        <v>10859</v>
      </c>
      <c r="F4032" s="7" t="str">
        <f>IFERROR(__xludf.DUMMYFUNCTION("GOOGLETRANSLATE(B4032:B5064,""en"",""fr"")"),"hormone")</f>
        <v>hormone</v>
      </c>
    </row>
    <row r="4033" ht="19.5" customHeight="1">
      <c r="A4033" s="26" t="s">
        <v>10860</v>
      </c>
      <c r="B4033" s="27" t="s">
        <v>10861</v>
      </c>
      <c r="C4033" s="28" t="s">
        <v>85</v>
      </c>
      <c r="D4033" s="29">
        <v>49.0</v>
      </c>
      <c r="E4033" s="28" t="s">
        <v>10861</v>
      </c>
      <c r="F4033" s="7" t="str">
        <f>IFERROR(__xludf.DUMMYFUNCTION("GOOGLETRANSLATE(B4033:B5064,""en"",""fr"")"),"faire taire")</f>
        <v>faire taire</v>
      </c>
    </row>
    <row r="4034" ht="19.5" customHeight="1">
      <c r="A4034" s="26" t="s">
        <v>10862</v>
      </c>
      <c r="B4034" s="27" t="s">
        <v>10863</v>
      </c>
      <c r="C4034" s="28" t="s">
        <v>134</v>
      </c>
      <c r="D4034" s="29">
        <v>49.0</v>
      </c>
      <c r="E4034" s="28" t="s">
        <v>10863</v>
      </c>
      <c r="F4034" s="7" t="str">
        <f>IFERROR(__xludf.DUMMYFUNCTION("GOOGLETRANSLATE(B4034:B5064,""en"",""fr"")"),"précaire")</f>
        <v>précaire</v>
      </c>
    </row>
    <row r="4035" ht="19.5" customHeight="1">
      <c r="A4035" s="26" t="s">
        <v>10864</v>
      </c>
      <c r="B4035" s="27" t="s">
        <v>10865</v>
      </c>
      <c r="C4035" s="28" t="s">
        <v>178</v>
      </c>
      <c r="D4035" s="29">
        <v>49.0</v>
      </c>
      <c r="E4035" s="28" t="s">
        <v>10866</v>
      </c>
      <c r="F4035" s="7" t="str">
        <f>IFERROR(__xludf.DUMMYFUNCTION("GOOGLETRANSLATE(B4035:B5064,""en"",""fr"")"),"intention")</f>
        <v>intention</v>
      </c>
    </row>
    <row r="4036" ht="19.5" customHeight="1">
      <c r="A4036" s="26" t="s">
        <v>10867</v>
      </c>
      <c r="B4036" s="27" t="s">
        <v>10868</v>
      </c>
      <c r="C4036" s="28" t="s">
        <v>134</v>
      </c>
      <c r="D4036" s="29">
        <v>49.0</v>
      </c>
      <c r="E4036" s="28" t="s">
        <v>10868</v>
      </c>
      <c r="F4036" s="7" t="str">
        <f>IFERROR(__xludf.DUMMYFUNCTION("GOOGLETRANSLATE(B4036:B5064,""en"",""fr"")"),"international")</f>
        <v>international</v>
      </c>
    </row>
    <row r="4037" ht="19.5" customHeight="1">
      <c r="A4037" s="26" t="s">
        <v>10869</v>
      </c>
      <c r="B4037" s="27" t="s">
        <v>10870</v>
      </c>
      <c r="C4037" s="28" t="s">
        <v>178</v>
      </c>
      <c r="D4037" s="29">
        <v>49.0</v>
      </c>
      <c r="E4037" s="28" t="s">
        <v>10871</v>
      </c>
      <c r="F4037" s="7" t="str">
        <f>IFERROR(__xludf.DUMMYFUNCTION("GOOGLETRANSLATE(B4037:B5064,""en"",""fr"")"),"karaoké")</f>
        <v>karaoké</v>
      </c>
    </row>
    <row r="4038" ht="19.5" customHeight="1">
      <c r="A4038" s="26" t="s">
        <v>10872</v>
      </c>
      <c r="B4038" s="27" t="s">
        <v>1050</v>
      </c>
      <c r="C4038" s="28" t="s">
        <v>32</v>
      </c>
      <c r="D4038" s="29">
        <v>49.0</v>
      </c>
      <c r="E4038" s="28" t="s">
        <v>10873</v>
      </c>
      <c r="F4038" s="7" t="str">
        <f>IFERROR(__xludf.DUMMYFUNCTION("GOOGLETRANSLATE(B4038:B5064,""en"",""fr"")"),"doubler")</f>
        <v>doubler</v>
      </c>
    </row>
    <row r="4039" ht="19.5" customHeight="1">
      <c r="A4039" s="26" t="s">
        <v>10874</v>
      </c>
      <c r="B4039" s="27" t="s">
        <v>10875</v>
      </c>
      <c r="C4039" s="28" t="s">
        <v>178</v>
      </c>
      <c r="D4039" s="29">
        <v>49.0</v>
      </c>
      <c r="E4039" s="28" t="s">
        <v>10876</v>
      </c>
      <c r="F4039" s="7" t="str">
        <f>IFERROR(__xludf.DUMMYFUNCTION("GOOGLETRANSLATE(B4039:B5064,""en"",""fr"")"),"érable")</f>
        <v>érable</v>
      </c>
    </row>
    <row r="4040" ht="31.5" customHeight="1">
      <c r="A4040" s="26" t="s">
        <v>10877</v>
      </c>
      <c r="B4040" s="27" t="s">
        <v>10878</v>
      </c>
      <c r="C4040" s="28" t="s">
        <v>150</v>
      </c>
      <c r="D4040" s="29">
        <v>49.0</v>
      </c>
      <c r="E4040" s="28" t="s">
        <v>10878</v>
      </c>
      <c r="F4040" s="7" t="str">
        <f>IFERROR(__xludf.DUMMYFUNCTION("GOOGLETRANSLATE(B4040:B5064,""en"",""fr"")"),"mille cent")</f>
        <v>mille cent</v>
      </c>
    </row>
    <row r="4041" ht="19.5" customHeight="1">
      <c r="A4041" s="26" t="s">
        <v>10879</v>
      </c>
      <c r="B4041" s="27" t="s">
        <v>10880</v>
      </c>
      <c r="C4041" s="28" t="s">
        <v>32</v>
      </c>
      <c r="D4041" s="29">
        <v>49.0</v>
      </c>
      <c r="E4041" s="28" t="s">
        <v>10881</v>
      </c>
      <c r="F4041" s="7" t="str">
        <f>IFERROR(__xludf.DUMMYFUNCTION("GOOGLETRANSLATE(B4041:B5064,""en"",""fr"")"),"pose")</f>
        <v>pose</v>
      </c>
    </row>
    <row r="4042" ht="19.5" customHeight="1">
      <c r="A4042" s="26" t="s">
        <v>10882</v>
      </c>
      <c r="B4042" s="27" t="s">
        <v>10883</v>
      </c>
      <c r="C4042" s="28" t="s">
        <v>178</v>
      </c>
      <c r="D4042" s="29">
        <v>49.0</v>
      </c>
      <c r="E4042" s="28" t="s">
        <v>10884</v>
      </c>
      <c r="F4042" s="7" t="str">
        <f>IFERROR(__xludf.DUMMYFUNCTION("GOOGLETRANSLATE(B4042:B5064,""en"",""fr"")"),"psychiatre")</f>
        <v>psychiatre</v>
      </c>
    </row>
    <row r="4043" ht="19.5" customHeight="1">
      <c r="A4043" s="26" t="s">
        <v>10885</v>
      </c>
      <c r="B4043" s="27" t="s">
        <v>10886</v>
      </c>
      <c r="C4043" s="28" t="s">
        <v>178</v>
      </c>
      <c r="D4043" s="29">
        <v>49.0</v>
      </c>
      <c r="E4043" s="28" t="s">
        <v>10887</v>
      </c>
      <c r="F4043" s="7" t="str">
        <f>IFERROR(__xludf.DUMMYFUNCTION("GOOGLETRANSLATE(B4043:B5064,""en"",""fr"")"),"réparation")</f>
        <v>réparation</v>
      </c>
    </row>
    <row r="4044" ht="19.5" customHeight="1">
      <c r="A4044" s="26" t="s">
        <v>10888</v>
      </c>
      <c r="B4044" s="27" t="s">
        <v>10889</v>
      </c>
      <c r="C4044" s="28" t="s">
        <v>178</v>
      </c>
      <c r="D4044" s="29">
        <v>49.0</v>
      </c>
      <c r="E4044" s="28" t="s">
        <v>10890</v>
      </c>
      <c r="F4044" s="7" t="str">
        <f>IFERROR(__xludf.DUMMYFUNCTION("GOOGLETRANSLATE(B4044:B5064,""en"",""fr"")"),"fusil à pompe")</f>
        <v>fusil à pompe</v>
      </c>
    </row>
    <row r="4045" ht="19.5" customHeight="1">
      <c r="A4045" s="26" t="s">
        <v>10891</v>
      </c>
      <c r="B4045" s="27" t="s">
        <v>10892</v>
      </c>
      <c r="C4045" s="28" t="s">
        <v>134</v>
      </c>
      <c r="D4045" s="29">
        <v>49.0</v>
      </c>
      <c r="E4045" s="28" t="s">
        <v>10893</v>
      </c>
      <c r="F4045" s="7" t="str">
        <f>IFERROR(__xludf.DUMMYFUNCTION("GOOGLETRANSLATE(B4045:B5064,""en"",""fr"")"),"constant")</f>
        <v>constant</v>
      </c>
    </row>
    <row r="4046" ht="19.5" customHeight="1">
      <c r="A4046" s="26" t="s">
        <v>10894</v>
      </c>
      <c r="B4046" s="27" t="s">
        <v>10895</v>
      </c>
      <c r="C4046" s="28" t="s">
        <v>178</v>
      </c>
      <c r="D4046" s="29">
        <v>49.0</v>
      </c>
      <c r="E4046" s="28" t="s">
        <v>10896</v>
      </c>
      <c r="F4046" s="7" t="str">
        <f>IFERROR(__xludf.DUMMYFUNCTION("GOOGLETRANSLATE(B4046:B5064,""en"",""fr"")"),"stratégie")</f>
        <v>stratégie</v>
      </c>
    </row>
    <row r="4047" ht="19.5" customHeight="1">
      <c r="A4047" s="26" t="s">
        <v>10897</v>
      </c>
      <c r="B4047" s="27" t="s">
        <v>10898</v>
      </c>
      <c r="C4047" s="28" t="s">
        <v>32</v>
      </c>
      <c r="D4047" s="29">
        <v>49.0</v>
      </c>
      <c r="E4047" s="28" t="s">
        <v>10899</v>
      </c>
      <c r="F4047" s="7" t="str">
        <f>IFERROR(__xludf.DUMMYFUNCTION("GOOGLETRANSLATE(B4047:B5064,""en"",""fr"")"),"tenter")</f>
        <v>tenter</v>
      </c>
    </row>
    <row r="4048" ht="19.5" customHeight="1">
      <c r="A4048" s="26" t="s">
        <v>10900</v>
      </c>
      <c r="B4048" s="27" t="s">
        <v>10901</v>
      </c>
      <c r="C4048" s="28" t="s">
        <v>178</v>
      </c>
      <c r="D4048" s="29">
        <v>49.0</v>
      </c>
      <c r="E4048" s="28" t="s">
        <v>10902</v>
      </c>
      <c r="F4048" s="7" t="str">
        <f>IFERROR(__xludf.DUMMYFUNCTION("GOOGLETRANSLATE(B4048:B5064,""en"",""fr"")"),"vétérinaire")</f>
        <v>vétérinaire</v>
      </c>
    </row>
    <row r="4049" ht="19.5" customHeight="1">
      <c r="A4049" s="26" t="s">
        <v>10903</v>
      </c>
      <c r="B4049" s="27" t="s">
        <v>5780</v>
      </c>
      <c r="C4049" s="28" t="s">
        <v>32</v>
      </c>
      <c r="D4049" s="29">
        <v>49.0</v>
      </c>
      <c r="E4049" s="28" t="s">
        <v>10904</v>
      </c>
      <c r="F4049" s="7" t="str">
        <f>IFERROR(__xludf.DUMMYFUNCTION("GOOGLETRANSLATE(B4049:B5064,""en"",""fr"")"),"témoin")</f>
        <v>témoin</v>
      </c>
    </row>
    <row r="4050" ht="19.5" customHeight="1">
      <c r="A4050" s="26" t="s">
        <v>10905</v>
      </c>
      <c r="B4050" s="27" t="s">
        <v>10906</v>
      </c>
      <c r="C4050" s="28" t="s">
        <v>85</v>
      </c>
      <c r="D4050" s="29">
        <v>49.0</v>
      </c>
      <c r="E4050" s="28" t="s">
        <v>10906</v>
      </c>
      <c r="F4050" s="7" t="str">
        <f>IFERROR(__xludf.DUMMYFUNCTION("GOOGLETRANSLATE(B4050:B5064,""en"",""fr"")"),"Ordure")</f>
        <v>Ordure</v>
      </c>
    </row>
    <row r="4051" ht="19.5" customHeight="1">
      <c r="A4051" s="26" t="s">
        <v>10907</v>
      </c>
      <c r="B4051" s="27" t="s">
        <v>10908</v>
      </c>
      <c r="C4051" s="28" t="s">
        <v>178</v>
      </c>
      <c r="D4051" s="29">
        <v>49.0</v>
      </c>
      <c r="E4051" s="28" t="s">
        <v>10909</v>
      </c>
      <c r="F4051" s="7" t="str">
        <f>IFERROR(__xludf.DUMMYFUNCTION("GOOGLETRANSLATE(B4051:B5064,""en"",""fr"")"),"capot")</f>
        <v>capot</v>
      </c>
    </row>
    <row r="4052" ht="19.5" customHeight="1">
      <c r="A4052" s="26" t="s">
        <v>10910</v>
      </c>
      <c r="B4052" s="27" t="s">
        <v>10911</v>
      </c>
      <c r="C4052" s="28" t="s">
        <v>178</v>
      </c>
      <c r="D4052" s="29">
        <v>49.0</v>
      </c>
      <c r="E4052" s="28" t="s">
        <v>10912</v>
      </c>
      <c r="F4052" s="7" t="str">
        <f>IFERROR(__xludf.DUMMYFUNCTION("GOOGLETRANSLATE(B4052:B5064,""en"",""fr"")"),"aube")</f>
        <v>aube</v>
      </c>
    </row>
    <row r="4053" ht="19.5" customHeight="1">
      <c r="A4053" s="26" t="s">
        <v>10913</v>
      </c>
      <c r="B4053" s="27" t="s">
        <v>10914</v>
      </c>
      <c r="C4053" s="28" t="s">
        <v>178</v>
      </c>
      <c r="D4053" s="29">
        <v>49.0</v>
      </c>
      <c r="E4053" s="28" t="s">
        <v>10915</v>
      </c>
      <c r="F4053" s="7" t="str">
        <f>IFERROR(__xludf.DUMMYFUNCTION("GOOGLETRANSLATE(B4053:B5064,""en"",""fr"")"),"moteur")</f>
        <v>moteur</v>
      </c>
    </row>
    <row r="4054" ht="19.5" customHeight="1">
      <c r="A4054" s="26" t="s">
        <v>10916</v>
      </c>
      <c r="B4054" s="27" t="s">
        <v>10917</v>
      </c>
      <c r="C4054" s="28" t="s">
        <v>178</v>
      </c>
      <c r="D4054" s="29">
        <v>49.0</v>
      </c>
      <c r="E4054" s="28" t="s">
        <v>10918</v>
      </c>
      <c r="F4054" s="7" t="str">
        <f>IFERROR(__xludf.DUMMYFUNCTION("GOOGLETRANSLATE(B4054:B5064,""en"",""fr"")"),"tente")</f>
        <v>tente</v>
      </c>
    </row>
    <row r="4055" ht="19.5" customHeight="1">
      <c r="A4055" s="26" t="s">
        <v>10919</v>
      </c>
      <c r="B4055" s="27" t="s">
        <v>10920</v>
      </c>
      <c r="C4055" s="28" t="s">
        <v>178</v>
      </c>
      <c r="D4055" s="29">
        <v>48.0</v>
      </c>
      <c r="E4055" s="28" t="s">
        <v>10921</v>
      </c>
      <c r="F4055" s="7" t="str">
        <f>IFERROR(__xludf.DUMMYFUNCTION("GOOGLETRANSLATE(B4055:B5064,""en"",""fr"")"),"tumeur")</f>
        <v>tumeur</v>
      </c>
    </row>
    <row r="4056" ht="19.5" customHeight="1">
      <c r="A4056" s="26" t="s">
        <v>10922</v>
      </c>
      <c r="B4056" s="27" t="s">
        <v>10923</v>
      </c>
      <c r="C4056" s="28" t="s">
        <v>178</v>
      </c>
      <c r="D4056" s="29">
        <v>48.0</v>
      </c>
      <c r="E4056" s="28" t="s">
        <v>10924</v>
      </c>
      <c r="F4056" s="7" t="str">
        <f>IFERROR(__xludf.DUMMYFUNCTION("GOOGLETRANSLATE(B4056:B5064,""en"",""fr"")"),"baignoire")</f>
        <v>baignoire</v>
      </c>
    </row>
    <row r="4057" ht="19.5" customHeight="1">
      <c r="A4057" s="26" t="s">
        <v>10925</v>
      </c>
      <c r="B4057" s="27" t="s">
        <v>1311</v>
      </c>
      <c r="C4057" s="28" t="s">
        <v>32</v>
      </c>
      <c r="D4057" s="29">
        <v>48.0</v>
      </c>
      <c r="E4057" s="28" t="s">
        <v>10926</v>
      </c>
      <c r="F4057" s="7" t="str">
        <f>IFERROR(__xludf.DUMMYFUNCTION("GOOGLETRANSLATE(B4057:B5064,""en"",""fr"")"),"chienne")</f>
        <v>chienne</v>
      </c>
    </row>
    <row r="4058" ht="19.5" customHeight="1">
      <c r="A4058" s="26" t="s">
        <v>10927</v>
      </c>
      <c r="B4058" s="27" t="s">
        <v>10928</v>
      </c>
      <c r="C4058" s="28" t="s">
        <v>134</v>
      </c>
      <c r="D4058" s="29">
        <v>48.0</v>
      </c>
      <c r="E4058" s="28" t="s">
        <v>10929</v>
      </c>
      <c r="F4058" s="7" t="str">
        <f>IFERROR(__xludf.DUMMYFUNCTION("GOOGLETRANSLATE(B4058:B5064,""en"",""fr"")"),"large")</f>
        <v>large</v>
      </c>
    </row>
    <row r="4059" ht="19.5" customHeight="1">
      <c r="A4059" s="26" t="s">
        <v>10930</v>
      </c>
      <c r="B4059" s="27" t="s">
        <v>10931</v>
      </c>
      <c r="C4059" s="28" t="s">
        <v>134</v>
      </c>
      <c r="D4059" s="29">
        <v>48.0</v>
      </c>
      <c r="E4059" s="28" t="s">
        <v>10931</v>
      </c>
      <c r="F4059" s="7" t="str">
        <f>IFERROR(__xludf.DUMMYFUNCTION("GOOGLETRANSLATE(B4059:B5064,""en"",""fr"")"),"brutal")</f>
        <v>brutal</v>
      </c>
    </row>
    <row r="4060" ht="19.5" customHeight="1">
      <c r="A4060" s="26" t="s">
        <v>10932</v>
      </c>
      <c r="B4060" s="27" t="s">
        <v>10933</v>
      </c>
      <c r="C4060" s="28" t="s">
        <v>32</v>
      </c>
      <c r="D4060" s="29">
        <v>48.0</v>
      </c>
      <c r="E4060" s="28" t="s">
        <v>10934</v>
      </c>
      <c r="F4060" s="7" t="str">
        <f>IFERROR(__xludf.DUMMYFUNCTION("GOOGLETRANSLATE(B4060:B5064,""en"",""fr"")"),"bourdonner")</f>
        <v>bourdonner</v>
      </c>
    </row>
    <row r="4061" ht="19.5" customHeight="1">
      <c r="A4061" s="26" t="s">
        <v>10935</v>
      </c>
      <c r="B4061" s="27" t="s">
        <v>10936</v>
      </c>
      <c r="C4061" s="28" t="s">
        <v>178</v>
      </c>
      <c r="D4061" s="29">
        <v>48.0</v>
      </c>
      <c r="E4061" s="28" t="s">
        <v>10937</v>
      </c>
      <c r="F4061" s="7" t="str">
        <f>IFERROR(__xludf.DUMMYFUNCTION("GOOGLETRANSLATE(B4061:B5064,""en"",""fr"")"),"campagne")</f>
        <v>campagne</v>
      </c>
    </row>
    <row r="4062" ht="19.5" customHeight="1">
      <c r="A4062" s="26" t="s">
        <v>10938</v>
      </c>
      <c r="B4062" s="27" t="s">
        <v>10939</v>
      </c>
      <c r="C4062" s="28" t="s">
        <v>32</v>
      </c>
      <c r="D4062" s="29">
        <v>48.0</v>
      </c>
      <c r="E4062" s="28" t="s">
        <v>10940</v>
      </c>
      <c r="F4062" s="7" t="str">
        <f>IFERROR(__xludf.DUMMYFUNCTION("GOOGLETRANSLATE(B4062:B5064,""en"",""fr"")"),"conduire")</f>
        <v>conduire</v>
      </c>
    </row>
    <row r="4063" ht="19.5" customHeight="1">
      <c r="A4063" s="26" t="s">
        <v>10941</v>
      </c>
      <c r="B4063" s="27" t="s">
        <v>10942</v>
      </c>
      <c r="C4063" s="28" t="s">
        <v>178</v>
      </c>
      <c r="D4063" s="29">
        <v>48.0</v>
      </c>
      <c r="E4063" s="28" t="s">
        <v>10943</v>
      </c>
      <c r="F4063" s="7" t="str">
        <f>IFERROR(__xludf.DUMMYFUNCTION("GOOGLETRANSLATE(B4063:B5064,""en"",""fr"")"),"photocopieuse")</f>
        <v>photocopieuse</v>
      </c>
    </row>
    <row r="4064" ht="19.5" customHeight="1">
      <c r="A4064" s="26" t="s">
        <v>10944</v>
      </c>
      <c r="B4064" s="27" t="s">
        <v>10945</v>
      </c>
      <c r="C4064" s="28" t="s">
        <v>134</v>
      </c>
      <c r="D4064" s="29">
        <v>48.0</v>
      </c>
      <c r="E4064" s="28" t="s">
        <v>10946</v>
      </c>
      <c r="F4064" s="7" t="str">
        <f>IFERROR(__xludf.DUMMYFUNCTION("GOOGLETRANSLATE(B4064:B5064,""en"",""fr"")"),"grincheux")</f>
        <v>grincheux</v>
      </c>
    </row>
    <row r="4065" ht="19.5" customHeight="1">
      <c r="A4065" s="26" t="s">
        <v>10947</v>
      </c>
      <c r="B4065" s="27" t="s">
        <v>10948</v>
      </c>
      <c r="C4065" s="28" t="s">
        <v>134</v>
      </c>
      <c r="D4065" s="29">
        <v>48.0</v>
      </c>
      <c r="E4065" s="28" t="s">
        <v>10948</v>
      </c>
      <c r="F4065" s="7" t="str">
        <f>IFERROR(__xludf.DUMMYFUNCTION("GOOGLETRANSLATE(B4065:B5064,""en"",""fr"")"),"éternel")</f>
        <v>éternel</v>
      </c>
    </row>
    <row r="4066" ht="19.5" customHeight="1">
      <c r="A4066" s="26" t="s">
        <v>10949</v>
      </c>
      <c r="B4066" s="27" t="s">
        <v>10950</v>
      </c>
      <c r="C4066" s="28" t="s">
        <v>178</v>
      </c>
      <c r="D4066" s="29">
        <v>48.0</v>
      </c>
      <c r="E4066" s="28" t="s">
        <v>10951</v>
      </c>
      <c r="F4066" s="7" t="str">
        <f>IFERROR(__xludf.DUMMYFUNCTION("GOOGLETRANSLATE(B4066:B5064,""en"",""fr"")"),"mousse")</f>
        <v>mousse</v>
      </c>
    </row>
    <row r="4067" ht="19.5" customHeight="1">
      <c r="A4067" s="26" t="s">
        <v>10952</v>
      </c>
      <c r="B4067" s="27" t="s">
        <v>10953</v>
      </c>
      <c r="C4067" s="28" t="s">
        <v>4654</v>
      </c>
      <c r="D4067" s="29">
        <v>48.0</v>
      </c>
      <c r="E4067" s="28" t="s">
        <v>10953</v>
      </c>
      <c r="F4067" s="7" t="str">
        <f>IFERROR(__xludf.DUMMYFUNCTION("GOOGLETRANSLATE(B4067:B5064,""en"",""fr"")"),"POUR VOTRE INFORMATION")</f>
        <v>POUR VOTRE INFORMATION</v>
      </c>
    </row>
    <row r="4068" ht="19.5" customHeight="1">
      <c r="A4068" s="26" t="s">
        <v>10954</v>
      </c>
      <c r="B4068" s="27" t="s">
        <v>10955</v>
      </c>
      <c r="C4068" s="28" t="s">
        <v>32</v>
      </c>
      <c r="D4068" s="29">
        <v>48.0</v>
      </c>
      <c r="E4068" s="28" t="s">
        <v>10956</v>
      </c>
      <c r="F4068" s="7" t="str">
        <f>IFERROR(__xludf.DUMMYFUNCTION("GOOGLETRANSLATE(B4068:B5064,""en"",""fr"")"),"Google")</f>
        <v>Google</v>
      </c>
    </row>
    <row r="4069" ht="19.5" customHeight="1">
      <c r="A4069" s="26" t="s">
        <v>10957</v>
      </c>
      <c r="B4069" s="27" t="s">
        <v>10958</v>
      </c>
      <c r="C4069" s="28" t="s">
        <v>134</v>
      </c>
      <c r="D4069" s="29">
        <v>48.0</v>
      </c>
      <c r="E4069" s="28" t="s">
        <v>10959</v>
      </c>
      <c r="F4069" s="7" t="str">
        <f>IFERROR(__xludf.DUMMYFUNCTION("GOOGLETRANSLATE(B4069:B5064,""en"",""fr"")"),"cupide")</f>
        <v>cupide</v>
      </c>
    </row>
    <row r="4070" ht="19.5" customHeight="1">
      <c r="A4070" s="26" t="s">
        <v>10960</v>
      </c>
      <c r="B4070" s="27" t="s">
        <v>10961</v>
      </c>
      <c r="C4070" s="28" t="s">
        <v>85</v>
      </c>
      <c r="D4070" s="29">
        <v>48.0</v>
      </c>
      <c r="E4070" s="28" t="s">
        <v>10961</v>
      </c>
      <c r="F4070" s="7" t="str">
        <f>IFERROR(__xludf.DUMMYFUNCTION("GOOGLETRANSLATE(B4070:B5064,""en"",""fr"")"),"hiya")</f>
        <v>hiya</v>
      </c>
    </row>
    <row r="4071" ht="19.5" customHeight="1">
      <c r="A4071" s="26" t="s">
        <v>10962</v>
      </c>
      <c r="B4071" s="27" t="s">
        <v>10963</v>
      </c>
      <c r="C4071" s="28" t="s">
        <v>178</v>
      </c>
      <c r="D4071" s="29">
        <v>48.0</v>
      </c>
      <c r="E4071" s="28" t="s">
        <v>10964</v>
      </c>
      <c r="F4071" s="7" t="str">
        <f>IFERROR(__xludf.DUMMYFUNCTION("GOOGLETRANSLATE(B4071:B5064,""en"",""fr"")"),"baiser")</f>
        <v>baiser</v>
      </c>
    </row>
    <row r="4072" ht="19.5" customHeight="1">
      <c r="A4072" s="26" t="s">
        <v>10965</v>
      </c>
      <c r="B4072" s="27" t="s">
        <v>10966</v>
      </c>
      <c r="C4072" s="28" t="s">
        <v>178</v>
      </c>
      <c r="D4072" s="29">
        <v>48.0</v>
      </c>
      <c r="E4072" s="28" t="s">
        <v>10967</v>
      </c>
      <c r="F4072" s="7" t="str">
        <f>IFERROR(__xludf.DUMMYFUNCTION("GOOGLETRANSLATE(B4072:B5064,""en"",""fr"")"),"lave")</f>
        <v>lave</v>
      </c>
    </row>
    <row r="4073" ht="19.5" customHeight="1">
      <c r="A4073" s="26" t="s">
        <v>10968</v>
      </c>
      <c r="B4073" s="27" t="s">
        <v>164</v>
      </c>
      <c r="C4073" s="28" t="s">
        <v>178</v>
      </c>
      <c r="D4073" s="29">
        <v>48.0</v>
      </c>
      <c r="E4073" s="28" t="s">
        <v>10969</v>
      </c>
      <c r="F4073" s="7" t="str">
        <f>IFERROR(__xludf.DUMMYFUNCTION("GOOGLETRANSLATE(B4073:B5064,""en"",""fr"")"),"comme")</f>
        <v>comme</v>
      </c>
    </row>
    <row r="4074" ht="19.5" customHeight="1">
      <c r="A4074" s="26" t="s">
        <v>10970</v>
      </c>
      <c r="B4074" s="27" t="s">
        <v>10971</v>
      </c>
      <c r="C4074" s="28" t="s">
        <v>32</v>
      </c>
      <c r="D4074" s="29">
        <v>48.0</v>
      </c>
      <c r="E4074" s="28" t="s">
        <v>10972</v>
      </c>
      <c r="F4074" s="7" t="str">
        <f>IFERROR(__xludf.DUMMYFUNCTION("GOOGLETRANSLATE(B4074:B5064,""en"",""fr"")"),"desserrer")</f>
        <v>desserrer</v>
      </c>
    </row>
    <row r="4075" ht="19.5" customHeight="1">
      <c r="A4075" s="26" t="s">
        <v>10973</v>
      </c>
      <c r="B4075" s="27" t="s">
        <v>10146</v>
      </c>
      <c r="C4075" s="28" t="s">
        <v>85</v>
      </c>
      <c r="D4075" s="29">
        <v>48.0</v>
      </c>
      <c r="E4075" s="28" t="s">
        <v>10146</v>
      </c>
      <c r="F4075" s="7" t="str">
        <f>IFERROR(__xludf.DUMMYFUNCTION("GOOGLETRANSLATE(B4075:B5064,""en"",""fr"")"),"Seigneur")</f>
        <v>Seigneur</v>
      </c>
    </row>
    <row r="4076" ht="19.5" customHeight="1">
      <c r="A4076" s="26" t="s">
        <v>10974</v>
      </c>
      <c r="B4076" s="27" t="s">
        <v>10975</v>
      </c>
      <c r="C4076" s="28" t="s">
        <v>178</v>
      </c>
      <c r="D4076" s="29">
        <v>48.0</v>
      </c>
      <c r="E4076" s="28" t="s">
        <v>10976</v>
      </c>
      <c r="F4076" s="7" t="str">
        <f>IFERROR(__xludf.DUMMYFUNCTION("GOOGLETRANSLATE(B4076:B5064,""en"",""fr"")"),"boites aux lettres")</f>
        <v>boites aux lettres</v>
      </c>
    </row>
    <row r="4077" ht="19.5" customHeight="1">
      <c r="A4077" s="26" t="s">
        <v>10977</v>
      </c>
      <c r="B4077" s="27" t="s">
        <v>10978</v>
      </c>
      <c r="C4077" s="28" t="s">
        <v>134</v>
      </c>
      <c r="D4077" s="29">
        <v>48.0</v>
      </c>
      <c r="E4077" s="28" t="s">
        <v>10979</v>
      </c>
      <c r="F4077" s="7" t="str">
        <f>IFERROR(__xludf.DUMMYFUNCTION("GOOGLETRANSLATE(B4077:B5064,""en"",""fr"")"),"naïf")</f>
        <v>naïf</v>
      </c>
    </row>
    <row r="4078" ht="19.5" customHeight="1">
      <c r="A4078" s="26" t="s">
        <v>10980</v>
      </c>
      <c r="B4078" s="27" t="s">
        <v>10981</v>
      </c>
      <c r="C4078" s="28" t="s">
        <v>728</v>
      </c>
      <c r="D4078" s="29">
        <v>48.0</v>
      </c>
      <c r="E4078" s="28" t="s">
        <v>10982</v>
      </c>
      <c r="F4078" s="7" t="str">
        <f>IFERROR(__xludf.DUMMYFUNCTION("GOOGLETRANSLATE(B4078:B5064,""en"",""fr"")"),"Novembre")</f>
        <v>Novembre</v>
      </c>
    </row>
    <row r="4079" ht="19.5" customHeight="1">
      <c r="A4079" s="26" t="s">
        <v>10983</v>
      </c>
      <c r="B4079" s="27" t="s">
        <v>10984</v>
      </c>
      <c r="C4079" s="28" t="s">
        <v>178</v>
      </c>
      <c r="D4079" s="29">
        <v>48.0</v>
      </c>
      <c r="E4079" s="28" t="s">
        <v>10985</v>
      </c>
      <c r="F4079" s="7" t="str">
        <f>IFERROR(__xludf.DUMMYFUNCTION("GOOGLETRANSLATE(B4079:B5064,""en"",""fr"")"),"particule")</f>
        <v>particule</v>
      </c>
    </row>
    <row r="4080" ht="19.5" customHeight="1">
      <c r="A4080" s="26" t="s">
        <v>10986</v>
      </c>
      <c r="B4080" s="27" t="s">
        <v>10987</v>
      </c>
      <c r="C4080" s="28" t="s">
        <v>178</v>
      </c>
      <c r="D4080" s="29">
        <v>48.0</v>
      </c>
      <c r="E4080" s="28" t="s">
        <v>10988</v>
      </c>
      <c r="F4080" s="7" t="str">
        <f>IFERROR(__xludf.DUMMYFUNCTION("GOOGLETRANSLATE(B4080:B5064,""en"",""fr"")"),"perspective")</f>
        <v>perspective</v>
      </c>
    </row>
    <row r="4081" ht="19.5" customHeight="1">
      <c r="A4081" s="26" t="s">
        <v>10989</v>
      </c>
      <c r="B4081" s="27" t="s">
        <v>9361</v>
      </c>
      <c r="C4081" s="28" t="s">
        <v>178</v>
      </c>
      <c r="D4081" s="29">
        <v>48.0</v>
      </c>
      <c r="E4081" s="28" t="s">
        <v>10990</v>
      </c>
      <c r="F4081" s="7" t="str">
        <f>IFERROR(__xludf.DUMMYFUNCTION("GOOGLETRANSLATE(B4081:B5064,""en"",""fr"")"),"prise")</f>
        <v>prise</v>
      </c>
    </row>
    <row r="4082" ht="19.5" customHeight="1">
      <c r="A4082" s="26" t="s">
        <v>10991</v>
      </c>
      <c r="B4082" s="27" t="s">
        <v>10992</v>
      </c>
      <c r="C4082" s="28" t="s">
        <v>178</v>
      </c>
      <c r="D4082" s="29">
        <v>48.0</v>
      </c>
      <c r="E4082" s="28" t="s">
        <v>10993</v>
      </c>
      <c r="F4082" s="7" t="str">
        <f>IFERROR(__xludf.DUMMYFUNCTION("GOOGLETRANSLATE(B4082:B5064,""en"",""fr"")"),"privilège")</f>
        <v>privilège</v>
      </c>
    </row>
    <row r="4083" ht="19.5" customHeight="1">
      <c r="A4083" s="26" t="s">
        <v>10994</v>
      </c>
      <c r="B4083" s="27" t="s">
        <v>10995</v>
      </c>
      <c r="C4083" s="28" t="s">
        <v>32</v>
      </c>
      <c r="D4083" s="29">
        <v>48.0</v>
      </c>
      <c r="E4083" s="28" t="s">
        <v>10996</v>
      </c>
      <c r="F4083" s="7" t="str">
        <f>IFERROR(__xludf.DUMMYFUNCTION("GOOGLETRANSLATE(B4083:B5064,""en"",""fr"")"),"résoudre")</f>
        <v>résoudre</v>
      </c>
    </row>
    <row r="4084" ht="19.5" customHeight="1">
      <c r="A4084" s="26" t="s">
        <v>10997</v>
      </c>
      <c r="B4084" s="27" t="s">
        <v>10998</v>
      </c>
      <c r="C4084" s="28" t="s">
        <v>178</v>
      </c>
      <c r="D4084" s="29">
        <v>48.0</v>
      </c>
      <c r="E4084" s="28" t="s">
        <v>10999</v>
      </c>
      <c r="F4084" s="7" t="str">
        <f>IFERROR(__xludf.DUMMYFUNCTION("GOOGLETRANSLATE(B4084:B5064,""en"",""fr"")"),"foulard")</f>
        <v>foulard</v>
      </c>
    </row>
    <row r="4085" ht="19.5" customHeight="1">
      <c r="A4085" s="26" t="s">
        <v>11000</v>
      </c>
      <c r="B4085" s="27" t="s">
        <v>460</v>
      </c>
      <c r="C4085" s="28" t="s">
        <v>178</v>
      </c>
      <c r="D4085" s="29">
        <v>48.0</v>
      </c>
      <c r="E4085" s="28" t="s">
        <v>11001</v>
      </c>
      <c r="F4085" s="7" t="str">
        <f>IFERROR(__xludf.DUMMYFUNCTION("GOOGLETRANSLATE(B4085:B5064,""en"",""fr"")"),"commencer")</f>
        <v>commencer</v>
      </c>
    </row>
    <row r="4086" ht="19.5" customHeight="1">
      <c r="A4086" s="26" t="s">
        <v>11002</v>
      </c>
      <c r="B4086" s="27" t="s">
        <v>11003</v>
      </c>
      <c r="C4086" s="28" t="s">
        <v>178</v>
      </c>
      <c r="D4086" s="29">
        <v>48.0</v>
      </c>
      <c r="E4086" s="28" t="s">
        <v>11004</v>
      </c>
      <c r="F4086" s="7" t="str">
        <f>IFERROR(__xludf.DUMMYFUNCTION("GOOGLETRANSLATE(B4086:B5064,""en"",""fr"")"),"entraîneur")</f>
        <v>entraîneur</v>
      </c>
    </row>
    <row r="4087" ht="19.5" customHeight="1">
      <c r="A4087" s="26" t="s">
        <v>11005</v>
      </c>
      <c r="B4087" s="27" t="s">
        <v>11006</v>
      </c>
      <c r="C4087" s="28" t="s">
        <v>134</v>
      </c>
      <c r="D4087" s="29">
        <v>48.0</v>
      </c>
      <c r="E4087" s="28" t="s">
        <v>11006</v>
      </c>
      <c r="F4087" s="7" t="str">
        <f>IFERROR(__xludf.DUMMYFUNCTION("GOOGLETRANSLATE(B4087:B5064,""en"",""fr"")"),"incapable")</f>
        <v>incapable</v>
      </c>
    </row>
    <row r="4088" ht="19.5" customHeight="1">
      <c r="A4088" s="26" t="s">
        <v>11007</v>
      </c>
      <c r="B4088" s="27" t="s">
        <v>11008</v>
      </c>
      <c r="C4088" s="28" t="s">
        <v>134</v>
      </c>
      <c r="D4088" s="29">
        <v>48.0</v>
      </c>
      <c r="E4088" s="28" t="s">
        <v>11008</v>
      </c>
      <c r="F4088" s="7" t="str">
        <f>IFERROR(__xludf.DUMMYFUNCTION("GOOGLETRANSLATE(B4088:B5064,""en"",""fr"")"),"inacceptable")</f>
        <v>inacceptable</v>
      </c>
    </row>
    <row r="4089" ht="19.5" customHeight="1">
      <c r="A4089" s="26" t="s">
        <v>11009</v>
      </c>
      <c r="B4089" s="27" t="s">
        <v>11010</v>
      </c>
      <c r="C4089" s="28" t="s">
        <v>134</v>
      </c>
      <c r="D4089" s="29">
        <v>48.0</v>
      </c>
      <c r="E4089" s="28" t="s">
        <v>11010</v>
      </c>
      <c r="F4089" s="7" t="str">
        <f>IFERROR(__xludf.DUMMYFUNCTION("GOOGLETRANSLATE(B4089:B5064,""en"",""fr"")"),"malheureux")</f>
        <v>malheureux</v>
      </c>
    </row>
    <row r="4090" ht="19.5" customHeight="1">
      <c r="A4090" s="26" t="s">
        <v>11011</v>
      </c>
      <c r="B4090" s="27" t="s">
        <v>11012</v>
      </c>
      <c r="C4090" s="28" t="s">
        <v>178</v>
      </c>
      <c r="D4090" s="29">
        <v>48.0</v>
      </c>
      <c r="E4090" s="28" t="s">
        <v>11013</v>
      </c>
      <c r="F4090" s="7" t="str">
        <f>IFERROR(__xludf.DUMMYFUNCTION("GOOGLETRANSLATE(B4090:B5064,""en"",""fr"")"),"mise à jour")</f>
        <v>mise à jour</v>
      </c>
    </row>
    <row r="4091" ht="19.5" customHeight="1">
      <c r="A4091" s="26" t="s">
        <v>11014</v>
      </c>
      <c r="B4091" s="27" t="s">
        <v>11015</v>
      </c>
      <c r="C4091" s="28" t="s">
        <v>178</v>
      </c>
      <c r="D4091" s="29">
        <v>48.0</v>
      </c>
      <c r="E4091" s="28" t="s">
        <v>11016</v>
      </c>
      <c r="F4091" s="7" t="str">
        <f>IFERROR(__xludf.DUMMYFUNCTION("GOOGLETRANSLATE(B4091:B5064,""en"",""fr"")"),"volcan")</f>
        <v>volcan</v>
      </c>
    </row>
    <row r="4092" ht="19.5" customHeight="1">
      <c r="A4092" s="26" t="s">
        <v>11017</v>
      </c>
      <c r="B4092" s="27" t="s">
        <v>11018</v>
      </c>
      <c r="C4092" s="28" t="s">
        <v>178</v>
      </c>
      <c r="D4092" s="29">
        <v>48.0</v>
      </c>
      <c r="E4092" s="28" t="s">
        <v>11019</v>
      </c>
      <c r="F4092" s="7" t="str">
        <f>IFERROR(__xludf.DUMMYFUNCTION("GOOGLETRANSLATE(B4092:B5064,""en"",""fr"")"),"herbe")</f>
        <v>herbe</v>
      </c>
    </row>
    <row r="4093" ht="19.5" customHeight="1">
      <c r="A4093" s="26" t="s">
        <v>11020</v>
      </c>
      <c r="B4093" s="27" t="s">
        <v>11021</v>
      </c>
      <c r="C4093" s="28" t="s">
        <v>134</v>
      </c>
      <c r="D4093" s="29">
        <v>48.0</v>
      </c>
      <c r="E4093" s="28" t="s">
        <v>11022</v>
      </c>
      <c r="F4093" s="7" t="str">
        <f>IFERROR(__xludf.DUMMYFUNCTION("GOOGLETRANSLATE(B4093:B5064,""en"",""fr"")"),"digne")</f>
        <v>digne</v>
      </c>
    </row>
    <row r="4094" ht="19.5" customHeight="1">
      <c r="A4094" s="26" t="s">
        <v>11023</v>
      </c>
      <c r="B4094" s="27" t="s">
        <v>11024</v>
      </c>
      <c r="C4094" s="28" t="s">
        <v>178</v>
      </c>
      <c r="D4094" s="29">
        <v>48.0</v>
      </c>
      <c r="E4094" s="28" t="s">
        <v>11025</v>
      </c>
      <c r="F4094" s="7" t="str">
        <f>IFERROR(__xludf.DUMMYFUNCTION("GOOGLETRANSLATE(B4094:B5064,""en"",""fr"")"),"sauter")</f>
        <v>sauter</v>
      </c>
    </row>
    <row r="4095" ht="19.5" customHeight="1">
      <c r="A4095" s="26" t="s">
        <v>11026</v>
      </c>
      <c r="B4095" s="27" t="s">
        <v>11027</v>
      </c>
      <c r="C4095" s="28" t="s">
        <v>134</v>
      </c>
      <c r="D4095" s="29">
        <v>48.0</v>
      </c>
      <c r="E4095" s="28" t="s">
        <v>11027</v>
      </c>
      <c r="F4095" s="7" t="str">
        <f>IFERROR(__xludf.DUMMYFUNCTION("GOOGLETRANSLATE(B4095:B5064,""en"",""fr"")"),"permanent")</f>
        <v>permanent</v>
      </c>
    </row>
    <row r="4096" ht="19.5" customHeight="1">
      <c r="A4096" s="26" t="s">
        <v>11028</v>
      </c>
      <c r="B4096" s="27" t="s">
        <v>11029</v>
      </c>
      <c r="C4096" s="28" t="s">
        <v>178</v>
      </c>
      <c r="D4096" s="29">
        <v>48.0</v>
      </c>
      <c r="E4096" s="28" t="s">
        <v>11030</v>
      </c>
      <c r="F4096" s="7" t="str">
        <f>IFERROR(__xludf.DUMMYFUNCTION("GOOGLETRANSLATE(B4096:B5064,""en"",""fr"")"),"gag")</f>
        <v>gag</v>
      </c>
    </row>
    <row r="4097" ht="19.5" customHeight="1">
      <c r="A4097" s="26" t="s">
        <v>11031</v>
      </c>
      <c r="B4097" s="27" t="s">
        <v>11032</v>
      </c>
      <c r="C4097" s="28" t="s">
        <v>134</v>
      </c>
      <c r="D4097" s="29">
        <v>47.0</v>
      </c>
      <c r="E4097" s="28" t="s">
        <v>11032</v>
      </c>
      <c r="F4097" s="7" t="str">
        <f>IFERROR(__xludf.DUMMYFUNCTION("GOOGLETRANSLATE(B4097:B5064,""en"",""fr"")"),"accro")</f>
        <v>accro</v>
      </c>
    </row>
    <row r="4098" ht="19.5" customHeight="1">
      <c r="A4098" s="26" t="s">
        <v>11033</v>
      </c>
      <c r="B4098" s="27" t="s">
        <v>11034</v>
      </c>
      <c r="C4098" s="28" t="s">
        <v>85</v>
      </c>
      <c r="D4098" s="29">
        <v>47.0</v>
      </c>
      <c r="E4098" s="28" t="s">
        <v>11034</v>
      </c>
      <c r="F4098" s="7" t="str">
        <f>IFERROR(__xludf.DUMMYFUNCTION("GOOGLETRANSLATE(B4098:B5064,""en"",""fr"")"),"bah")</f>
        <v>bah</v>
      </c>
    </row>
    <row r="4099" ht="19.5" customHeight="1">
      <c r="A4099" s="26" t="s">
        <v>11035</v>
      </c>
      <c r="B4099" s="27" t="s">
        <v>9114</v>
      </c>
      <c r="C4099" s="28" t="s">
        <v>32</v>
      </c>
      <c r="D4099" s="29">
        <v>47.0</v>
      </c>
      <c r="E4099" s="28" t="s">
        <v>11036</v>
      </c>
      <c r="F4099" s="7" t="str">
        <f>IFERROR(__xludf.DUMMYFUNCTION("GOOGLETRANSLATE(B4099:B5064,""en"",""fr"")"),"équilibre")</f>
        <v>équilibre</v>
      </c>
    </row>
    <row r="4100" ht="19.5" customHeight="1">
      <c r="A4100" s="26" t="s">
        <v>11037</v>
      </c>
      <c r="B4100" s="27" t="s">
        <v>11038</v>
      </c>
      <c r="C4100" s="28" t="s">
        <v>134</v>
      </c>
      <c r="D4100" s="29">
        <v>47.0</v>
      </c>
      <c r="E4100" s="28" t="s">
        <v>11039</v>
      </c>
      <c r="F4100" s="7" t="str">
        <f>IFERROR(__xludf.DUMMYFUNCTION("GOOGLETRANSLATE(B4100:B5064,""en"",""fr"")"),"amer")</f>
        <v>amer</v>
      </c>
    </row>
    <row r="4101" ht="19.5" customHeight="1">
      <c r="A4101" s="26" t="s">
        <v>11040</v>
      </c>
      <c r="B4101" s="27" t="s">
        <v>6121</v>
      </c>
      <c r="C4101" s="28" t="s">
        <v>32</v>
      </c>
      <c r="D4101" s="29">
        <v>47.0</v>
      </c>
      <c r="E4101" s="28" t="s">
        <v>11041</v>
      </c>
      <c r="F4101" s="7" t="str">
        <f>IFERROR(__xludf.DUMMYFUNCTION("GOOGLETRANSLATE(B4101:B5064,""en"",""fr"")"),"huer")</f>
        <v>huer</v>
      </c>
    </row>
    <row r="4102" ht="19.5" customHeight="1">
      <c r="A4102" s="26" t="s">
        <v>11042</v>
      </c>
      <c r="B4102" s="27" t="s">
        <v>11043</v>
      </c>
      <c r="C4102" s="28" t="s">
        <v>178</v>
      </c>
      <c r="D4102" s="29">
        <v>47.0</v>
      </c>
      <c r="E4102" s="28" t="s">
        <v>11043</v>
      </c>
      <c r="F4102" s="7" t="str">
        <f>IFERROR(__xludf.DUMMYFUNCTION("GOOGLETRANSLATE(B4102:B5064,""en"",""fr"")"),"croisillons")</f>
        <v>croisillons</v>
      </c>
    </row>
    <row r="4103" ht="19.5" customHeight="1">
      <c r="A4103" s="26" t="s">
        <v>11044</v>
      </c>
      <c r="B4103" s="27" t="s">
        <v>11045</v>
      </c>
      <c r="C4103" s="28" t="s">
        <v>178</v>
      </c>
      <c r="D4103" s="29">
        <v>47.0</v>
      </c>
      <c r="E4103" s="28" t="s">
        <v>11046</v>
      </c>
      <c r="F4103" s="7" t="str">
        <f>IFERROR(__xludf.DUMMYFUNCTION("GOOGLETRANSLATE(B4103:B5064,""en"",""fr"")"),"cachemire")</f>
        <v>cachemire</v>
      </c>
    </row>
    <row r="4104" ht="19.5" customHeight="1">
      <c r="A4104" s="26" t="s">
        <v>11047</v>
      </c>
      <c r="B4104" s="27" t="s">
        <v>11048</v>
      </c>
      <c r="C4104" s="28" t="s">
        <v>178</v>
      </c>
      <c r="D4104" s="29">
        <v>47.0</v>
      </c>
      <c r="E4104" s="28" t="s">
        <v>11049</v>
      </c>
      <c r="F4104" s="7" t="str">
        <f>IFERROR(__xludf.DUMMYFUNCTION("GOOGLETRANSLATE(B4104:B5064,""en"",""fr"")"),"chimposerceler")</f>
        <v>chimposerceler</v>
      </c>
    </row>
    <row r="4105" ht="19.5" customHeight="1">
      <c r="A4105" s="26" t="s">
        <v>11050</v>
      </c>
      <c r="B4105" s="27" t="s">
        <v>10556</v>
      </c>
      <c r="C4105" s="28" t="s">
        <v>178</v>
      </c>
      <c r="D4105" s="29">
        <v>47.0</v>
      </c>
      <c r="E4105" s="28" t="s">
        <v>11051</v>
      </c>
      <c r="F4105" s="7" t="str">
        <f>IFERROR(__xludf.DUMMYFUNCTION("GOOGLETRANSLATE(B4105:B5064,""en"",""fr"")"),"confort")</f>
        <v>confort</v>
      </c>
    </row>
    <row r="4106" ht="19.5" customHeight="1">
      <c r="A4106" s="26" t="s">
        <v>11052</v>
      </c>
      <c r="B4106" s="27" t="s">
        <v>11053</v>
      </c>
      <c r="C4106" s="28" t="s">
        <v>178</v>
      </c>
      <c r="D4106" s="29">
        <v>47.0</v>
      </c>
      <c r="E4106" s="28" t="s">
        <v>11054</v>
      </c>
      <c r="F4106" s="7" t="str">
        <f>IFERROR(__xludf.DUMMYFUNCTION("GOOGLETRANSLATE(B4106:B5064,""en"",""fr"")"),"communiste")</f>
        <v>communiste</v>
      </c>
    </row>
    <row r="4107" ht="19.5" customHeight="1">
      <c r="A4107" s="26" t="s">
        <v>11055</v>
      </c>
      <c r="B4107" s="27" t="s">
        <v>11056</v>
      </c>
      <c r="C4107" s="28" t="s">
        <v>178</v>
      </c>
      <c r="D4107" s="29">
        <v>47.0</v>
      </c>
      <c r="E4107" s="28" t="s">
        <v>11057</v>
      </c>
      <c r="F4107" s="7" t="str">
        <f>IFERROR(__xludf.DUMMYFUNCTION("GOOGLETRANSLATE(B4107:B5064,""en"",""fr"")"),"consultant")</f>
        <v>consultant</v>
      </c>
    </row>
    <row r="4108" ht="19.5" customHeight="1">
      <c r="A4108" s="26" t="s">
        <v>11058</v>
      </c>
      <c r="B4108" s="27" t="s">
        <v>11059</v>
      </c>
      <c r="C4108" s="28" t="s">
        <v>32</v>
      </c>
      <c r="D4108" s="29">
        <v>47.0</v>
      </c>
      <c r="E4108" s="28" t="s">
        <v>11060</v>
      </c>
      <c r="F4108" s="7" t="str">
        <f>IFERROR(__xludf.DUMMYFUNCTION("GOOGLETRANSLATE(B4108:B5064,""en"",""fr"")"),"critiquer")</f>
        <v>critiquer</v>
      </c>
    </row>
    <row r="4109" ht="19.5" customHeight="1">
      <c r="A4109" s="26" t="s">
        <v>11061</v>
      </c>
      <c r="B4109" s="27" t="s">
        <v>11062</v>
      </c>
      <c r="C4109" s="28" t="s">
        <v>178</v>
      </c>
      <c r="D4109" s="29">
        <v>47.0</v>
      </c>
      <c r="E4109" s="28" t="s">
        <v>11063</v>
      </c>
      <c r="F4109" s="7" t="str">
        <f>IFERROR(__xludf.DUMMYFUNCTION("GOOGLETRANSLATE(B4109:B5064,""en"",""fr"")"),"la mignonne")</f>
        <v>la mignonne</v>
      </c>
    </row>
    <row r="4110" ht="19.5" customHeight="1">
      <c r="A4110" s="26" t="s">
        <v>11064</v>
      </c>
      <c r="B4110" s="27" t="s">
        <v>11065</v>
      </c>
      <c r="C4110" s="28" t="s">
        <v>178</v>
      </c>
      <c r="D4110" s="29">
        <v>47.0</v>
      </c>
      <c r="E4110" s="28" t="s">
        <v>11066</v>
      </c>
      <c r="F4110" s="7" t="str">
        <f>IFERROR(__xludf.DUMMYFUNCTION("GOOGLETRANSLATE(B4110:B5064,""en"",""fr"")"),"café décaféiné")</f>
        <v>café décaféiné</v>
      </c>
    </row>
    <row r="4111" ht="19.5" customHeight="1">
      <c r="A4111" s="26" t="s">
        <v>11067</v>
      </c>
      <c r="B4111" s="27" t="s">
        <v>11068</v>
      </c>
      <c r="C4111" s="28" t="s">
        <v>32</v>
      </c>
      <c r="D4111" s="29">
        <v>47.0</v>
      </c>
      <c r="E4111" s="28" t="s">
        <v>11069</v>
      </c>
      <c r="F4111" s="7" t="str">
        <f>IFERROR(__xludf.DUMMYFUNCTION("GOOGLETRANSLATE(B4111:B5064,""en"",""fr"")"),"démontrer")</f>
        <v>démontrer</v>
      </c>
    </row>
    <row r="4112" ht="19.5" customHeight="1">
      <c r="A4112" s="26" t="s">
        <v>11070</v>
      </c>
      <c r="B4112" s="27" t="s">
        <v>11071</v>
      </c>
      <c r="C4112" s="28" t="s">
        <v>178</v>
      </c>
      <c r="D4112" s="29">
        <v>47.0</v>
      </c>
      <c r="E4112" s="28" t="s">
        <v>11072</v>
      </c>
      <c r="F4112" s="7" t="str">
        <f>IFERROR(__xludf.DUMMYFUNCTION("GOOGLETRANSLATE(B4112:B5064,""en"",""fr"")"),"le déni")</f>
        <v>le déni</v>
      </c>
    </row>
    <row r="4113" ht="19.5" customHeight="1">
      <c r="A4113" s="26" t="s">
        <v>11073</v>
      </c>
      <c r="B4113" s="27" t="s">
        <v>11074</v>
      </c>
      <c r="C4113" s="28" t="s">
        <v>178</v>
      </c>
      <c r="D4113" s="29">
        <v>47.0</v>
      </c>
      <c r="E4113" s="28" t="s">
        <v>11075</v>
      </c>
      <c r="F4113" s="7" t="str">
        <f>IFERROR(__xludf.DUMMYFUNCTION("GOOGLETRANSLATE(B4113:B5064,""en"",""fr"")"),"distraction")</f>
        <v>distraction</v>
      </c>
    </row>
    <row r="4114" ht="19.5" customHeight="1">
      <c r="A4114" s="26" t="s">
        <v>11076</v>
      </c>
      <c r="B4114" s="27" t="s">
        <v>11077</v>
      </c>
      <c r="C4114" s="28" t="s">
        <v>32</v>
      </c>
      <c r="D4114" s="29">
        <v>47.0</v>
      </c>
      <c r="E4114" s="28" t="s">
        <v>11078</v>
      </c>
      <c r="F4114" s="7" t="str">
        <f>IFERROR(__xludf.DUMMYFUNCTION("GOOGLETRANSLATE(B4114:B5064,""en"",""fr"")"),"tremper")</f>
        <v>tremper</v>
      </c>
    </row>
    <row r="4115" ht="19.5" customHeight="1">
      <c r="A4115" s="26" t="s">
        <v>11079</v>
      </c>
      <c r="B4115" s="27" t="s">
        <v>11080</v>
      </c>
      <c r="C4115" s="28" t="s">
        <v>178</v>
      </c>
      <c r="D4115" s="29">
        <v>47.0</v>
      </c>
      <c r="E4115" s="28" t="s">
        <v>11081</v>
      </c>
      <c r="F4115" s="7" t="str">
        <f>IFERROR(__xludf.DUMMYFUNCTION("GOOGLETRANSLATE(B4115:B5064,""en"",""fr"")"),"édition")</f>
        <v>édition</v>
      </c>
    </row>
    <row r="4116" ht="19.5" customHeight="1">
      <c r="A4116" s="26" t="s">
        <v>11082</v>
      </c>
      <c r="B4116" s="27" t="s">
        <v>11083</v>
      </c>
      <c r="C4116" s="28" t="s">
        <v>178</v>
      </c>
      <c r="D4116" s="29">
        <v>47.0</v>
      </c>
      <c r="E4116" s="28" t="s">
        <v>11084</v>
      </c>
      <c r="F4116" s="7" t="str">
        <f>IFERROR(__xludf.DUMMYFUNCTION("GOOGLETRANSLATE(B4116:B5064,""en"",""fr"")"),"embarras")</f>
        <v>embarras</v>
      </c>
    </row>
    <row r="4117" ht="19.5" customHeight="1">
      <c r="A4117" s="26" t="s">
        <v>11085</v>
      </c>
      <c r="B4117" s="27" t="s">
        <v>11086</v>
      </c>
      <c r="C4117" s="28" t="s">
        <v>178</v>
      </c>
      <c r="D4117" s="29">
        <v>47.0</v>
      </c>
      <c r="E4117" s="28" t="s">
        <v>11087</v>
      </c>
      <c r="F4117" s="7" t="str">
        <f>IFERROR(__xludf.DUMMYFUNCTION("GOOGLETRANSLATE(B4117:B5064,""en"",""fr"")"),"extension")</f>
        <v>extension</v>
      </c>
    </row>
    <row r="4118" ht="19.5" customHeight="1">
      <c r="A4118" s="26" t="s">
        <v>11088</v>
      </c>
      <c r="B4118" s="27" t="s">
        <v>11089</v>
      </c>
      <c r="C4118" s="28" t="s">
        <v>728</v>
      </c>
      <c r="D4118" s="29">
        <v>47.0</v>
      </c>
      <c r="E4118" s="28" t="s">
        <v>11090</v>
      </c>
      <c r="F4118" s="7" t="str">
        <f>IFERROR(__xludf.DUMMYFUNCTION("GOOGLETRANSLATE(B4118:B5064,""en"",""fr"")"),"Frisbee")</f>
        <v>Frisbee</v>
      </c>
    </row>
    <row r="4119" ht="19.5" customHeight="1">
      <c r="A4119" s="26" t="s">
        <v>11091</v>
      </c>
      <c r="B4119" s="27" t="s">
        <v>11092</v>
      </c>
      <c r="C4119" s="28" t="s">
        <v>32</v>
      </c>
      <c r="D4119" s="29">
        <v>47.0</v>
      </c>
      <c r="E4119" s="28" t="s">
        <v>11093</v>
      </c>
      <c r="F4119" s="7" t="str">
        <f>IFERROR(__xludf.DUMMYFUNCTION("GOOGLETRANSLATE(B4119:B5064,""en"",""fr"")"),"moudre")</f>
        <v>moudre</v>
      </c>
    </row>
    <row r="4120" ht="19.5" customHeight="1">
      <c r="A4120" s="26" t="s">
        <v>11094</v>
      </c>
      <c r="B4120" s="27" t="s">
        <v>11095</v>
      </c>
      <c r="C4120" s="28" t="s">
        <v>134</v>
      </c>
      <c r="D4120" s="29">
        <v>47.0</v>
      </c>
      <c r="E4120" s="28" t="s">
        <v>11096</v>
      </c>
      <c r="F4120" s="7" t="str">
        <f>IFERROR(__xludf.DUMMYFUNCTION("GOOGLETRANSLATE(B4120:B5064,""en"",""fr"")"),"poilu")</f>
        <v>poilu</v>
      </c>
    </row>
    <row r="4121" ht="19.5" customHeight="1">
      <c r="A4121" s="26" t="s">
        <v>11097</v>
      </c>
      <c r="B4121" s="27" t="s">
        <v>11098</v>
      </c>
      <c r="C4121" s="28" t="s">
        <v>134</v>
      </c>
      <c r="D4121" s="29">
        <v>47.0</v>
      </c>
      <c r="E4121" s="28" t="s">
        <v>11099</v>
      </c>
      <c r="F4121" s="7" t="str">
        <f>IFERROR(__xludf.DUMMYFUNCTION("GOOGLETRANSLATE(B4121:B5064,""en"",""fr"")"),"pratique")</f>
        <v>pratique</v>
      </c>
    </row>
    <row r="4122" ht="19.5" customHeight="1">
      <c r="A4122" s="26" t="s">
        <v>11100</v>
      </c>
      <c r="B4122" s="27" t="s">
        <v>11101</v>
      </c>
      <c r="C4122" s="28" t="s">
        <v>134</v>
      </c>
      <c r="D4122" s="29">
        <v>47.0</v>
      </c>
      <c r="E4122" s="28" t="s">
        <v>11102</v>
      </c>
      <c r="F4122" s="7" t="str">
        <f>IFERROR(__xludf.DUMMYFUNCTION("GOOGLETRANSLATE(B4122:B5064,""en"",""fr"")"),"humble")</f>
        <v>humble</v>
      </c>
    </row>
    <row r="4123" ht="19.5" customHeight="1">
      <c r="A4123" s="26" t="s">
        <v>11103</v>
      </c>
      <c r="B4123" s="27" t="s">
        <v>11104</v>
      </c>
      <c r="C4123" s="28" t="s">
        <v>32</v>
      </c>
      <c r="D4123" s="29">
        <v>47.0</v>
      </c>
      <c r="E4123" s="28" t="s">
        <v>11105</v>
      </c>
      <c r="F4123" s="7" t="str">
        <f>IFERROR(__xludf.DUMMYFUNCTION("GOOGLETRANSLATE(B4123:B5064,""en"",""fr"")"),"Jongler")</f>
        <v>Jongler</v>
      </c>
    </row>
    <row r="4124" ht="19.5" customHeight="1">
      <c r="A4124" s="26" t="s">
        <v>11106</v>
      </c>
      <c r="B4124" s="27" t="s">
        <v>11107</v>
      </c>
      <c r="C4124" s="28" t="s">
        <v>178</v>
      </c>
      <c r="D4124" s="29">
        <v>47.0</v>
      </c>
      <c r="E4124" s="28" t="s">
        <v>11108</v>
      </c>
      <c r="F4124" s="7" t="str">
        <f>IFERROR(__xludf.DUMMYFUNCTION("GOOGLETRANSLATE(B4124:B5064,""en"",""fr"")"),"trousse")</f>
        <v>trousse</v>
      </c>
    </row>
    <row r="4125" ht="19.5" customHeight="1">
      <c r="A4125" s="26" t="s">
        <v>11109</v>
      </c>
      <c r="B4125" s="27" t="s">
        <v>4138</v>
      </c>
      <c r="C4125" s="28" t="s">
        <v>178</v>
      </c>
      <c r="D4125" s="29">
        <v>47.0</v>
      </c>
      <c r="E4125" s="28" t="s">
        <v>11110</v>
      </c>
      <c r="F4125" s="7" t="str">
        <f>IFERROR(__xludf.DUMMYFUNCTION("GOOGLETRANSLATE(B4125:B5064,""en"",""fr"")"),"ascenseur")</f>
        <v>ascenseur</v>
      </c>
    </row>
    <row r="4126" ht="19.5" customHeight="1">
      <c r="A4126" s="26" t="s">
        <v>11111</v>
      </c>
      <c r="B4126" s="27" t="s">
        <v>11112</v>
      </c>
      <c r="C4126" s="28" t="s">
        <v>178</v>
      </c>
      <c r="D4126" s="29">
        <v>47.0</v>
      </c>
      <c r="E4126" s="28" t="s">
        <v>11113</v>
      </c>
      <c r="F4126" s="7" t="str">
        <f>IFERROR(__xludf.DUMMYFUNCTION("GOOGLETRANSLATE(B4126:B5064,""en"",""fr"")"),"loyauté")</f>
        <v>loyauté</v>
      </c>
    </row>
    <row r="4127" ht="19.5" customHeight="1">
      <c r="A4127" s="26" t="s">
        <v>11114</v>
      </c>
      <c r="B4127" s="27" t="s">
        <v>11115</v>
      </c>
      <c r="C4127" s="28" t="s">
        <v>178</v>
      </c>
      <c r="D4127" s="29">
        <v>47.0</v>
      </c>
      <c r="E4127" s="28" t="s">
        <v>11116</v>
      </c>
      <c r="F4127" s="7" t="str">
        <f>IFERROR(__xludf.DUMMYFUNCTION("GOOGLETRANSLATE(B4127:B5064,""en"",""fr"")"),"lyrique")</f>
        <v>lyrique</v>
      </c>
    </row>
    <row r="4128" ht="19.5" customHeight="1">
      <c r="A4128" s="26" t="s">
        <v>11117</v>
      </c>
      <c r="B4128" s="27" t="s">
        <v>11118</v>
      </c>
      <c r="C4128" s="28" t="s">
        <v>178</v>
      </c>
      <c r="D4128" s="29">
        <v>47.0</v>
      </c>
      <c r="E4128" s="28" t="s">
        <v>11119</v>
      </c>
      <c r="F4128" s="7" t="str">
        <f>IFERROR(__xludf.DUMMYFUNCTION("GOOGLETRANSLATE(B4128:B5064,""en"",""fr"")"),"maestro")</f>
        <v>maestro</v>
      </c>
    </row>
    <row r="4129" ht="19.5" customHeight="1">
      <c r="A4129" s="26" t="s">
        <v>11120</v>
      </c>
      <c r="B4129" s="27" t="s">
        <v>11121</v>
      </c>
      <c r="C4129" s="28" t="s">
        <v>178</v>
      </c>
      <c r="D4129" s="29">
        <v>47.0</v>
      </c>
      <c r="E4129" s="28" t="s">
        <v>11122</v>
      </c>
      <c r="F4129" s="7" t="str">
        <f>IFERROR(__xludf.DUMMYFUNCTION("GOOGLETRANSLATE(B4129:B5064,""en"",""fr"")"),"Margarita")</f>
        <v>Margarita</v>
      </c>
    </row>
    <row r="4130" ht="19.5" customHeight="1">
      <c r="A4130" s="26" t="s">
        <v>11123</v>
      </c>
      <c r="B4130" s="27" t="s">
        <v>11124</v>
      </c>
      <c r="C4130" s="28" t="s">
        <v>32</v>
      </c>
      <c r="D4130" s="29">
        <v>47.0</v>
      </c>
      <c r="E4130" s="28" t="s">
        <v>11125</v>
      </c>
      <c r="F4130" s="7" t="str">
        <f>IFERROR(__xludf.DUMMYFUNCTION("GOOGLETRANSLATE(B4130:B5064,""en"",""fr"")"),"molester")</f>
        <v>molester</v>
      </c>
    </row>
    <row r="4131" ht="19.5" customHeight="1">
      <c r="A4131" s="26" t="s">
        <v>11126</v>
      </c>
      <c r="B4131" s="27" t="s">
        <v>11127</v>
      </c>
      <c r="C4131" s="28" t="s">
        <v>100</v>
      </c>
      <c r="D4131" s="29">
        <v>47.0</v>
      </c>
      <c r="E4131" s="28" t="s">
        <v>11127</v>
      </c>
      <c r="F4131" s="7" t="str">
        <f>IFERROR(__xludf.DUMMYFUNCTION("GOOGLETRANSLATE(B4131:B5064,""en"",""fr"")"),"occasionnellement")</f>
        <v>occasionnellement</v>
      </c>
    </row>
    <row r="4132" ht="19.5" customHeight="1">
      <c r="A4132" s="26" t="s">
        <v>11128</v>
      </c>
      <c r="B4132" s="27" t="s">
        <v>11129</v>
      </c>
      <c r="C4132" s="28" t="s">
        <v>32</v>
      </c>
      <c r="D4132" s="29">
        <v>47.0</v>
      </c>
      <c r="E4132" s="28" t="s">
        <v>11130</v>
      </c>
      <c r="F4132" s="7" t="str">
        <f>IFERROR(__xludf.DUMMYFUNCTION("GOOGLETRANSLATE(B4132:B5064,""en"",""fr"")"),"submerger")</f>
        <v>submerger</v>
      </c>
    </row>
    <row r="4133" ht="19.5" customHeight="1">
      <c r="A4133" s="26" t="s">
        <v>11131</v>
      </c>
      <c r="B4133" s="27" t="s">
        <v>2352</v>
      </c>
      <c r="C4133" s="28" t="s">
        <v>178</v>
      </c>
      <c r="D4133" s="29">
        <v>47.0</v>
      </c>
      <c r="E4133" s="28" t="s">
        <v>11132</v>
      </c>
      <c r="F4133" s="7" t="str">
        <f>IFERROR(__xludf.DUMMYFUNCTION("GOOGLETRANSLATE(B4133:B5064,""en"",""fr"")"),"pipi")</f>
        <v>pipi</v>
      </c>
    </row>
    <row r="4134" ht="19.5" customHeight="1">
      <c r="A4134" s="26" t="s">
        <v>11133</v>
      </c>
      <c r="B4134" s="27" t="s">
        <v>11134</v>
      </c>
      <c r="C4134" s="28" t="s">
        <v>178</v>
      </c>
      <c r="D4134" s="29">
        <v>47.0</v>
      </c>
      <c r="E4134" s="28" t="s">
        <v>11135</v>
      </c>
      <c r="F4134" s="7" t="str">
        <f>IFERROR(__xludf.DUMMYFUNCTION("GOOGLETRANSLATE(B4134:B5064,""en"",""fr"")"),"pharmacie")</f>
        <v>pharmacie</v>
      </c>
    </row>
    <row r="4135" ht="19.5" customHeight="1">
      <c r="A4135" s="26" t="s">
        <v>11136</v>
      </c>
      <c r="B4135" s="27" t="s">
        <v>11137</v>
      </c>
      <c r="C4135" s="28" t="s">
        <v>32</v>
      </c>
      <c r="D4135" s="29">
        <v>47.0</v>
      </c>
      <c r="E4135" s="28" t="s">
        <v>11138</v>
      </c>
      <c r="F4135" s="7" t="str">
        <f>IFERROR(__xludf.DUMMYFUNCTION("GOOGLETRANSLATE(B4135:B5064,""en"",""fr"")"),"préserver")</f>
        <v>préserver</v>
      </c>
    </row>
    <row r="4136" ht="19.5" customHeight="1">
      <c r="A4136" s="26" t="s">
        <v>11139</v>
      </c>
      <c r="B4136" s="27" t="s">
        <v>11140</v>
      </c>
      <c r="C4136" s="28" t="s">
        <v>100</v>
      </c>
      <c r="D4136" s="29">
        <v>47.0</v>
      </c>
      <c r="E4136" s="28" t="s">
        <v>11140</v>
      </c>
      <c r="F4136" s="7" t="str">
        <f>IFERROR(__xludf.DUMMYFUNCTION("GOOGLETRANSLATE(B4136:B5064,""en"",""fr"")"),"correctement")</f>
        <v>correctement</v>
      </c>
    </row>
    <row r="4137" ht="19.5" customHeight="1">
      <c r="A4137" s="26" t="s">
        <v>11141</v>
      </c>
      <c r="B4137" s="27" t="s">
        <v>11142</v>
      </c>
      <c r="C4137" s="28" t="s">
        <v>178</v>
      </c>
      <c r="D4137" s="29">
        <v>47.0</v>
      </c>
      <c r="E4137" s="28" t="s">
        <v>11143</v>
      </c>
      <c r="F4137" s="7" t="str">
        <f>IFERROR(__xludf.DUMMYFUNCTION("GOOGLETRANSLATE(B4137:B5064,""en"",""fr"")"),"salle de repos")</f>
        <v>salle de repos</v>
      </c>
    </row>
    <row r="4138" ht="19.5" customHeight="1">
      <c r="A4138" s="26" t="s">
        <v>11144</v>
      </c>
      <c r="B4138" s="27" t="s">
        <v>11145</v>
      </c>
      <c r="C4138" s="28" t="s">
        <v>134</v>
      </c>
      <c r="D4138" s="29">
        <v>47.0</v>
      </c>
      <c r="E4138" s="28" t="s">
        <v>11146</v>
      </c>
      <c r="F4138" s="7" t="str">
        <f>IFERROR(__xludf.DUMMYFUNCTION("GOOGLETRANSLATE(B4138:B5064,""en"",""fr"")"),"sécurisé")</f>
        <v>sécurisé</v>
      </c>
    </row>
    <row r="4139" ht="19.5" customHeight="1">
      <c r="A4139" s="26" t="s">
        <v>11147</v>
      </c>
      <c r="B4139" s="27" t="s">
        <v>11148</v>
      </c>
      <c r="C4139" s="28" t="s">
        <v>178</v>
      </c>
      <c r="D4139" s="29">
        <v>47.0</v>
      </c>
      <c r="E4139" s="28" t="s">
        <v>11149</v>
      </c>
      <c r="F4139" s="7" t="str">
        <f>IFERROR(__xludf.DUMMYFUNCTION("GOOGLETRANSLATE(B4139:B5064,""en"",""fr"")"),"règlement")</f>
        <v>règlement</v>
      </c>
    </row>
    <row r="4140" ht="19.5" customHeight="1">
      <c r="A4140" s="26" t="s">
        <v>11150</v>
      </c>
      <c r="B4140" s="27" t="s">
        <v>11151</v>
      </c>
      <c r="C4140" s="28" t="s">
        <v>178</v>
      </c>
      <c r="D4140" s="29">
        <v>47.0</v>
      </c>
      <c r="E4140" s="28" t="s">
        <v>11152</v>
      </c>
      <c r="F4140" s="7" t="str">
        <f>IFERROR(__xludf.DUMMYFUNCTION("GOOGLETRANSLATE(B4140:B5064,""en"",""fr"")"),"sundae")</f>
        <v>sundae</v>
      </c>
    </row>
    <row r="4141" ht="19.5" customHeight="1">
      <c r="A4141" s="26" t="s">
        <v>11153</v>
      </c>
      <c r="B4141" s="27" t="s">
        <v>11154</v>
      </c>
      <c r="C4141" s="28" t="s">
        <v>728</v>
      </c>
      <c r="D4141" s="29">
        <v>47.0</v>
      </c>
      <c r="E4141" s="28" t="s">
        <v>11154</v>
      </c>
      <c r="F4141" s="7" t="str">
        <f>IFERROR(__xludf.DUMMYFUNCTION("GOOGLETRANSLATE(B4141:B5064,""en"",""fr"")"),"thaïlandais")</f>
        <v>thaïlandais</v>
      </c>
    </row>
    <row r="4142" ht="19.5" customHeight="1">
      <c r="A4142" s="26" t="s">
        <v>11155</v>
      </c>
      <c r="B4142" s="27" t="s">
        <v>11156</v>
      </c>
      <c r="C4142" s="28" t="s">
        <v>178</v>
      </c>
      <c r="D4142" s="29">
        <v>47.0</v>
      </c>
      <c r="E4142" s="28" t="s">
        <v>11157</v>
      </c>
      <c r="F4142" s="7" t="str">
        <f>IFERROR(__xludf.DUMMYFUNCTION("GOOGLETRANSLATE(B4142:B5064,""en"",""fr"")"),"crapaud")</f>
        <v>crapaud</v>
      </c>
    </row>
    <row r="4143" ht="19.5" customHeight="1">
      <c r="A4143" s="26" t="s">
        <v>11158</v>
      </c>
      <c r="B4143" s="27" t="s">
        <v>11159</v>
      </c>
      <c r="C4143" s="28" t="s">
        <v>178</v>
      </c>
      <c r="D4143" s="29">
        <v>47.0</v>
      </c>
      <c r="E4143" s="28" t="s">
        <v>11160</v>
      </c>
      <c r="F4143" s="7" t="str">
        <f>IFERROR(__xludf.DUMMYFUNCTION("GOOGLETRANSLATE(B4143:B5064,""en"",""fr"")"),"bande-annonce")</f>
        <v>bande-annonce</v>
      </c>
    </row>
    <row r="4144" ht="19.5" customHeight="1">
      <c r="A4144" s="26" t="s">
        <v>11161</v>
      </c>
      <c r="B4144" s="27" t="s">
        <v>11162</v>
      </c>
      <c r="C4144" s="28" t="s">
        <v>32</v>
      </c>
      <c r="D4144" s="29">
        <v>47.0</v>
      </c>
      <c r="E4144" s="28" t="s">
        <v>11163</v>
      </c>
      <c r="F4144" s="7" t="str">
        <f>IFERROR(__xludf.DUMMYFUNCTION("GOOGLETRANSLATE(B4144:B5064,""en"",""fr"")"),"transformer")</f>
        <v>transformer</v>
      </c>
    </row>
    <row r="4145" ht="19.5" customHeight="1">
      <c r="A4145" s="26" t="s">
        <v>11164</v>
      </c>
      <c r="B4145" s="27" t="s">
        <v>1706</v>
      </c>
      <c r="C4145" s="28" t="s">
        <v>178</v>
      </c>
      <c r="D4145" s="29">
        <v>47.0</v>
      </c>
      <c r="E4145" s="28" t="s">
        <v>11165</v>
      </c>
      <c r="F4145" s="7" t="str">
        <f>IFERROR(__xludf.DUMMYFUNCTION("GOOGLETRANSLATE(B4145:B5064,""en"",""fr"")"),"confiance")</f>
        <v>confiance</v>
      </c>
    </row>
    <row r="4146" ht="19.5" customHeight="1">
      <c r="A4146" s="26" t="s">
        <v>11166</v>
      </c>
      <c r="B4146" s="27" t="s">
        <v>11167</v>
      </c>
      <c r="C4146" s="28" t="s">
        <v>178</v>
      </c>
      <c r="D4146" s="29">
        <v>47.0</v>
      </c>
      <c r="E4146" s="28" t="s">
        <v>11168</v>
      </c>
      <c r="F4146" s="7" t="str">
        <f>IFERROR(__xludf.DUMMYFUNCTION("GOOGLETRANSLATE(B4146:B5064,""en"",""fr"")"),"utérus")</f>
        <v>utérus</v>
      </c>
    </row>
    <row r="4147" ht="19.5" customHeight="1">
      <c r="A4147" s="26" t="s">
        <v>11169</v>
      </c>
      <c r="B4147" s="27" t="s">
        <v>11170</v>
      </c>
      <c r="C4147" s="28" t="s">
        <v>178</v>
      </c>
      <c r="D4147" s="29">
        <v>47.0</v>
      </c>
      <c r="E4147" s="28" t="s">
        <v>11171</v>
      </c>
      <c r="F4147" s="7" t="str">
        <f>IFERROR(__xludf.DUMMYFUNCTION("GOOGLETRANSLATE(B4147:B5064,""en"",""fr"")"),"violation")</f>
        <v>violation</v>
      </c>
    </row>
    <row r="4148" ht="19.5" customHeight="1">
      <c r="A4148" s="26" t="s">
        <v>11172</v>
      </c>
      <c r="B4148" s="27" t="s">
        <v>11173</v>
      </c>
      <c r="C4148" s="28" t="s">
        <v>134</v>
      </c>
      <c r="D4148" s="29">
        <v>47.0</v>
      </c>
      <c r="E4148" s="28" t="s">
        <v>11173</v>
      </c>
      <c r="F4148" s="7" t="str">
        <f>IFERROR(__xludf.DUMMYFUNCTION("GOOGLETRANSLATE(B4148:B5064,""en"",""fr"")"),"hebdomadaire")</f>
        <v>hebdomadaire</v>
      </c>
    </row>
    <row r="4149" ht="19.5" customHeight="1">
      <c r="A4149" s="26" t="s">
        <v>11174</v>
      </c>
      <c r="B4149" s="27" t="s">
        <v>11175</v>
      </c>
      <c r="C4149" s="28" t="s">
        <v>178</v>
      </c>
      <c r="D4149" s="29">
        <v>47.0</v>
      </c>
      <c r="E4149" s="28" t="s">
        <v>11176</v>
      </c>
      <c r="F4149" s="7" t="str">
        <f>IFERROR(__xludf.DUMMYFUNCTION("GOOGLETRANSLATE(B4149:B5064,""en"",""fr"")"),"Blog")</f>
        <v>Blog</v>
      </c>
    </row>
    <row r="4150" ht="19.5" customHeight="1">
      <c r="A4150" s="26" t="s">
        <v>11177</v>
      </c>
      <c r="B4150" s="27" t="s">
        <v>11178</v>
      </c>
      <c r="C4150" s="28" t="s">
        <v>134</v>
      </c>
      <c r="D4150" s="29">
        <v>47.0</v>
      </c>
      <c r="E4150" s="28" t="s">
        <v>11178</v>
      </c>
      <c r="F4150" s="7" t="str">
        <f>IFERROR(__xludf.DUMMYFUNCTION("GOOGLETRANSLATE(B4150:B5064,""en"",""fr"")"),"en volant")</f>
        <v>en volant</v>
      </c>
    </row>
    <row r="4151" ht="19.5" customHeight="1">
      <c r="A4151" s="26" t="s">
        <v>11179</v>
      </c>
      <c r="B4151" s="27" t="s">
        <v>11180</v>
      </c>
      <c r="C4151" s="28" t="s">
        <v>32</v>
      </c>
      <c r="D4151" s="29">
        <v>46.0</v>
      </c>
      <c r="E4151" s="28" t="s">
        <v>11181</v>
      </c>
      <c r="F4151" s="7" t="str">
        <f>IFERROR(__xludf.DUMMYFUNCTION("GOOGLETRANSLATE(B4151:B5064,""en"",""fr"")"),"conseiller")</f>
        <v>conseiller</v>
      </c>
    </row>
    <row r="4152" ht="19.5" customHeight="1">
      <c r="A4152" s="26" t="s">
        <v>11182</v>
      </c>
      <c r="B4152" s="27" t="s">
        <v>11183</v>
      </c>
      <c r="C4152" s="28" t="s">
        <v>178</v>
      </c>
      <c r="D4152" s="29">
        <v>46.0</v>
      </c>
      <c r="E4152" s="28" t="s">
        <v>11184</v>
      </c>
      <c r="F4152" s="7" t="str">
        <f>IFERROR(__xludf.DUMMYFUNCTION("GOOGLETRANSLATE(B4152:B5064,""en"",""fr"")"),"autel")</f>
        <v>autel</v>
      </c>
    </row>
    <row r="4153" ht="19.5" customHeight="1">
      <c r="A4153" s="26" t="s">
        <v>11185</v>
      </c>
      <c r="B4153" s="27" t="s">
        <v>11186</v>
      </c>
      <c r="C4153" s="28" t="s">
        <v>178</v>
      </c>
      <c r="D4153" s="29">
        <v>46.0</v>
      </c>
      <c r="E4153" s="28" t="s">
        <v>11187</v>
      </c>
      <c r="F4153" s="7" t="str">
        <f>IFERROR(__xludf.DUMMYFUNCTION("GOOGLETRANSLATE(B4153:B5064,""en"",""fr"")"),"assemblée")</f>
        <v>assemblée</v>
      </c>
    </row>
    <row r="4154" ht="19.5" customHeight="1">
      <c r="A4154" s="26" t="s">
        <v>11188</v>
      </c>
      <c r="B4154" s="27" t="s">
        <v>3894</v>
      </c>
      <c r="C4154" s="28" t="s">
        <v>32</v>
      </c>
      <c r="D4154" s="29">
        <v>46.0</v>
      </c>
      <c r="E4154" s="28" t="s">
        <v>11189</v>
      </c>
      <c r="F4154" s="7" t="str">
        <f>IFERROR(__xludf.DUMMYFUNCTION("GOOGLETRANSLATE(B4154:B5064,""en"",""fr"")"),"bain")</f>
        <v>bain</v>
      </c>
    </row>
    <row r="4155" ht="19.5" customHeight="1">
      <c r="A4155" s="26" t="s">
        <v>11190</v>
      </c>
      <c r="B4155" s="27" t="s">
        <v>11191</v>
      </c>
      <c r="C4155" s="28" t="s">
        <v>178</v>
      </c>
      <c r="D4155" s="29">
        <v>46.0</v>
      </c>
      <c r="E4155" s="28" t="s">
        <v>11192</v>
      </c>
      <c r="F4155" s="7" t="str">
        <f>IFERROR(__xludf.DUMMYFUNCTION("GOOGLETRANSLATE(B4155:B5064,""en"",""fr"")"),"castor")</f>
        <v>castor</v>
      </c>
    </row>
    <row r="4156" ht="19.5" customHeight="1">
      <c r="A4156" s="26" t="s">
        <v>11193</v>
      </c>
      <c r="B4156" s="27" t="s">
        <v>11194</v>
      </c>
      <c r="C4156" s="28" t="s">
        <v>178</v>
      </c>
      <c r="D4156" s="29">
        <v>46.0</v>
      </c>
      <c r="E4156" s="28" t="s">
        <v>11195</v>
      </c>
      <c r="F4156" s="7" t="str">
        <f>IFERROR(__xludf.DUMMYFUNCTION("GOOGLETRANSLATE(B4156:B5064,""en"",""fr"")"),"blazer")</f>
        <v>blazer</v>
      </c>
    </row>
    <row r="4157" ht="19.5" customHeight="1">
      <c r="A4157" s="26" t="s">
        <v>11196</v>
      </c>
      <c r="B4157" s="27" t="s">
        <v>11197</v>
      </c>
      <c r="C4157" s="28" t="s">
        <v>32</v>
      </c>
      <c r="D4157" s="29">
        <v>46.0</v>
      </c>
      <c r="E4157" s="28" t="s">
        <v>11198</v>
      </c>
      <c r="F4157" s="7" t="str">
        <f>IFERROR(__xludf.DUMMYFUNCTION("GOOGLETRANSLATE(B4157:B5064,""en"",""fr"")"),"compromis")</f>
        <v>compromis</v>
      </c>
    </row>
    <row r="4158" ht="19.5" customHeight="1">
      <c r="A4158" s="26" t="s">
        <v>11199</v>
      </c>
      <c r="B4158" s="27" t="s">
        <v>11200</v>
      </c>
      <c r="C4158" s="28" t="s">
        <v>178</v>
      </c>
      <c r="D4158" s="29">
        <v>46.0</v>
      </c>
      <c r="E4158" s="28" t="s">
        <v>11201</v>
      </c>
      <c r="F4158" s="7" t="str">
        <f>IFERROR(__xludf.DUMMYFUNCTION("GOOGLETRANSLATE(B4158:B5064,""en"",""fr"")"),"conspiration")</f>
        <v>conspiration</v>
      </c>
    </row>
    <row r="4159" ht="19.5" customHeight="1">
      <c r="A4159" s="26" t="s">
        <v>11202</v>
      </c>
      <c r="B4159" s="27" t="s">
        <v>11203</v>
      </c>
      <c r="C4159" s="28" t="s">
        <v>134</v>
      </c>
      <c r="D4159" s="29">
        <v>46.0</v>
      </c>
      <c r="E4159" s="28" t="s">
        <v>11203</v>
      </c>
      <c r="F4159" s="7" t="str">
        <f>IFERROR(__xludf.DUMMYFUNCTION("GOOGLETRANSLATE(B4159:B5064,""en"",""fr"")"),"critique")</f>
        <v>critique</v>
      </c>
    </row>
    <row r="4160" ht="19.5" customHeight="1">
      <c r="A4160" s="26" t="s">
        <v>11204</v>
      </c>
      <c r="B4160" s="27" t="s">
        <v>11205</v>
      </c>
      <c r="C4160" s="28" t="s">
        <v>134</v>
      </c>
      <c r="D4160" s="29">
        <v>46.0</v>
      </c>
      <c r="E4160" s="28" t="s">
        <v>11205</v>
      </c>
      <c r="F4160" s="7" t="str">
        <f>IFERROR(__xludf.DUMMYFUNCTION("GOOGLETRANSLATE(B4160:B5064,""en"",""fr"")"),"dévasté")</f>
        <v>dévasté</v>
      </c>
    </row>
    <row r="4161" ht="19.5" customHeight="1">
      <c r="A4161" s="26" t="s">
        <v>11206</v>
      </c>
      <c r="B4161" s="27" t="s">
        <v>11207</v>
      </c>
      <c r="C4161" s="28" t="s">
        <v>178</v>
      </c>
      <c r="D4161" s="29">
        <v>46.0</v>
      </c>
      <c r="E4161" s="28" t="s">
        <v>11208</v>
      </c>
      <c r="F4161" s="7" t="str">
        <f>IFERROR(__xludf.DUMMYFUNCTION("GOOGLETRANSLATE(B4161:B5064,""en"",""fr"")"),"déception")</f>
        <v>déception</v>
      </c>
    </row>
    <row r="4162" ht="19.5" customHeight="1">
      <c r="A4162" s="26" t="s">
        <v>11209</v>
      </c>
      <c r="B4162" s="27" t="s">
        <v>11210</v>
      </c>
      <c r="C4162" s="28" t="s">
        <v>178</v>
      </c>
      <c r="D4162" s="29">
        <v>46.0</v>
      </c>
      <c r="E4162" s="28" t="s">
        <v>11211</v>
      </c>
      <c r="F4162" s="7" t="str">
        <f>IFERROR(__xludf.DUMMYFUNCTION("GOOGLETRANSLATE(B4162:B5064,""en"",""fr"")"),"dessin")</f>
        <v>dessin</v>
      </c>
    </row>
    <row r="4163" ht="19.5" customHeight="1">
      <c r="A4163" s="26" t="s">
        <v>11212</v>
      </c>
      <c r="B4163" s="27" t="s">
        <v>11213</v>
      </c>
      <c r="C4163" s="28" t="s">
        <v>178</v>
      </c>
      <c r="D4163" s="29">
        <v>46.0</v>
      </c>
      <c r="E4163" s="28" t="s">
        <v>11214</v>
      </c>
      <c r="F4163" s="7" t="str">
        <f>IFERROR(__xludf.DUMMYFUNCTION("GOOGLETRANSLATE(B4163:B5064,""en"",""fr"")"),"poubelle")</f>
        <v>poubelle</v>
      </c>
    </row>
    <row r="4164" ht="19.5" customHeight="1">
      <c r="A4164" s="26" t="s">
        <v>11215</v>
      </c>
      <c r="B4164" s="27" t="s">
        <v>11216</v>
      </c>
      <c r="C4164" s="28" t="s">
        <v>178</v>
      </c>
      <c r="D4164" s="29">
        <v>46.0</v>
      </c>
      <c r="E4164" s="28" t="s">
        <v>11217</v>
      </c>
      <c r="F4164" s="7" t="str">
        <f>IFERROR(__xludf.DUMMYFUNCTION("GOOGLETRANSLATE(B4164:B5064,""en"",""fr"")"),"plume")</f>
        <v>plume</v>
      </c>
    </row>
    <row r="4165" ht="19.5" customHeight="1">
      <c r="A4165" s="26" t="s">
        <v>11218</v>
      </c>
      <c r="B4165" s="27" t="s">
        <v>7871</v>
      </c>
      <c r="C4165" s="28" t="s">
        <v>32</v>
      </c>
      <c r="D4165" s="29">
        <v>46.0</v>
      </c>
      <c r="E4165" s="28" t="s">
        <v>11219</v>
      </c>
      <c r="F4165" s="7" t="str">
        <f>IFERROR(__xludf.DUMMYFUNCTION("GOOGLETRANSLATE(B4165:B5064,""en"",""fr"")"),"fonctionnalité")</f>
        <v>fonctionnalité</v>
      </c>
    </row>
    <row r="4166" ht="19.5" customHeight="1">
      <c r="A4166" s="26" t="s">
        <v>11220</v>
      </c>
      <c r="B4166" s="27" t="s">
        <v>11221</v>
      </c>
      <c r="C4166" s="28" t="s">
        <v>134</v>
      </c>
      <c r="D4166" s="29">
        <v>46.0</v>
      </c>
      <c r="E4166" s="28" t="s">
        <v>11221</v>
      </c>
      <c r="F4166" s="7" t="str">
        <f>IFERROR(__xludf.DUMMYFUNCTION("GOOGLETRANSLATE(B4166:B5064,""en"",""fr"")"),"furieux")</f>
        <v>furieux</v>
      </c>
    </row>
    <row r="4167" ht="19.5" customHeight="1">
      <c r="A4167" s="26" t="s">
        <v>11222</v>
      </c>
      <c r="B4167" s="27" t="s">
        <v>11223</v>
      </c>
      <c r="C4167" s="28" t="s">
        <v>178</v>
      </c>
      <c r="D4167" s="29">
        <v>46.0</v>
      </c>
      <c r="E4167" s="28" t="s">
        <v>11224</v>
      </c>
      <c r="F4167" s="7" t="str">
        <f>IFERROR(__xludf.DUMMYFUNCTION("GOOGLETRANSLATE(B4167:B5064,""en"",""fr"")"),"déesse")</f>
        <v>déesse</v>
      </c>
    </row>
    <row r="4168" ht="19.5" customHeight="1">
      <c r="A4168" s="26" t="s">
        <v>11225</v>
      </c>
      <c r="B4168" s="27" t="s">
        <v>11226</v>
      </c>
      <c r="C4168" s="28" t="s">
        <v>178</v>
      </c>
      <c r="D4168" s="29">
        <v>46.0</v>
      </c>
      <c r="E4168" s="28" t="s">
        <v>11227</v>
      </c>
      <c r="F4168" s="7" t="str">
        <f>IFERROR(__xludf.DUMMYFUNCTION("GOOGLETRANSLATE(B4168:B5064,""en"",""fr"")"),"gouvernante")</f>
        <v>gouvernante</v>
      </c>
    </row>
    <row r="4169" ht="19.5" customHeight="1">
      <c r="A4169" s="26" t="s">
        <v>11228</v>
      </c>
      <c r="B4169" s="27" t="s">
        <v>11229</v>
      </c>
      <c r="C4169" s="28" t="s">
        <v>134</v>
      </c>
      <c r="D4169" s="29">
        <v>46.0</v>
      </c>
      <c r="E4169" s="28" t="s">
        <v>11229</v>
      </c>
      <c r="F4169" s="7" t="str">
        <f>IFERROR(__xludf.DUMMYFUNCTION("GOOGLETRANSLATE(B4169:B5064,""en"",""fr"")"),"immature")</f>
        <v>immature</v>
      </c>
    </row>
    <row r="4170" ht="19.5" customHeight="1">
      <c r="A4170" s="26" t="s">
        <v>11230</v>
      </c>
      <c r="B4170" s="27" t="s">
        <v>11231</v>
      </c>
      <c r="C4170" s="28" t="s">
        <v>178</v>
      </c>
      <c r="D4170" s="29">
        <v>46.0</v>
      </c>
      <c r="E4170" s="28" t="s">
        <v>11232</v>
      </c>
      <c r="F4170" s="7" t="str">
        <f>IFERROR(__xludf.DUMMYFUNCTION("GOOGLETRANSLATE(B4170:B5064,""en"",""fr"")"),"cagnotte")</f>
        <v>cagnotte</v>
      </c>
    </row>
    <row r="4171" ht="19.5" customHeight="1">
      <c r="A4171" s="26" t="s">
        <v>11233</v>
      </c>
      <c r="B4171" s="27" t="s">
        <v>11234</v>
      </c>
      <c r="C4171" s="28" t="s">
        <v>178</v>
      </c>
      <c r="D4171" s="29">
        <v>46.0</v>
      </c>
      <c r="E4171" s="28" t="s">
        <v>11235</v>
      </c>
      <c r="F4171" s="7" t="str">
        <f>IFERROR(__xludf.DUMMYFUNCTION("GOOGLETRANSLATE(B4171:B5064,""en"",""fr"")"),"concierge")</f>
        <v>concierge</v>
      </c>
    </row>
    <row r="4172" ht="19.5" customHeight="1">
      <c r="A4172" s="26" t="s">
        <v>11236</v>
      </c>
      <c r="B4172" s="27" t="s">
        <v>11237</v>
      </c>
      <c r="C4172" s="28" t="s">
        <v>178</v>
      </c>
      <c r="D4172" s="29">
        <v>46.0</v>
      </c>
      <c r="E4172" s="28" t="s">
        <v>11238</v>
      </c>
      <c r="F4172" s="7" t="str">
        <f>IFERROR(__xludf.DUMMYFUNCTION("GOOGLETRANSLATE(B4172:B5064,""en"",""fr"")"),"jungle")</f>
        <v>jungle</v>
      </c>
    </row>
    <row r="4173" ht="19.5" customHeight="1">
      <c r="A4173" s="26" t="s">
        <v>11239</v>
      </c>
      <c r="B4173" s="27" t="s">
        <v>11240</v>
      </c>
      <c r="C4173" s="28" t="s">
        <v>728</v>
      </c>
      <c r="D4173" s="29">
        <v>46.0</v>
      </c>
      <c r="E4173" s="28" t="s">
        <v>11241</v>
      </c>
      <c r="F4173" s="7" t="str">
        <f>IFERROR(__xludf.DUMMYFUNCTION("GOOGLETRANSLATE(B4173:B5064,""en"",""fr"")"),"coréen")</f>
        <v>coréen</v>
      </c>
    </row>
    <row r="4174" ht="19.5" customHeight="1">
      <c r="A4174" s="26" t="s">
        <v>11242</v>
      </c>
      <c r="B4174" s="27" t="s">
        <v>11243</v>
      </c>
      <c r="C4174" s="28" t="s">
        <v>178</v>
      </c>
      <c r="D4174" s="29">
        <v>46.0</v>
      </c>
      <c r="E4174" s="28" t="s">
        <v>11244</v>
      </c>
      <c r="F4174" s="7" t="str">
        <f>IFERROR(__xludf.DUMMYFUNCTION("GOOGLETRANSLATE(B4174:B5064,""en"",""fr"")"),"lasagne")</f>
        <v>lasagne</v>
      </c>
    </row>
    <row r="4175" ht="19.5" customHeight="1">
      <c r="A4175" s="26" t="s">
        <v>11245</v>
      </c>
      <c r="B4175" s="27" t="s">
        <v>11246</v>
      </c>
      <c r="C4175" s="28" t="s">
        <v>178</v>
      </c>
      <c r="D4175" s="29">
        <v>46.0</v>
      </c>
      <c r="E4175" s="28" t="s">
        <v>11247</v>
      </c>
      <c r="F4175" s="7" t="str">
        <f>IFERROR(__xludf.DUMMYFUNCTION("GOOGLETRANSLATE(B4175:B5064,""en"",""fr"")"),"liberté")</f>
        <v>liberté</v>
      </c>
    </row>
    <row r="4176" ht="19.5" customHeight="1">
      <c r="A4176" s="26" t="s">
        <v>11248</v>
      </c>
      <c r="B4176" s="27" t="s">
        <v>11249</v>
      </c>
      <c r="C4176" s="28" t="s">
        <v>178</v>
      </c>
      <c r="D4176" s="29">
        <v>46.0</v>
      </c>
      <c r="E4176" s="28" t="s">
        <v>11250</v>
      </c>
      <c r="F4176" s="7" t="str">
        <f>IFERROR(__xludf.DUMMYFUNCTION("GOOGLETRANSLATE(B4176:B5064,""en"",""fr"")"),"adversaire")</f>
        <v>adversaire</v>
      </c>
    </row>
    <row r="4177" ht="19.5" customHeight="1">
      <c r="A4177" s="26" t="s">
        <v>11251</v>
      </c>
      <c r="B4177" s="27" t="s">
        <v>11252</v>
      </c>
      <c r="C4177" s="28" t="s">
        <v>178</v>
      </c>
      <c r="D4177" s="29">
        <v>46.0</v>
      </c>
      <c r="E4177" s="28" t="s">
        <v>11253</v>
      </c>
      <c r="F4177" s="7" t="str">
        <f>IFERROR(__xludf.DUMMYFUNCTION("GOOGLETRANSLATE(B4177:B5064,""en"",""fr"")"),"manchot")</f>
        <v>manchot</v>
      </c>
    </row>
    <row r="4178" ht="19.5" customHeight="1">
      <c r="A4178" s="26" t="s">
        <v>11254</v>
      </c>
      <c r="B4178" s="27" t="s">
        <v>11255</v>
      </c>
      <c r="C4178" s="28" t="s">
        <v>178</v>
      </c>
      <c r="D4178" s="29">
        <v>46.0</v>
      </c>
      <c r="E4178" s="28" t="s">
        <v>11256</v>
      </c>
      <c r="F4178" s="7" t="str">
        <f>IFERROR(__xludf.DUMMYFUNCTION("GOOGLETRANSLATE(B4178:B5064,""en"",""fr"")"),"photographe")</f>
        <v>photographe</v>
      </c>
    </row>
    <row r="4179" ht="19.5" customHeight="1">
      <c r="A4179" s="26" t="s">
        <v>11257</v>
      </c>
      <c r="B4179" s="27" t="s">
        <v>6250</v>
      </c>
      <c r="C4179" s="28" t="s">
        <v>32</v>
      </c>
      <c r="D4179" s="29">
        <v>46.0</v>
      </c>
      <c r="E4179" s="28" t="s">
        <v>11258</v>
      </c>
      <c r="F4179" s="7" t="str">
        <f>IFERROR(__xludf.DUMMYFUNCTION("GOOGLETRANSLATE(B4179:B5064,""en"",""fr"")"),"processus")</f>
        <v>processus</v>
      </c>
    </row>
    <row r="4180" ht="19.5" customHeight="1">
      <c r="A4180" s="26" t="s">
        <v>11259</v>
      </c>
      <c r="B4180" s="27" t="s">
        <v>8793</v>
      </c>
      <c r="C4180" s="28" t="s">
        <v>134</v>
      </c>
      <c r="D4180" s="29">
        <v>46.0</v>
      </c>
      <c r="E4180" s="28" t="s">
        <v>8793</v>
      </c>
      <c r="F4180" s="7" t="str">
        <f>IFERROR(__xludf.DUMMYFUNCTION("GOOGLETRANSLATE(B4180:B5064,""en"",""fr"")"),"psychique")</f>
        <v>psychique</v>
      </c>
    </row>
    <row r="4181" ht="19.5" customHeight="1">
      <c r="A4181" s="26" t="s">
        <v>11260</v>
      </c>
      <c r="B4181" s="27" t="s">
        <v>11261</v>
      </c>
      <c r="C4181" s="28" t="s">
        <v>134</v>
      </c>
      <c r="D4181" s="29">
        <v>46.0</v>
      </c>
      <c r="E4181" s="28" t="s">
        <v>11262</v>
      </c>
      <c r="F4181" s="7" t="str">
        <f>IFERROR(__xludf.DUMMYFUNCTION("GOOGLETRANSLATE(B4181:B5064,""en"",""fr"")"),"bouffi")</f>
        <v>bouffi</v>
      </c>
    </row>
    <row r="4182" ht="19.5" customHeight="1">
      <c r="A4182" s="26" t="s">
        <v>11263</v>
      </c>
      <c r="B4182" s="27" t="s">
        <v>9518</v>
      </c>
      <c r="C4182" s="28" t="s">
        <v>178</v>
      </c>
      <c r="D4182" s="29">
        <v>46.0</v>
      </c>
      <c r="E4182" s="28" t="s">
        <v>11264</v>
      </c>
      <c r="F4182" s="7" t="str">
        <f>IFERROR(__xludf.DUMMYFUNCTION("GOOGLETRANSLATE(B4182:B5064,""en"",""fr"")"),"citation")</f>
        <v>citation</v>
      </c>
    </row>
    <row r="4183" ht="19.5" customHeight="1">
      <c r="A4183" s="26" t="s">
        <v>11265</v>
      </c>
      <c r="B4183" s="27" t="s">
        <v>11266</v>
      </c>
      <c r="C4183" s="28" t="s">
        <v>178</v>
      </c>
      <c r="D4183" s="29">
        <v>46.0</v>
      </c>
      <c r="E4183" s="28" t="s">
        <v>11267</v>
      </c>
      <c r="F4183" s="7" t="str">
        <f>IFERROR(__xludf.DUMMYFUNCTION("GOOGLETRANSLATE(B4183:B5064,""en"",""fr"")"),"raquette")</f>
        <v>raquette</v>
      </c>
    </row>
    <row r="4184" ht="19.5" customHeight="1">
      <c r="A4184" s="26" t="s">
        <v>11268</v>
      </c>
      <c r="B4184" s="27" t="s">
        <v>11269</v>
      </c>
      <c r="C4184" s="28" t="s">
        <v>178</v>
      </c>
      <c r="D4184" s="29">
        <v>46.0</v>
      </c>
      <c r="E4184" s="28" t="s">
        <v>11270</v>
      </c>
      <c r="F4184" s="7" t="str">
        <f>IFERROR(__xludf.DUMMYFUNCTION("GOOGLETRANSLATE(B4184:B5064,""en"",""fr"")"),"région")</f>
        <v>région</v>
      </c>
    </row>
    <row r="4185" ht="19.5" customHeight="1">
      <c r="A4185" s="26" t="s">
        <v>11271</v>
      </c>
      <c r="B4185" s="27" t="s">
        <v>11272</v>
      </c>
      <c r="C4185" s="28" t="s">
        <v>178</v>
      </c>
      <c r="D4185" s="29">
        <v>46.0</v>
      </c>
      <c r="E4185" s="28" t="s">
        <v>11273</v>
      </c>
      <c r="F4185" s="7" t="str">
        <f>IFERROR(__xludf.DUMMYFUNCTION("GOOGLETRANSLATE(B4185:B5064,""en"",""fr"")"),"peignoir")</f>
        <v>peignoir</v>
      </c>
    </row>
    <row r="4186" ht="19.5" customHeight="1">
      <c r="A4186" s="26" t="s">
        <v>11274</v>
      </c>
      <c r="B4186" s="27" t="s">
        <v>3025</v>
      </c>
      <c r="C4186" s="28" t="s">
        <v>134</v>
      </c>
      <c r="D4186" s="29">
        <v>46.0</v>
      </c>
      <c r="E4186" s="28" t="s">
        <v>3025</v>
      </c>
      <c r="F4186" s="7" t="str">
        <f>IFERROR(__xludf.DUMMYFUNCTION("GOOGLETRANSLATE(B4186:B5064,""en"",""fr"")"),"mer")</f>
        <v>mer</v>
      </c>
    </row>
    <row r="4187" ht="19.5" customHeight="1">
      <c r="A4187" s="26" t="s">
        <v>11275</v>
      </c>
      <c r="B4187" s="27" t="s">
        <v>11276</v>
      </c>
      <c r="C4187" s="28" t="s">
        <v>32</v>
      </c>
      <c r="D4187" s="29">
        <v>46.0</v>
      </c>
      <c r="E4187" s="28" t="s">
        <v>11277</v>
      </c>
      <c r="F4187" s="7" t="str">
        <f>IFERROR(__xludf.DUMMYFUNCTION("GOOGLETRANSLATE(B4187:B5064,""en"",""fr"")"),"coudre")</f>
        <v>coudre</v>
      </c>
    </row>
    <row r="4188" ht="19.5" customHeight="1">
      <c r="A4188" s="26" t="s">
        <v>11278</v>
      </c>
      <c r="B4188" s="27" t="s">
        <v>11279</v>
      </c>
      <c r="C4188" s="28" t="s">
        <v>32</v>
      </c>
      <c r="D4188" s="29">
        <v>46.0</v>
      </c>
      <c r="E4188" s="28" t="s">
        <v>11280</v>
      </c>
      <c r="F4188" s="7" t="str">
        <f>IFERROR(__xludf.DUMMYFUNCTION("GOOGLETRANSLATE(B4188:B5064,""en"",""fr"")"),"briser")</f>
        <v>briser</v>
      </c>
    </row>
    <row r="4189" ht="19.5" customHeight="1">
      <c r="A4189" s="26" t="s">
        <v>11281</v>
      </c>
      <c r="B4189" s="27" t="s">
        <v>11282</v>
      </c>
      <c r="C4189" s="28" t="s">
        <v>178</v>
      </c>
      <c r="D4189" s="29">
        <v>46.0</v>
      </c>
      <c r="E4189" s="28" t="s">
        <v>11282</v>
      </c>
      <c r="F4189" s="7" t="str">
        <f>IFERROR(__xludf.DUMMYFUNCTION("GOOGLETRANSLATE(B4189:B5064,""en"",""fr"")"),"maladie")</f>
        <v>maladie</v>
      </c>
    </row>
    <row r="4190" ht="19.5" customHeight="1">
      <c r="A4190" s="26" t="s">
        <v>11283</v>
      </c>
      <c r="B4190" s="27" t="s">
        <v>11284</v>
      </c>
      <c r="C4190" s="28" t="s">
        <v>178</v>
      </c>
      <c r="D4190" s="29">
        <v>46.0</v>
      </c>
      <c r="E4190" s="28" t="s">
        <v>11285</v>
      </c>
      <c r="F4190" s="7" t="str">
        <f>IFERROR(__xludf.DUMMYFUNCTION("GOOGLETRANSLATE(B4190:B5064,""en"",""fr"")"),"acolyte")</f>
        <v>acolyte</v>
      </c>
    </row>
    <row r="4191" ht="19.5" customHeight="1">
      <c r="A4191" s="26" t="s">
        <v>11286</v>
      </c>
      <c r="B4191" s="27" t="s">
        <v>11287</v>
      </c>
      <c r="C4191" s="28" t="s">
        <v>178</v>
      </c>
      <c r="D4191" s="29">
        <v>46.0</v>
      </c>
      <c r="E4191" s="28" t="s">
        <v>11288</v>
      </c>
      <c r="F4191" s="7" t="str">
        <f>IFERROR(__xludf.DUMMYFUNCTION("GOOGLETRANSLATE(B4191:B5064,""en"",""fr"")"),"bafouette")</f>
        <v>bafouette</v>
      </c>
    </row>
    <row r="4192" ht="19.5" customHeight="1">
      <c r="A4192" s="26" t="s">
        <v>11289</v>
      </c>
      <c r="B4192" s="27" t="s">
        <v>11290</v>
      </c>
      <c r="C4192" s="28" t="s">
        <v>178</v>
      </c>
      <c r="D4192" s="29">
        <v>46.0</v>
      </c>
      <c r="E4192" s="28" t="s">
        <v>11291</v>
      </c>
      <c r="F4192" s="7" t="str">
        <f>IFERROR(__xludf.DUMMYFUNCTION("GOOGLETRANSLATE(B4192:B5064,""en"",""fr"")"),"pimenter")</f>
        <v>pimenter</v>
      </c>
    </row>
    <row r="4193" ht="19.5" customHeight="1">
      <c r="A4193" s="26" t="s">
        <v>11292</v>
      </c>
      <c r="B4193" s="27" t="s">
        <v>11293</v>
      </c>
      <c r="C4193" s="28" t="s">
        <v>178</v>
      </c>
      <c r="D4193" s="29">
        <v>46.0</v>
      </c>
      <c r="E4193" s="28" t="s">
        <v>11294</v>
      </c>
      <c r="F4193" s="7" t="str">
        <f>IFERROR(__xludf.DUMMYFUNCTION("GOOGLETRANSLATE(B4193:B5064,""en"",""fr"")"),"entrée")</f>
        <v>entrée</v>
      </c>
    </row>
    <row r="4194" ht="19.5" customHeight="1">
      <c r="A4194" s="26" t="s">
        <v>11295</v>
      </c>
      <c r="B4194" s="27" t="s">
        <v>11296</v>
      </c>
      <c r="C4194" s="28" t="s">
        <v>32</v>
      </c>
      <c r="D4194" s="29">
        <v>46.0</v>
      </c>
      <c r="E4194" s="28" t="s">
        <v>11297</v>
      </c>
      <c r="F4194" s="7" t="str">
        <f>IFERROR(__xludf.DUMMYFUNCTION("GOOGLETRANSLATE(B4194:B5064,""en"",""fr"")"),"remuer")</f>
        <v>remuer</v>
      </c>
    </row>
    <row r="4195" ht="19.5" customHeight="1">
      <c r="A4195" s="26" t="s">
        <v>11298</v>
      </c>
      <c r="B4195" s="27" t="s">
        <v>11299</v>
      </c>
      <c r="C4195" s="28" t="s">
        <v>178</v>
      </c>
      <c r="D4195" s="29">
        <v>46.0</v>
      </c>
      <c r="E4195" s="28" t="s">
        <v>11300</v>
      </c>
      <c r="F4195" s="7" t="str">
        <f>IFERROR(__xludf.DUMMYFUNCTION("GOOGLETRANSLATE(B4195:B5064,""en"",""fr"")"),"structure")</f>
        <v>structure</v>
      </c>
    </row>
    <row r="4196" ht="19.5" customHeight="1">
      <c r="A4196" s="26" t="s">
        <v>11301</v>
      </c>
      <c r="B4196" s="27" t="s">
        <v>11302</v>
      </c>
      <c r="C4196" s="28" t="s">
        <v>178</v>
      </c>
      <c r="D4196" s="29">
        <v>46.0</v>
      </c>
      <c r="E4196" s="28" t="s">
        <v>11303</v>
      </c>
      <c r="F4196" s="7" t="str">
        <f>IFERROR(__xludf.DUMMYFUNCTION("GOOGLETRANSLATE(B4196:B5064,""en"",""fr"")"),"sous")</f>
        <v>sous</v>
      </c>
    </row>
    <row r="4197" ht="19.5" customHeight="1">
      <c r="A4197" s="26" t="s">
        <v>11304</v>
      </c>
      <c r="B4197" s="27" t="s">
        <v>11305</v>
      </c>
      <c r="C4197" s="28" t="s">
        <v>178</v>
      </c>
      <c r="D4197" s="29">
        <v>46.0</v>
      </c>
      <c r="E4197" s="28" t="s">
        <v>11306</v>
      </c>
      <c r="F4197" s="7" t="str">
        <f>IFERROR(__xludf.DUMMYFUNCTION("GOOGLETRANSLATE(B4197:B5064,""en"",""fr"")"),"tampon")</f>
        <v>tampon</v>
      </c>
    </row>
    <row r="4198" ht="19.5" customHeight="1">
      <c r="A4198" s="26" t="s">
        <v>11307</v>
      </c>
      <c r="B4198" s="27" t="s">
        <v>11308</v>
      </c>
      <c r="C4198" s="28" t="s">
        <v>178</v>
      </c>
      <c r="D4198" s="29">
        <v>46.0</v>
      </c>
      <c r="E4198" s="28" t="s">
        <v>11309</v>
      </c>
      <c r="F4198" s="7" t="str">
        <f>IFERROR(__xludf.DUMMYFUNCTION("GOOGLETRANSLATE(B4198:B5064,""en"",""fr"")"),"atterrissage")</f>
        <v>atterrissage</v>
      </c>
    </row>
    <row r="4199" ht="19.5" customHeight="1">
      <c r="A4199" s="26" t="s">
        <v>11310</v>
      </c>
      <c r="B4199" s="27" t="s">
        <v>11311</v>
      </c>
      <c r="C4199" s="28" t="s">
        <v>178</v>
      </c>
      <c r="D4199" s="29">
        <v>46.0</v>
      </c>
      <c r="E4199" s="28" t="s">
        <v>11312</v>
      </c>
      <c r="F4199" s="7" t="str">
        <f>IFERROR(__xludf.DUMMYFUNCTION("GOOGLETRANSLATE(B4199:B5064,""en"",""fr"")"),"souteneur")</f>
        <v>souteneur</v>
      </c>
    </row>
    <row r="4200" ht="19.5" customHeight="1">
      <c r="A4200" s="26" t="s">
        <v>11313</v>
      </c>
      <c r="B4200" s="27" t="s">
        <v>11314</v>
      </c>
      <c r="C4200" s="28" t="s">
        <v>134</v>
      </c>
      <c r="D4200" s="29">
        <v>46.0</v>
      </c>
      <c r="E4200" s="28" t="s">
        <v>11315</v>
      </c>
      <c r="F4200" s="7" t="str">
        <f>IFERROR(__xludf.DUMMYFUNCTION("GOOGLETRANSLATE(B4200:B5064,""en"",""fr"")"),"bref")</f>
        <v>bref</v>
      </c>
    </row>
    <row r="4201" ht="19.5" customHeight="1">
      <c r="A4201" s="26" t="s">
        <v>11316</v>
      </c>
      <c r="B4201" s="27" t="s">
        <v>11317</v>
      </c>
      <c r="C4201" s="28" t="s">
        <v>178</v>
      </c>
      <c r="D4201" s="29">
        <v>45.0</v>
      </c>
      <c r="E4201" s="28" t="s">
        <v>11318</v>
      </c>
      <c r="F4201" s="7" t="str">
        <f>IFERROR(__xludf.DUMMYFUNCTION("GOOGLETRANSLATE(B4201:B5064,""en"",""fr"")"),"anxiété")</f>
        <v>anxiété</v>
      </c>
    </row>
    <row r="4202" ht="19.5" customHeight="1">
      <c r="A4202" s="26" t="s">
        <v>11319</v>
      </c>
      <c r="B4202" s="27" t="s">
        <v>8226</v>
      </c>
      <c r="C4202" s="28" t="s">
        <v>178</v>
      </c>
      <c r="D4202" s="29">
        <v>45.0</v>
      </c>
      <c r="E4202" s="28" t="s">
        <v>11320</v>
      </c>
      <c r="F4202" s="7" t="str">
        <f>IFERROR(__xludf.DUMMYFUNCTION("GOOGLETRANSLATE(B4202:B5064,""en"",""fr"")"),"approche")</f>
        <v>approche</v>
      </c>
    </row>
    <row r="4203" ht="19.5" customHeight="1">
      <c r="A4203" s="26" t="s">
        <v>11321</v>
      </c>
      <c r="B4203" s="27" t="s">
        <v>11322</v>
      </c>
      <c r="C4203" s="28" t="s">
        <v>178</v>
      </c>
      <c r="D4203" s="29">
        <v>45.0</v>
      </c>
      <c r="E4203" s="28" t="s">
        <v>11323</v>
      </c>
      <c r="F4203" s="7" t="str">
        <f>IFERROR(__xludf.DUMMYFUNCTION("GOOGLETRANSLATE(B4203:B5064,""en"",""fr"")"),"baie")</f>
        <v>baie</v>
      </c>
    </row>
    <row r="4204" ht="19.5" customHeight="1">
      <c r="A4204" s="26" t="s">
        <v>11324</v>
      </c>
      <c r="B4204" s="27" t="s">
        <v>1453</v>
      </c>
      <c r="C4204" s="28" t="s">
        <v>178</v>
      </c>
      <c r="D4204" s="29">
        <v>45.0</v>
      </c>
      <c r="E4204" s="28" t="s">
        <v>11325</v>
      </c>
      <c r="F4204" s="7" t="str">
        <f>IFERROR(__xludf.DUMMYFUNCTION("GOOGLETRANSLATE(B4204:B5064,""en"",""fr"")"),"battre")</f>
        <v>battre</v>
      </c>
    </row>
    <row r="4205" ht="19.5" customHeight="1">
      <c r="A4205" s="26" t="s">
        <v>11326</v>
      </c>
      <c r="B4205" s="27" t="s">
        <v>10933</v>
      </c>
      <c r="C4205" s="28" t="s">
        <v>178</v>
      </c>
      <c r="D4205" s="29">
        <v>45.0</v>
      </c>
      <c r="E4205" s="28" t="s">
        <v>11327</v>
      </c>
      <c r="F4205" s="7" t="str">
        <f>IFERROR(__xludf.DUMMYFUNCTION("GOOGLETRANSLATE(B4205:B5064,""en"",""fr"")"),"bourdonner")</f>
        <v>bourdonner</v>
      </c>
    </row>
    <row r="4206" ht="19.5" customHeight="1">
      <c r="A4206" s="26" t="s">
        <v>11328</v>
      </c>
      <c r="B4206" s="27" t="s">
        <v>11329</v>
      </c>
      <c r="C4206" s="28" t="s">
        <v>178</v>
      </c>
      <c r="D4206" s="29">
        <v>45.0</v>
      </c>
      <c r="E4206" s="28" t="s">
        <v>11330</v>
      </c>
      <c r="F4206" s="7" t="str">
        <f>IFERROR(__xludf.DUMMYFUNCTION("GOOGLETRANSLATE(B4206:B5064,""en"",""fr"")"),"chimie")</f>
        <v>chimie</v>
      </c>
    </row>
    <row r="4207" ht="19.5" customHeight="1">
      <c r="A4207" s="26" t="s">
        <v>11331</v>
      </c>
      <c r="B4207" s="27" t="s">
        <v>11332</v>
      </c>
      <c r="C4207" s="28" t="s">
        <v>100</v>
      </c>
      <c r="D4207" s="29">
        <v>45.0</v>
      </c>
      <c r="E4207" s="28" t="s">
        <v>11332</v>
      </c>
      <c r="F4207" s="7" t="str">
        <f>IFERROR(__xludf.DUMMYFUNCTION("GOOGLETRANSLATE(B4207:B5064,""en"",""fr"")"),"désespérément")</f>
        <v>désespérément</v>
      </c>
    </row>
    <row r="4208" ht="19.5" customHeight="1">
      <c r="A4208" s="26" t="s">
        <v>11333</v>
      </c>
      <c r="B4208" s="27" t="s">
        <v>11334</v>
      </c>
      <c r="C4208" s="28" t="s">
        <v>178</v>
      </c>
      <c r="D4208" s="29">
        <v>45.0</v>
      </c>
      <c r="E4208" s="28" t="s">
        <v>11334</v>
      </c>
      <c r="F4208" s="7" t="str">
        <f>IFERROR(__xludf.DUMMYFUNCTION("GOOGLETRANSLATE(B4208:B5064,""en"",""fr"")"),"diabète")</f>
        <v>diabète</v>
      </c>
    </row>
    <row r="4209" ht="19.5" customHeight="1">
      <c r="A4209" s="26" t="s">
        <v>11335</v>
      </c>
      <c r="B4209" s="27" t="s">
        <v>11336</v>
      </c>
      <c r="C4209" s="28" t="s">
        <v>178</v>
      </c>
      <c r="D4209" s="29">
        <v>45.0</v>
      </c>
      <c r="E4209" s="28" t="s">
        <v>11337</v>
      </c>
      <c r="F4209" s="7" t="str">
        <f>IFERROR(__xludf.DUMMYFUNCTION("GOOGLETRANSLATE(B4209:B5064,""en"",""fr"")"),"diarrhée")</f>
        <v>diarrhée</v>
      </c>
    </row>
    <row r="4210" ht="19.5" customHeight="1">
      <c r="A4210" s="26" t="s">
        <v>11338</v>
      </c>
      <c r="B4210" s="27" t="s">
        <v>11339</v>
      </c>
      <c r="C4210" s="28" t="s">
        <v>178</v>
      </c>
      <c r="D4210" s="29">
        <v>45.0</v>
      </c>
      <c r="E4210" s="28" t="s">
        <v>11340</v>
      </c>
      <c r="F4210" s="7" t="str">
        <f>IFERROR(__xludf.DUMMYFUNCTION("GOOGLETRANSLATE(B4210:B5064,""en"",""fr"")"),"dictionnaire")</f>
        <v>dictionnaire</v>
      </c>
    </row>
    <row r="4211" ht="19.5" customHeight="1">
      <c r="A4211" s="26" t="s">
        <v>11341</v>
      </c>
      <c r="B4211" s="27" t="s">
        <v>11342</v>
      </c>
      <c r="C4211" s="28" t="s">
        <v>178</v>
      </c>
      <c r="D4211" s="29">
        <v>45.0</v>
      </c>
      <c r="E4211" s="28" t="s">
        <v>11343</v>
      </c>
      <c r="F4211" s="7" t="str">
        <f>IFERROR(__xludf.DUMMYFUNCTION("GOOGLETRANSLATE(B4211:B5064,""en"",""fr"")"),"portier")</f>
        <v>portier</v>
      </c>
    </row>
    <row r="4212" ht="19.5" customHeight="1">
      <c r="A4212" s="26" t="s">
        <v>11344</v>
      </c>
      <c r="B4212" s="27" t="s">
        <v>11345</v>
      </c>
      <c r="C4212" s="28" t="s">
        <v>32</v>
      </c>
      <c r="D4212" s="29">
        <v>45.0</v>
      </c>
      <c r="E4212" s="28" t="s">
        <v>11346</v>
      </c>
      <c r="F4212" s="7" t="str">
        <f>IFERROR(__xludf.DUMMYFUNCTION("GOOGLETRANSLATE(B4212:B5064,""en"",""fr"")"),"exploiter")</f>
        <v>exploiter</v>
      </c>
    </row>
    <row r="4213" ht="19.5" customHeight="1">
      <c r="A4213" s="26" t="s">
        <v>11347</v>
      </c>
      <c r="B4213" s="27" t="s">
        <v>11348</v>
      </c>
      <c r="C4213" s="28" t="s">
        <v>178</v>
      </c>
      <c r="D4213" s="29">
        <v>45.0</v>
      </c>
      <c r="E4213" s="28" t="s">
        <v>11349</v>
      </c>
      <c r="F4213" s="7" t="str">
        <f>IFERROR(__xludf.DUMMYFUNCTION("GOOGLETRANSLATE(B4213:B5064,""en"",""fr"")"),"gras")</f>
        <v>gras</v>
      </c>
    </row>
    <row r="4214" ht="19.5" customHeight="1">
      <c r="A4214" s="26" t="s">
        <v>11350</v>
      </c>
      <c r="B4214" s="27" t="s">
        <v>11351</v>
      </c>
      <c r="C4214" s="28" t="s">
        <v>178</v>
      </c>
      <c r="D4214" s="29">
        <v>45.0</v>
      </c>
      <c r="E4214" s="28" t="s">
        <v>11352</v>
      </c>
      <c r="F4214" s="7" t="str">
        <f>IFERROR(__xludf.DUMMYFUNCTION("GOOGLETRANSLATE(B4214:B5064,""en"",""fr"")"),"fluide")</f>
        <v>fluide</v>
      </c>
    </row>
    <row r="4215" ht="19.5" customHeight="1">
      <c r="A4215" s="26" t="s">
        <v>11353</v>
      </c>
      <c r="B4215" s="27" t="s">
        <v>11354</v>
      </c>
      <c r="C4215" s="28" t="s">
        <v>150</v>
      </c>
      <c r="D4215" s="29">
        <v>45.0</v>
      </c>
      <c r="E4215" s="28" t="s">
        <v>11354</v>
      </c>
      <c r="F4215" s="7" t="str">
        <f>IFERROR(__xludf.DUMMYFUNCTION("GOOGLETRANSLATE(B4215:B5064,""en"",""fr"")"),"quarante-deux")</f>
        <v>quarante-deux</v>
      </c>
    </row>
    <row r="4216" ht="19.5" customHeight="1">
      <c r="A4216" s="26" t="s">
        <v>11355</v>
      </c>
      <c r="B4216" s="27" t="s">
        <v>11356</v>
      </c>
      <c r="C4216" s="28" t="s">
        <v>134</v>
      </c>
      <c r="D4216" s="29">
        <v>45.0</v>
      </c>
      <c r="E4216" s="28" t="s">
        <v>11357</v>
      </c>
      <c r="F4216" s="7" t="str">
        <f>IFERROR(__xludf.DUMMYFUNCTION("GOOGLETRANSLATE(B4216:B5064,""en"",""fr"")"),"froussard")</f>
        <v>froussard</v>
      </c>
    </row>
    <row r="4217" ht="19.5" customHeight="1">
      <c r="A4217" s="26" t="s">
        <v>11358</v>
      </c>
      <c r="B4217" s="27" t="s">
        <v>11359</v>
      </c>
      <c r="C4217" s="28" t="s">
        <v>178</v>
      </c>
      <c r="D4217" s="29">
        <v>45.0</v>
      </c>
      <c r="E4217" s="28" t="s">
        <v>11360</v>
      </c>
      <c r="F4217" s="7" t="str">
        <f>IFERROR(__xludf.DUMMYFUNCTION("GOOGLETRANSLATE(B4217:B5064,""en"",""fr"")"),"genre")</f>
        <v>genre</v>
      </c>
    </row>
    <row r="4218" ht="19.5" customHeight="1">
      <c r="A4218" s="26" t="s">
        <v>11361</v>
      </c>
      <c r="B4218" s="27" t="s">
        <v>11362</v>
      </c>
      <c r="C4218" s="28" t="s">
        <v>178</v>
      </c>
      <c r="D4218" s="29">
        <v>45.0</v>
      </c>
      <c r="E4218" s="28" t="s">
        <v>11363</v>
      </c>
      <c r="F4218" s="7" t="str">
        <f>IFERROR(__xludf.DUMMYFUNCTION("GOOGLETRANSLATE(B4218:B5064,""en"",""fr"")"),"paillettes")</f>
        <v>paillettes</v>
      </c>
    </row>
    <row r="4219" ht="19.5" customHeight="1">
      <c r="A4219" s="26" t="s">
        <v>11364</v>
      </c>
      <c r="B4219" s="27" t="s">
        <v>11365</v>
      </c>
      <c r="C4219" s="28" t="s">
        <v>32</v>
      </c>
      <c r="D4219" s="29">
        <v>45.0</v>
      </c>
      <c r="E4219" s="28" t="s">
        <v>11366</v>
      </c>
      <c r="F4219" s="7" t="str">
        <f>IFERROR(__xludf.DUMMYFUNCTION("GOOGLETRANSLATE(B4219:B5064,""en"",""fr"")"),"harceler")</f>
        <v>harceler</v>
      </c>
    </row>
    <row r="4220" ht="19.5" customHeight="1">
      <c r="A4220" s="26" t="s">
        <v>11367</v>
      </c>
      <c r="B4220" s="27" t="s">
        <v>11368</v>
      </c>
      <c r="C4220" s="28" t="s">
        <v>178</v>
      </c>
      <c r="D4220" s="29">
        <v>45.0</v>
      </c>
      <c r="E4220" s="28" t="s">
        <v>11369</v>
      </c>
      <c r="F4220" s="7" t="str">
        <f>IFERROR(__xludf.DUMMYFUNCTION("GOOGLETRANSLATE(B4220:B5064,""en"",""fr"")"),"poule")</f>
        <v>poule</v>
      </c>
    </row>
    <row r="4221" ht="19.5" customHeight="1">
      <c r="A4221" s="26" t="s">
        <v>11370</v>
      </c>
      <c r="B4221" s="27" t="s">
        <v>11371</v>
      </c>
      <c r="C4221" s="28" t="s">
        <v>178</v>
      </c>
      <c r="D4221" s="29">
        <v>45.0</v>
      </c>
      <c r="E4221" s="28" t="s">
        <v>11372</v>
      </c>
      <c r="F4221" s="7" t="str">
        <f>IFERROR(__xludf.DUMMYFUNCTION("GOOGLETRANSLATE(B4221:B5064,""en"",""fr"")"),"improviser")</f>
        <v>improviser</v>
      </c>
    </row>
    <row r="4222" ht="19.5" customHeight="1">
      <c r="A4222" s="26" t="s">
        <v>11373</v>
      </c>
      <c r="B4222" s="27" t="s">
        <v>11374</v>
      </c>
      <c r="C4222" s="28" t="s">
        <v>32</v>
      </c>
      <c r="D4222" s="29">
        <v>45.0</v>
      </c>
      <c r="E4222" s="28" t="s">
        <v>11375</v>
      </c>
      <c r="F4222" s="7" t="str">
        <f>IFERROR(__xludf.DUMMYFUNCTION("GOOGLETRANSLATE(B4222:B5064,""en"",""fr"")"),"interférer")</f>
        <v>interférer</v>
      </c>
    </row>
    <row r="4223" ht="19.5" customHeight="1">
      <c r="A4223" s="26" t="s">
        <v>11376</v>
      </c>
      <c r="B4223" s="27" t="s">
        <v>11377</v>
      </c>
      <c r="C4223" s="28" t="s">
        <v>178</v>
      </c>
      <c r="D4223" s="29">
        <v>45.0</v>
      </c>
      <c r="E4223" s="28" t="s">
        <v>11378</v>
      </c>
      <c r="F4223" s="7" t="str">
        <f>IFERROR(__xludf.DUMMYFUNCTION("GOOGLETRANSLATE(B4223:B5064,""en"",""fr"")"),"ironie")</f>
        <v>ironie</v>
      </c>
    </row>
    <row r="4224" ht="19.5" customHeight="1">
      <c r="A4224" s="26" t="s">
        <v>11379</v>
      </c>
      <c r="B4224" s="27" t="s">
        <v>11380</v>
      </c>
      <c r="C4224" s="28" t="s">
        <v>134</v>
      </c>
      <c r="D4224" s="29">
        <v>45.0</v>
      </c>
      <c r="E4224" s="28" t="s">
        <v>11380</v>
      </c>
      <c r="F4224" s="7" t="str">
        <f>IFERROR(__xludf.DUMMYFUNCTION("GOOGLETRANSLATE(B4224:B5064,""en"",""fr"")"),"marié")</f>
        <v>marié</v>
      </c>
    </row>
    <row r="4225" ht="19.5" customHeight="1">
      <c r="A4225" s="26" t="s">
        <v>11381</v>
      </c>
      <c r="B4225" s="27" t="s">
        <v>11382</v>
      </c>
      <c r="C4225" s="28" t="s">
        <v>178</v>
      </c>
      <c r="D4225" s="29">
        <v>45.0</v>
      </c>
      <c r="E4225" s="28" t="s">
        <v>11383</v>
      </c>
      <c r="F4225" s="7" t="str">
        <f>IFERROR(__xludf.DUMMYFUNCTION("GOOGLETRANSLATE(B4225:B5064,""en"",""fr"")"),"nouveauté")</f>
        <v>nouveauté</v>
      </c>
    </row>
    <row r="4226" ht="19.5" customHeight="1">
      <c r="A4226" s="26" t="s">
        <v>11384</v>
      </c>
      <c r="B4226" s="27" t="s">
        <v>11385</v>
      </c>
      <c r="C4226" s="28" t="s">
        <v>85</v>
      </c>
      <c r="D4226" s="29">
        <v>45.0</v>
      </c>
      <c r="E4226" s="28" t="s">
        <v>11385</v>
      </c>
      <c r="F4226" s="7" t="str">
        <f>IFERROR(__xludf.DUMMYFUNCTION("GOOGLETRANSLATE(B4226:B5064,""en"",""fr"")"),"phew")</f>
        <v>phew</v>
      </c>
    </row>
    <row r="4227" ht="19.5" customHeight="1">
      <c r="A4227" s="26" t="s">
        <v>11386</v>
      </c>
      <c r="B4227" s="27" t="s">
        <v>10746</v>
      </c>
      <c r="C4227" s="28" t="s">
        <v>134</v>
      </c>
      <c r="D4227" s="29">
        <v>45.0</v>
      </c>
      <c r="E4227" s="28" t="s">
        <v>11387</v>
      </c>
      <c r="F4227" s="7" t="str">
        <f>IFERROR(__xludf.DUMMYFUNCTION("GOOGLETRANSLATE(B4227:B5064,""en"",""fr"")"),"faux")</f>
        <v>faux</v>
      </c>
    </row>
    <row r="4228" ht="19.5" customHeight="1">
      <c r="A4228" s="26" t="s">
        <v>11388</v>
      </c>
      <c r="B4228" s="27" t="s">
        <v>11389</v>
      </c>
      <c r="C4228" s="28" t="s">
        <v>134</v>
      </c>
      <c r="D4228" s="29">
        <v>45.0</v>
      </c>
      <c r="E4228" s="28" t="s">
        <v>11389</v>
      </c>
      <c r="F4228" s="7" t="str">
        <f>IFERROR(__xludf.DUMMYFUNCTION("GOOGLETRANSLATE(B4228:B5064,""en"",""fr"")"),"précédent")</f>
        <v>précédent</v>
      </c>
    </row>
    <row r="4229" ht="19.5" customHeight="1">
      <c r="A4229" s="26" t="s">
        <v>11390</v>
      </c>
      <c r="B4229" s="27" t="s">
        <v>11391</v>
      </c>
      <c r="C4229" s="28" t="s">
        <v>178</v>
      </c>
      <c r="D4229" s="29">
        <v>45.0</v>
      </c>
      <c r="E4229" s="28" t="s">
        <v>11392</v>
      </c>
      <c r="F4229" s="7" t="str">
        <f>IFERROR(__xludf.DUMMYFUNCTION("GOOGLETRANSLATE(B4229:B5064,""en"",""fr"")"),"désintox")</f>
        <v>désintox</v>
      </c>
    </row>
    <row r="4230" ht="19.5" customHeight="1">
      <c r="A4230" s="26" t="s">
        <v>11393</v>
      </c>
      <c r="B4230" s="27" t="s">
        <v>11394</v>
      </c>
      <c r="C4230" s="28" t="s">
        <v>178</v>
      </c>
      <c r="D4230" s="29">
        <v>45.0</v>
      </c>
      <c r="E4230" s="28" t="s">
        <v>11395</v>
      </c>
      <c r="F4230" s="7" t="str">
        <f>IFERROR(__xludf.DUMMYFUNCTION("GOOGLETRANSLATE(B4230:B5064,""en"",""fr"")"),"renne")</f>
        <v>renne</v>
      </c>
    </row>
    <row r="4231" ht="19.5" customHeight="1">
      <c r="A4231" s="26" t="s">
        <v>11396</v>
      </c>
      <c r="B4231" s="27" t="s">
        <v>11397</v>
      </c>
      <c r="C4231" s="28" t="s">
        <v>178</v>
      </c>
      <c r="D4231" s="29">
        <v>45.0</v>
      </c>
      <c r="E4231" s="28" t="s">
        <v>11398</v>
      </c>
      <c r="F4231" s="7" t="str">
        <f>IFERROR(__xludf.DUMMYFUNCTION("GOOGLETRANSLATE(B4231:B5064,""en"",""fr"")"),"rappel")</f>
        <v>rappel</v>
      </c>
    </row>
    <row r="4232" ht="19.5" customHeight="1">
      <c r="A4232" s="26" t="s">
        <v>11399</v>
      </c>
      <c r="B4232" s="27" t="s">
        <v>8147</v>
      </c>
      <c r="C4232" s="28" t="s">
        <v>178</v>
      </c>
      <c r="D4232" s="29">
        <v>45.0</v>
      </c>
      <c r="E4232" s="28" t="s">
        <v>11400</v>
      </c>
      <c r="F4232" s="7" t="str">
        <f>IFERROR(__xludf.DUMMYFUNCTION("GOOGLETRANSLATE(B4232:B5064,""en"",""fr"")"),"sauvetage")</f>
        <v>sauvetage</v>
      </c>
    </row>
    <row r="4233" ht="19.5" customHeight="1">
      <c r="A4233" s="26" t="s">
        <v>11401</v>
      </c>
      <c r="B4233" s="27" t="s">
        <v>11402</v>
      </c>
      <c r="C4233" s="28" t="s">
        <v>32</v>
      </c>
      <c r="D4233" s="29">
        <v>45.0</v>
      </c>
      <c r="E4233" s="28" t="s">
        <v>11403</v>
      </c>
      <c r="F4233" s="7" t="str">
        <f>IFERROR(__xludf.DUMMYFUNCTION("GOOGLETRANSLATE(B4233:B5064,""en"",""fr"")"),"en vouloir")</f>
        <v>en vouloir</v>
      </c>
    </row>
    <row r="4234" ht="19.5" customHeight="1">
      <c r="A4234" s="26" t="s">
        <v>11404</v>
      </c>
      <c r="B4234" s="27" t="s">
        <v>11405</v>
      </c>
      <c r="C4234" s="28" t="s">
        <v>178</v>
      </c>
      <c r="D4234" s="29">
        <v>45.0</v>
      </c>
      <c r="E4234" s="28" t="s">
        <v>11406</v>
      </c>
      <c r="F4234" s="7" t="str">
        <f>IFERROR(__xludf.DUMMYFUNCTION("GOOGLETRANSLATE(B4234:B5064,""en"",""fr"")"),"rodeo")</f>
        <v>rodeo</v>
      </c>
    </row>
    <row r="4235" ht="19.5" customHeight="1">
      <c r="A4235" s="26" t="s">
        <v>11407</v>
      </c>
      <c r="B4235" s="27" t="s">
        <v>4147</v>
      </c>
      <c r="C4235" s="28" t="s">
        <v>32</v>
      </c>
      <c r="D4235" s="29">
        <v>45.0</v>
      </c>
      <c r="E4235" s="28" t="s">
        <v>11408</v>
      </c>
      <c r="F4235" s="7" t="str">
        <f>IFERROR(__xludf.DUMMYFUNCTION("GOOGLETRANSLATE(B4235:B5064,""en"",""fr"")"),"rond")</f>
        <v>rond</v>
      </c>
    </row>
    <row r="4236" ht="19.5" customHeight="1">
      <c r="A4236" s="26" t="s">
        <v>11409</v>
      </c>
      <c r="B4236" s="27" t="s">
        <v>11410</v>
      </c>
      <c r="C4236" s="28" t="s">
        <v>134</v>
      </c>
      <c r="D4236" s="29">
        <v>45.0</v>
      </c>
      <c r="E4236" s="28" t="s">
        <v>11411</v>
      </c>
      <c r="F4236" s="7" t="str">
        <f>IFERROR(__xludf.DUMMYFUNCTION("GOOGLETRANSLATE(B4236:B5064,""en"",""fr"")"),"grave")</f>
        <v>grave</v>
      </c>
    </row>
    <row r="4237" ht="19.5" customHeight="1">
      <c r="A4237" s="26" t="s">
        <v>11412</v>
      </c>
      <c r="B4237" s="27" t="s">
        <v>11413</v>
      </c>
      <c r="C4237" s="28" t="s">
        <v>134</v>
      </c>
      <c r="D4237" s="29">
        <v>45.0</v>
      </c>
      <c r="E4237" s="28" t="s">
        <v>11414</v>
      </c>
      <c r="F4237" s="7" t="str">
        <f>IFERROR(__xludf.DUMMYFUNCTION("GOOGLETRANSLATE(B4237:B5064,""en"",""fr"")"),"glissant")</f>
        <v>glissant</v>
      </c>
    </row>
    <row r="4238" ht="19.5" customHeight="1">
      <c r="A4238" s="26" t="s">
        <v>11415</v>
      </c>
      <c r="B4238" s="27" t="s">
        <v>11416</v>
      </c>
      <c r="C4238" s="28" t="s">
        <v>178</v>
      </c>
      <c r="D4238" s="29">
        <v>45.0</v>
      </c>
      <c r="E4238" s="28" t="s">
        <v>11417</v>
      </c>
      <c r="F4238" s="7" t="str">
        <f>IFERROR(__xludf.DUMMYFUNCTION("GOOGLETRANSLATE(B4238:B5064,""en"",""fr"")"),"fumeur")</f>
        <v>fumeur</v>
      </c>
    </row>
    <row r="4239" ht="19.5" customHeight="1">
      <c r="A4239" s="26" t="s">
        <v>11418</v>
      </c>
      <c r="B4239" s="27" t="s">
        <v>11419</v>
      </c>
      <c r="C4239" s="28" t="s">
        <v>134</v>
      </c>
      <c r="D4239" s="29">
        <v>45.0</v>
      </c>
      <c r="E4239" s="28" t="s">
        <v>11420</v>
      </c>
      <c r="F4239" s="7" t="str">
        <f>IFERROR(__xludf.DUMMYFUNCTION("GOOGLETRANSLATE(B4239:B5064,""en"",""fr"")"),"fantasmagorique")</f>
        <v>fantasmagorique</v>
      </c>
    </row>
    <row r="4240" ht="19.5" customHeight="1">
      <c r="A4240" s="26" t="s">
        <v>11421</v>
      </c>
      <c r="B4240" s="27" t="s">
        <v>11422</v>
      </c>
      <c r="C4240" s="28" t="s">
        <v>85</v>
      </c>
      <c r="D4240" s="29">
        <v>45.0</v>
      </c>
      <c r="E4240" s="28" t="s">
        <v>11423</v>
      </c>
      <c r="F4240" s="7" t="str">
        <f>IFERROR(__xludf.DUMMYFUNCTION("GOOGLETRANSLATE(B4240:B5064,""en"",""fr"")"),"ta-da")</f>
        <v>ta-da</v>
      </c>
    </row>
    <row r="4241" ht="19.5" customHeight="1">
      <c r="A4241" s="26" t="s">
        <v>11424</v>
      </c>
      <c r="B4241" s="27" t="s">
        <v>8285</v>
      </c>
      <c r="C4241" s="28" t="s">
        <v>178</v>
      </c>
      <c r="D4241" s="29">
        <v>45.0</v>
      </c>
      <c r="E4241" s="28" t="s">
        <v>11425</v>
      </c>
      <c r="F4241" s="7" t="str">
        <f>IFERROR(__xludf.DUMMYFUNCTION("GOOGLETRANSLATE(B4241:B5064,""en"",""fr"")"),"robinet")</f>
        <v>robinet</v>
      </c>
    </row>
    <row r="4242" ht="19.5" customHeight="1">
      <c r="A4242" s="26" t="s">
        <v>11426</v>
      </c>
      <c r="B4242" s="27" t="s">
        <v>11427</v>
      </c>
      <c r="C4242" s="28" t="s">
        <v>178</v>
      </c>
      <c r="D4242" s="29">
        <v>45.0</v>
      </c>
      <c r="E4242" s="28" t="s">
        <v>11428</v>
      </c>
      <c r="F4242" s="7" t="str">
        <f>IFERROR(__xludf.DUMMYFUNCTION("GOOGLETRANSLATE(B4242:B5064,""en"",""fr"")"),"la terreur")</f>
        <v>la terreur</v>
      </c>
    </row>
    <row r="4243" ht="19.5" customHeight="1">
      <c r="A4243" s="26" t="s">
        <v>11429</v>
      </c>
      <c r="B4243" s="27" t="s">
        <v>11430</v>
      </c>
      <c r="C4243" s="28" t="s">
        <v>150</v>
      </c>
      <c r="D4243" s="29">
        <v>45.0</v>
      </c>
      <c r="E4243" s="28" t="s">
        <v>11430</v>
      </c>
      <c r="F4243" s="7" t="str">
        <f>IFERROR(__xludf.DUMMYFUNCTION("GOOGLETRANSLATE(B4243:B5064,""en"",""fr"")"),"trente-huit")</f>
        <v>trente-huit</v>
      </c>
    </row>
    <row r="4244" ht="19.5" customHeight="1">
      <c r="A4244" s="26" t="s">
        <v>11431</v>
      </c>
      <c r="B4244" s="27" t="s">
        <v>11432</v>
      </c>
      <c r="C4244" s="28" t="s">
        <v>178</v>
      </c>
      <c r="D4244" s="29">
        <v>45.0</v>
      </c>
      <c r="E4244" s="28" t="s">
        <v>11433</v>
      </c>
      <c r="F4244" s="7" t="str">
        <f>IFERROR(__xludf.DUMMYFUNCTION("GOOGLETRANSLATE(B4244:B5064,""en"",""fr"")"),"transplantation")</f>
        <v>transplantation</v>
      </c>
    </row>
    <row r="4245" ht="19.5" customHeight="1">
      <c r="A4245" s="26" t="s">
        <v>11434</v>
      </c>
      <c r="B4245" s="27" t="s">
        <v>11435</v>
      </c>
      <c r="C4245" s="28" t="s">
        <v>178</v>
      </c>
      <c r="D4245" s="29">
        <v>45.0</v>
      </c>
      <c r="E4245" s="28" t="s">
        <v>11436</v>
      </c>
      <c r="F4245" s="7" t="str">
        <f>IFERROR(__xludf.DUMMYFUNCTION("GOOGLETRANSLATE(B4245:B5064,""en"",""fr"")"),"méchant")</f>
        <v>méchant</v>
      </c>
    </row>
    <row r="4246" ht="19.5" customHeight="1">
      <c r="A4246" s="26" t="s">
        <v>11437</v>
      </c>
      <c r="B4246" s="27" t="s">
        <v>119</v>
      </c>
      <c r="C4246" s="28" t="s">
        <v>178</v>
      </c>
      <c r="D4246" s="29">
        <v>45.0</v>
      </c>
      <c r="E4246" s="28" t="s">
        <v>11438</v>
      </c>
      <c r="F4246" s="7" t="str">
        <f>IFERROR(__xludf.DUMMYFUNCTION("GOOGLETRANSLATE(B4246:B5064,""en"",""fr"")"),"Bien")</f>
        <v>Bien</v>
      </c>
    </row>
    <row r="4247" ht="19.5" customHeight="1">
      <c r="A4247" s="26" t="s">
        <v>11439</v>
      </c>
      <c r="B4247" s="27" t="s">
        <v>11440</v>
      </c>
      <c r="C4247" s="28" t="s">
        <v>36</v>
      </c>
      <c r="D4247" s="29">
        <v>45.0</v>
      </c>
      <c r="E4247" s="28" t="s">
        <v>11440</v>
      </c>
      <c r="F4247" s="7" t="str">
        <f>IFERROR(__xludf.DUMMYFUNCTION("GOOGLETRANSLATE(B4247:B5064,""en"",""fr"")"),"quoi que ce soit")</f>
        <v>quoi que ce soit</v>
      </c>
    </row>
    <row r="4248" ht="19.5" customHeight="1">
      <c r="A4248" s="26" t="s">
        <v>11441</v>
      </c>
      <c r="B4248" s="27" t="s">
        <v>11442</v>
      </c>
      <c r="C4248" s="28" t="s">
        <v>32</v>
      </c>
      <c r="D4248" s="29">
        <v>45.0</v>
      </c>
      <c r="E4248" s="28" t="s">
        <v>11443</v>
      </c>
      <c r="F4248" s="7" t="str">
        <f>IFERROR(__xludf.DUMMYFUNCTION("GOOGLETRANSLATE(B4248:B5064,""en"",""fr"")"),"cascade")</f>
        <v>cascade</v>
      </c>
    </row>
    <row r="4249" ht="19.5" customHeight="1">
      <c r="A4249" s="26" t="s">
        <v>11444</v>
      </c>
      <c r="B4249" s="27" t="s">
        <v>11445</v>
      </c>
      <c r="C4249" s="28" t="s">
        <v>178</v>
      </c>
      <c r="D4249" s="29">
        <v>45.0</v>
      </c>
      <c r="E4249" s="28" t="s">
        <v>11446</v>
      </c>
      <c r="F4249" s="7" t="str">
        <f>IFERROR(__xludf.DUMMYFUNCTION("GOOGLETRANSLATE(B4249:B5064,""en"",""fr"")"),"Dock")</f>
        <v>Dock</v>
      </c>
    </row>
    <row r="4250" ht="19.5" customHeight="1">
      <c r="A4250" s="26" t="s">
        <v>11447</v>
      </c>
      <c r="B4250" s="27" t="s">
        <v>9179</v>
      </c>
      <c r="C4250" s="28" t="s">
        <v>178</v>
      </c>
      <c r="D4250" s="29">
        <v>44.0</v>
      </c>
      <c r="E4250" s="28" t="s">
        <v>9179</v>
      </c>
      <c r="F4250" s="7" t="str">
        <f>IFERROR(__xludf.DUMMYFUNCTION("GOOGLETRANSLATE(B4250:B5064,""en"",""fr"")"),"vomir")</f>
        <v>vomir</v>
      </c>
    </row>
    <row r="4251" ht="19.5" customHeight="1">
      <c r="A4251" s="26" t="s">
        <v>11448</v>
      </c>
      <c r="B4251" s="27" t="s">
        <v>11449</v>
      </c>
      <c r="C4251" s="28" t="s">
        <v>4654</v>
      </c>
      <c r="D4251" s="29">
        <v>44.0</v>
      </c>
      <c r="E4251" s="28" t="s">
        <v>11450</v>
      </c>
      <c r="F4251" s="7" t="str">
        <f>IFERROR(__xludf.DUMMYFUNCTION("GOOGLETRANSLATE(B4251:B5064,""en"",""fr"")"),"alias.")</f>
        <v>alias.</v>
      </c>
    </row>
    <row r="4252" ht="19.5" customHeight="1">
      <c r="A4252" s="26" t="s">
        <v>11451</v>
      </c>
      <c r="B4252" s="27" t="s">
        <v>11452</v>
      </c>
      <c r="C4252" s="28" t="s">
        <v>134</v>
      </c>
      <c r="D4252" s="29">
        <v>44.0</v>
      </c>
      <c r="E4252" s="28" t="s">
        <v>11452</v>
      </c>
      <c r="F4252" s="7" t="str">
        <f>IFERROR(__xludf.DUMMYFUNCTION("GOOGLETRANSLATE(B4252:B5064,""en"",""fr"")"),"précis")</f>
        <v>précis</v>
      </c>
    </row>
    <row r="4253" ht="19.5" customHeight="1">
      <c r="A4253" s="26" t="s">
        <v>11453</v>
      </c>
      <c r="B4253" s="27" t="s">
        <v>11454</v>
      </c>
      <c r="C4253" s="28" t="s">
        <v>32</v>
      </c>
      <c r="D4253" s="29">
        <v>44.0</v>
      </c>
      <c r="E4253" s="28" t="s">
        <v>11455</v>
      </c>
      <c r="F4253" s="7" t="str">
        <f>IFERROR(__xludf.DUMMYFUNCTION("GOOGLETRANSLATE(B4253:B5064,""en"",""fr"")"),"modifier")</f>
        <v>modifier</v>
      </c>
    </row>
    <row r="4254" ht="19.5" customHeight="1">
      <c r="A4254" s="26" t="s">
        <v>11456</v>
      </c>
      <c r="B4254" s="27" t="s">
        <v>11457</v>
      </c>
      <c r="C4254" s="28" t="s">
        <v>178</v>
      </c>
      <c r="D4254" s="29">
        <v>44.0</v>
      </c>
      <c r="E4254" s="28" t="s">
        <v>11458</v>
      </c>
      <c r="F4254" s="7" t="str">
        <f>IFERROR(__xludf.DUMMYFUNCTION("GOOGLETRANSLATE(B4254:B5064,""en"",""fr"")"),"cendre")</f>
        <v>cendre</v>
      </c>
    </row>
    <row r="4255" ht="19.5" customHeight="1">
      <c r="A4255" s="26" t="s">
        <v>11459</v>
      </c>
      <c r="B4255" s="27" t="s">
        <v>11460</v>
      </c>
      <c r="C4255" s="28" t="s">
        <v>134</v>
      </c>
      <c r="D4255" s="29">
        <v>44.0</v>
      </c>
      <c r="E4255" s="28" t="s">
        <v>11460</v>
      </c>
      <c r="F4255" s="7" t="str">
        <f>IFERROR(__xludf.DUMMYFUNCTION("GOOGLETRANSLATE(B4255:B5064,""en"",""fr"")"),"authentique")</f>
        <v>authentique</v>
      </c>
    </row>
    <row r="4256" ht="19.5" customHeight="1">
      <c r="A4256" s="26" t="s">
        <v>11461</v>
      </c>
      <c r="B4256" s="27" t="s">
        <v>11462</v>
      </c>
      <c r="C4256" s="28" t="s">
        <v>178</v>
      </c>
      <c r="D4256" s="29">
        <v>44.0</v>
      </c>
      <c r="E4256" s="28" t="s">
        <v>11463</v>
      </c>
      <c r="F4256" s="7" t="str">
        <f>IFERROR(__xludf.DUMMYFUNCTION("GOOGLETRANSLATE(B4256:B5064,""en"",""fr"")"),"base")</f>
        <v>base</v>
      </c>
    </row>
    <row r="4257" ht="19.5" customHeight="1">
      <c r="A4257" s="26" t="s">
        <v>11464</v>
      </c>
      <c r="B4257" s="27" t="s">
        <v>11465</v>
      </c>
      <c r="C4257" s="28" t="s">
        <v>178</v>
      </c>
      <c r="D4257" s="29">
        <v>44.0</v>
      </c>
      <c r="E4257" s="28" t="s">
        <v>11466</v>
      </c>
      <c r="F4257" s="7" t="str">
        <f>IFERROR(__xludf.DUMMYFUNCTION("GOOGLETRANSLATE(B4257:B5064,""en"",""fr"")"),"crotte de nez")</f>
        <v>crotte de nez</v>
      </c>
    </row>
    <row r="4258" ht="19.5" customHeight="1">
      <c r="A4258" s="26" t="s">
        <v>11467</v>
      </c>
      <c r="B4258" s="27" t="s">
        <v>11468</v>
      </c>
      <c r="C4258" s="28" t="s">
        <v>134</v>
      </c>
      <c r="D4258" s="29">
        <v>44.0</v>
      </c>
      <c r="E4258" s="28" t="s">
        <v>11468</v>
      </c>
      <c r="F4258" s="7" t="str">
        <f>IFERROR(__xludf.DUMMYFUNCTION("GOOGLETRANSLATE(B4258:B5064,""en"",""fr"")"),"cassé")</f>
        <v>cassé</v>
      </c>
    </row>
    <row r="4259" ht="19.5" customHeight="1">
      <c r="A4259" s="26" t="s">
        <v>11469</v>
      </c>
      <c r="B4259" s="27" t="s">
        <v>11470</v>
      </c>
      <c r="C4259" s="28" t="s">
        <v>178</v>
      </c>
      <c r="D4259" s="29">
        <v>44.0</v>
      </c>
      <c r="E4259" s="28" t="s">
        <v>11471</v>
      </c>
      <c r="F4259" s="7" t="str">
        <f>IFERROR(__xludf.DUMMYFUNCTION("GOOGLETRANSLATE(B4259:B5064,""en"",""fr"")"),"chimique")</f>
        <v>chimique</v>
      </c>
    </row>
    <row r="4260" ht="19.5" customHeight="1">
      <c r="A4260" s="26" t="s">
        <v>11472</v>
      </c>
      <c r="B4260" s="27" t="s">
        <v>11473</v>
      </c>
      <c r="C4260" s="28" t="s">
        <v>32</v>
      </c>
      <c r="D4260" s="29">
        <v>44.0</v>
      </c>
      <c r="E4260" s="28" t="s">
        <v>11474</v>
      </c>
      <c r="F4260" s="7" t="str">
        <f>IFERROR(__xludf.DUMMYFUNCTION("GOOGLETRANSLATE(B4260:B5064,""en"",""fr"")"),"taper")</f>
        <v>taper</v>
      </c>
    </row>
    <row r="4261" ht="19.5" customHeight="1">
      <c r="A4261" s="26" t="s">
        <v>11475</v>
      </c>
      <c r="B4261" s="27" t="s">
        <v>11476</v>
      </c>
      <c r="C4261" s="28" t="s">
        <v>100</v>
      </c>
      <c r="D4261" s="29">
        <v>44.0</v>
      </c>
      <c r="E4261" s="28" t="s">
        <v>11477</v>
      </c>
      <c r="F4261" s="7" t="str">
        <f>IFERROR(__xludf.DUMMYFUNCTION("GOOGLETRANSLATE(B4261:B5064,""en"",""fr"")"),"étroitement")</f>
        <v>étroitement</v>
      </c>
    </row>
    <row r="4262" ht="19.5" customHeight="1">
      <c r="A4262" s="26" t="s">
        <v>11478</v>
      </c>
      <c r="B4262" s="27" t="s">
        <v>11479</v>
      </c>
      <c r="C4262" s="28" t="s">
        <v>178</v>
      </c>
      <c r="D4262" s="29">
        <v>44.0</v>
      </c>
      <c r="E4262" s="28" t="s">
        <v>11480</v>
      </c>
      <c r="F4262" s="7" t="str">
        <f>IFERROR(__xludf.DUMMYFUNCTION("GOOGLETRANSLATE(B4262:B5064,""en"",""fr"")"),"le commissaire")</f>
        <v>le commissaire</v>
      </c>
    </row>
    <row r="4263" ht="19.5" customHeight="1">
      <c r="A4263" s="26" t="s">
        <v>11481</v>
      </c>
      <c r="B4263" s="27" t="s">
        <v>11482</v>
      </c>
      <c r="C4263" s="28" t="s">
        <v>178</v>
      </c>
      <c r="D4263" s="29">
        <v>44.0</v>
      </c>
      <c r="E4263" s="28" t="s">
        <v>11483</v>
      </c>
      <c r="F4263" s="7" t="str">
        <f>IFERROR(__xludf.DUMMYFUNCTION("GOOGLETRANSLATE(B4263:B5064,""en"",""fr"")"),"communication")</f>
        <v>communication</v>
      </c>
    </row>
    <row r="4264" ht="19.5" customHeight="1">
      <c r="A4264" s="26" t="s">
        <v>11484</v>
      </c>
      <c r="B4264" s="27" t="s">
        <v>868</v>
      </c>
      <c r="C4264" s="28" t="s">
        <v>178</v>
      </c>
      <c r="D4264" s="29">
        <v>44.0</v>
      </c>
      <c r="E4264" s="28" t="s">
        <v>11485</v>
      </c>
      <c r="F4264" s="7" t="str">
        <f>IFERROR(__xludf.DUMMYFUNCTION("GOOGLETRANSLATE(B4264:B5064,""en"",""fr"")"),"conduire")</f>
        <v>conduire</v>
      </c>
    </row>
    <row r="4265" ht="19.5" customHeight="1">
      <c r="A4265" s="26" t="s">
        <v>11486</v>
      </c>
      <c r="B4265" s="27" t="s">
        <v>11487</v>
      </c>
      <c r="C4265" s="28" t="s">
        <v>728</v>
      </c>
      <c r="D4265" s="29">
        <v>44.0</v>
      </c>
      <c r="E4265" s="28" t="s">
        <v>11487</v>
      </c>
      <c r="F4265" s="7" t="str">
        <f>IFERROR(__xludf.DUMMYFUNCTION("GOOGLETRANSLATE(B4265:B5064,""en"",""fr"")"),"Néerlandais")</f>
        <v>Néerlandais</v>
      </c>
    </row>
    <row r="4266" ht="19.5" customHeight="1">
      <c r="A4266" s="26" t="s">
        <v>11488</v>
      </c>
      <c r="B4266" s="27" t="s">
        <v>11489</v>
      </c>
      <c r="C4266" s="28" t="s">
        <v>178</v>
      </c>
      <c r="D4266" s="29">
        <v>44.0</v>
      </c>
      <c r="E4266" s="28" t="s">
        <v>11490</v>
      </c>
      <c r="F4266" s="7" t="str">
        <f>IFERROR(__xludf.DUMMYFUNCTION("GOOGLETRANSLATE(B4266:B5064,""en"",""fr"")"),"ingénieur")</f>
        <v>ingénieur</v>
      </c>
    </row>
    <row r="4267" ht="19.5" customHeight="1">
      <c r="A4267" s="26" t="s">
        <v>11491</v>
      </c>
      <c r="B4267" s="27" t="s">
        <v>9497</v>
      </c>
      <c r="C4267" s="28" t="s">
        <v>178</v>
      </c>
      <c r="D4267" s="29">
        <v>44.0</v>
      </c>
      <c r="E4267" s="28" t="s">
        <v>11492</v>
      </c>
      <c r="F4267" s="7" t="str">
        <f>IFERROR(__xludf.DUMMYFUNCTION("GOOGLETRANSLATE(B4267:B5064,""en"",""fr"")"),"fax")</f>
        <v>fax</v>
      </c>
    </row>
    <row r="4268" ht="19.5" customHeight="1">
      <c r="A4268" s="26" t="s">
        <v>11493</v>
      </c>
      <c r="B4268" s="27" t="s">
        <v>11494</v>
      </c>
      <c r="C4268" s="28" t="s">
        <v>134</v>
      </c>
      <c r="D4268" s="29">
        <v>44.0</v>
      </c>
      <c r="E4268" s="28" t="s">
        <v>11494</v>
      </c>
      <c r="F4268" s="7" t="str">
        <f>IFERROR(__xludf.DUMMYFUNCTION("GOOGLETRANSLATE(B4268:B5064,""en"",""fr"")"),"fédéral")</f>
        <v>fédéral</v>
      </c>
    </row>
    <row r="4269" ht="19.5" customHeight="1">
      <c r="A4269" s="26" t="s">
        <v>11495</v>
      </c>
      <c r="B4269" s="27" t="s">
        <v>11496</v>
      </c>
      <c r="C4269" s="28" t="s">
        <v>32</v>
      </c>
      <c r="D4269" s="29">
        <v>44.0</v>
      </c>
      <c r="E4269" s="28" t="s">
        <v>11497</v>
      </c>
      <c r="F4269" s="7" t="str">
        <f>IFERROR(__xludf.DUMMYFUNCTION("GOOGLETRANSLATE(B4269:B5064,""en"",""fr"")"),"aller chercher")</f>
        <v>aller chercher</v>
      </c>
    </row>
    <row r="4270" ht="19.5" customHeight="1">
      <c r="A4270" s="26" t="s">
        <v>11498</v>
      </c>
      <c r="B4270" s="27" t="s">
        <v>11499</v>
      </c>
      <c r="C4270" s="28" t="s">
        <v>150</v>
      </c>
      <c r="D4270" s="29">
        <v>44.0</v>
      </c>
      <c r="E4270" s="28" t="s">
        <v>11499</v>
      </c>
      <c r="F4270" s="7" t="str">
        <f>IFERROR(__xludf.DUMMYFUNCTION("GOOGLETRANSLATE(B4270:B5064,""en"",""fr"")"),"quarante huit")</f>
        <v>quarante huit</v>
      </c>
    </row>
    <row r="4271" ht="19.5" customHeight="1">
      <c r="A4271" s="26" t="s">
        <v>11500</v>
      </c>
      <c r="B4271" s="27" t="s">
        <v>11501</v>
      </c>
      <c r="C4271" s="28" t="s">
        <v>134</v>
      </c>
      <c r="D4271" s="29">
        <v>44.0</v>
      </c>
      <c r="E4271" s="28" t="s">
        <v>11501</v>
      </c>
      <c r="F4271" s="7" t="str">
        <f>IFERROR(__xludf.DUMMYFUNCTION("GOOGLETRANSLATE(B4271:B5064,""en"",""fr"")"),"frit")</f>
        <v>frit</v>
      </c>
    </row>
    <row r="4272" ht="19.5" customHeight="1">
      <c r="A4272" s="26" t="s">
        <v>11502</v>
      </c>
      <c r="B4272" s="27" t="s">
        <v>11503</v>
      </c>
      <c r="C4272" s="28" t="s">
        <v>178</v>
      </c>
      <c r="D4272" s="29">
        <v>44.0</v>
      </c>
      <c r="E4272" s="28" t="s">
        <v>11504</v>
      </c>
      <c r="F4272" s="7" t="str">
        <f>IFERROR(__xludf.DUMMYFUNCTION("GOOGLETRANSLATE(B4272:B5064,""en"",""fr"")"),"gloire")</f>
        <v>gloire</v>
      </c>
    </row>
    <row r="4273" ht="19.5" customHeight="1">
      <c r="A4273" s="26" t="s">
        <v>11505</v>
      </c>
      <c r="B4273" s="27" t="s">
        <v>11506</v>
      </c>
      <c r="C4273" s="28" t="s">
        <v>178</v>
      </c>
      <c r="D4273" s="29">
        <v>44.0</v>
      </c>
      <c r="E4273" s="28" t="s">
        <v>11507</v>
      </c>
      <c r="F4273" s="7" t="str">
        <f>IFERROR(__xludf.DUMMYFUNCTION("GOOGLETRANSLATE(B4273:B5064,""en"",""fr"")"),"parrain")</f>
        <v>parrain</v>
      </c>
    </row>
    <row r="4274" ht="19.5" customHeight="1">
      <c r="A4274" s="26" t="s">
        <v>11508</v>
      </c>
      <c r="B4274" s="27" t="s">
        <v>11509</v>
      </c>
      <c r="C4274" s="28" t="s">
        <v>134</v>
      </c>
      <c r="D4274" s="29">
        <v>44.0</v>
      </c>
      <c r="E4274" s="28" t="s">
        <v>11509</v>
      </c>
      <c r="F4274" s="7" t="str">
        <f>IFERROR(__xludf.DUMMYFUNCTION("GOOGLETRANSLATE(B4274:B5064,""en"",""fr"")"),"inoffensif")</f>
        <v>inoffensif</v>
      </c>
    </row>
    <row r="4275" ht="19.5" customHeight="1">
      <c r="A4275" s="26" t="s">
        <v>11510</v>
      </c>
      <c r="B4275" s="27" t="s">
        <v>2384</v>
      </c>
      <c r="C4275" s="28" t="s">
        <v>178</v>
      </c>
      <c r="D4275" s="29">
        <v>44.0</v>
      </c>
      <c r="E4275" s="28" t="s">
        <v>11511</v>
      </c>
      <c r="F4275" s="7" t="str">
        <f>IFERROR(__xludf.DUMMYFUNCTION("GOOGLETRANSLATE(B4275:B5064,""en"",""fr"")"),"dépêchez-vous")</f>
        <v>dépêchez-vous</v>
      </c>
    </row>
    <row r="4276" ht="19.5" customHeight="1">
      <c r="A4276" s="26" t="s">
        <v>11512</v>
      </c>
      <c r="B4276" s="27" t="s">
        <v>11513</v>
      </c>
      <c r="C4276" s="28" t="s">
        <v>100</v>
      </c>
      <c r="D4276" s="29">
        <v>44.0</v>
      </c>
      <c r="E4276" s="28" t="s">
        <v>11513</v>
      </c>
      <c r="F4276" s="7" t="str">
        <f>IFERROR(__xludf.DUMMYFUNCTION("GOOGLETRANSLATE(B4276:B5064,""en"",""fr"")"),"en bonne place")</f>
        <v>en bonne place</v>
      </c>
    </row>
    <row r="4277" ht="19.5" customHeight="1">
      <c r="A4277" s="26" t="s">
        <v>11514</v>
      </c>
      <c r="B4277" s="27" t="s">
        <v>11515</v>
      </c>
      <c r="C4277" s="28" t="s">
        <v>178</v>
      </c>
      <c r="D4277" s="29">
        <v>44.0</v>
      </c>
      <c r="E4277" s="28" t="s">
        <v>11516</v>
      </c>
      <c r="F4277" s="7" t="str">
        <f>IFERROR(__xludf.DUMMYFUNCTION("GOOGLETRANSLATE(B4277:B5064,""en"",""fr"")"),"salon")</f>
        <v>salon</v>
      </c>
    </row>
    <row r="4278" ht="19.5" customHeight="1">
      <c r="A4278" s="26" t="s">
        <v>11517</v>
      </c>
      <c r="B4278" s="27" t="s">
        <v>5630</v>
      </c>
      <c r="C4278" s="28" t="s">
        <v>178</v>
      </c>
      <c r="D4278" s="29">
        <v>44.0</v>
      </c>
      <c r="E4278" s="28" t="s">
        <v>11518</v>
      </c>
      <c r="F4278" s="7" t="str">
        <f>IFERROR(__xludf.DUMMYFUNCTION("GOOGLETRANSLATE(B4278:B5064,""en"",""fr"")"),"majeur")</f>
        <v>majeur</v>
      </c>
    </row>
    <row r="4279" ht="19.5" customHeight="1">
      <c r="A4279" s="26" t="s">
        <v>11519</v>
      </c>
      <c r="B4279" s="27" t="s">
        <v>11520</v>
      </c>
      <c r="C4279" s="28" t="s">
        <v>178</v>
      </c>
      <c r="D4279" s="29">
        <v>44.0</v>
      </c>
      <c r="E4279" s="28" t="s">
        <v>11521</v>
      </c>
      <c r="F4279" s="7" t="str">
        <f>IFERROR(__xludf.DUMMYFUNCTION("GOOGLETRANSLATE(B4279:B5064,""en"",""fr"")"),"Milk-shake")</f>
        <v>Milk-shake</v>
      </c>
    </row>
    <row r="4280" ht="19.5" customHeight="1">
      <c r="A4280" s="26" t="s">
        <v>11522</v>
      </c>
      <c r="B4280" s="27" t="s">
        <v>11523</v>
      </c>
      <c r="C4280" s="28" t="s">
        <v>178</v>
      </c>
      <c r="D4280" s="29">
        <v>44.0</v>
      </c>
      <c r="E4280" s="28" t="s">
        <v>11524</v>
      </c>
      <c r="F4280" s="7" t="str">
        <f>IFERROR(__xludf.DUMMYFUNCTION("GOOGLETRANSLATE(B4280:B5064,""en"",""fr"")"),"mutant")</f>
        <v>mutant</v>
      </c>
    </row>
    <row r="4281" ht="19.5" customHeight="1">
      <c r="A4281" s="26" t="s">
        <v>11525</v>
      </c>
      <c r="B4281" s="27" t="s">
        <v>3718</v>
      </c>
      <c r="C4281" s="28" t="s">
        <v>134</v>
      </c>
      <c r="D4281" s="29">
        <v>44.0</v>
      </c>
      <c r="E4281" s="28" t="s">
        <v>11526</v>
      </c>
      <c r="F4281" s="7" t="str">
        <f>IFERROR(__xludf.DUMMYFUNCTION("GOOGLETRANSLATE(B4281:B5064,""en"",""fr"")"),"près")</f>
        <v>près</v>
      </c>
    </row>
    <row r="4282" ht="19.5" customHeight="1">
      <c r="A4282" s="26" t="s">
        <v>11527</v>
      </c>
      <c r="B4282" s="27" t="s">
        <v>11528</v>
      </c>
      <c r="C4282" s="28" t="s">
        <v>32</v>
      </c>
      <c r="D4282" s="29">
        <v>44.0</v>
      </c>
      <c r="E4282" s="28" t="s">
        <v>11529</v>
      </c>
      <c r="F4282" s="7" t="str">
        <f>IFERROR(__xludf.DUMMYFUNCTION("GOOGLETRANSLATE(B4282:B5064,""en"",""fr"")"),"négocier")</f>
        <v>négocier</v>
      </c>
    </row>
    <row r="4283" ht="19.5" customHeight="1">
      <c r="A4283" s="26" t="s">
        <v>11530</v>
      </c>
      <c r="B4283" s="27" t="s">
        <v>11531</v>
      </c>
      <c r="C4283" s="28" t="s">
        <v>178</v>
      </c>
      <c r="D4283" s="29">
        <v>44.0</v>
      </c>
      <c r="E4283" s="28" t="s">
        <v>11532</v>
      </c>
      <c r="F4283" s="7" t="str">
        <f>IFERROR(__xludf.DUMMYFUNCTION("GOOGLETRANSLATE(B4283:B5064,""en"",""fr"")"),"carnet de notes")</f>
        <v>carnet de notes</v>
      </c>
    </row>
    <row r="4284" ht="19.5" customHeight="1">
      <c r="A4284" s="26" t="s">
        <v>11533</v>
      </c>
      <c r="B4284" s="27" t="s">
        <v>11534</v>
      </c>
      <c r="C4284" s="28" t="s">
        <v>178</v>
      </c>
      <c r="D4284" s="29">
        <v>44.0</v>
      </c>
      <c r="E4284" s="28" t="s">
        <v>11535</v>
      </c>
      <c r="F4284" s="7" t="str">
        <f>IFERROR(__xludf.DUMMYFUNCTION("GOOGLETRANSLATE(B4284:B5064,""en"",""fr"")"),"sortie")</f>
        <v>sortie</v>
      </c>
    </row>
    <row r="4285" ht="19.5" customHeight="1">
      <c r="A4285" s="26" t="s">
        <v>11536</v>
      </c>
      <c r="B4285" s="27" t="s">
        <v>11537</v>
      </c>
      <c r="C4285" s="28" t="s">
        <v>178</v>
      </c>
      <c r="D4285" s="29">
        <v>44.0</v>
      </c>
      <c r="E4285" s="28" t="s">
        <v>11538</v>
      </c>
      <c r="F4285" s="7" t="str">
        <f>IFERROR(__xludf.DUMMYFUNCTION("GOOGLETRANSLATE(B4285:B5064,""en"",""fr"")"),"chèque de paie")</f>
        <v>chèque de paie</v>
      </c>
    </row>
    <row r="4286" ht="19.5" customHeight="1">
      <c r="A4286" s="26" t="s">
        <v>11539</v>
      </c>
      <c r="B4286" s="27" t="s">
        <v>11540</v>
      </c>
      <c r="C4286" s="28" t="s">
        <v>178</v>
      </c>
      <c r="D4286" s="29">
        <v>44.0</v>
      </c>
      <c r="E4286" s="28" t="s">
        <v>11541</v>
      </c>
      <c r="F4286" s="7" t="str">
        <f>IFERROR(__xludf.DUMMYFUNCTION("GOOGLETRANSLATE(B4286:B5064,""en"",""fr"")"),"soutenir")</f>
        <v>soutenir</v>
      </c>
    </row>
    <row r="4287" ht="19.5" customHeight="1">
      <c r="A4287" s="26" t="s">
        <v>11542</v>
      </c>
      <c r="B4287" s="27" t="s">
        <v>11543</v>
      </c>
      <c r="C4287" s="28" t="s">
        <v>178</v>
      </c>
      <c r="D4287" s="29">
        <v>44.0</v>
      </c>
      <c r="E4287" s="28" t="s">
        <v>11544</v>
      </c>
      <c r="F4287" s="7" t="str">
        <f>IFERROR(__xludf.DUMMYFUNCTION("GOOGLETRANSLATE(B4287:B5064,""en"",""fr"")"),"quantum")</f>
        <v>quantum</v>
      </c>
    </row>
    <row r="4288" ht="19.5" customHeight="1">
      <c r="A4288" s="26" t="s">
        <v>11545</v>
      </c>
      <c r="B4288" s="27" t="s">
        <v>11546</v>
      </c>
      <c r="C4288" s="28" t="s">
        <v>178</v>
      </c>
      <c r="D4288" s="29">
        <v>44.0</v>
      </c>
      <c r="E4288" s="28" t="s">
        <v>11547</v>
      </c>
      <c r="F4288" s="7" t="str">
        <f>IFERROR(__xludf.DUMMYFUNCTION("GOOGLETRANSLATE(B4288:B5064,""en"",""fr"")"),"gamme")</f>
        <v>gamme</v>
      </c>
    </row>
    <row r="4289" ht="19.5" customHeight="1">
      <c r="A4289" s="26" t="s">
        <v>11548</v>
      </c>
      <c r="B4289" s="27" t="s">
        <v>11549</v>
      </c>
      <c r="C4289" s="28" t="s">
        <v>134</v>
      </c>
      <c r="D4289" s="29">
        <v>44.0</v>
      </c>
      <c r="E4289" s="28" t="s">
        <v>11550</v>
      </c>
      <c r="F4289" s="7" t="str">
        <f>IFERROR(__xludf.DUMMYFUNCTION("GOOGLETRANSLATE(B4289:B5064,""en"",""fr"")"),"sain")</f>
        <v>sain</v>
      </c>
    </row>
    <row r="4290" ht="19.5" customHeight="1">
      <c r="A4290" s="26" t="s">
        <v>11551</v>
      </c>
      <c r="B4290" s="27" t="s">
        <v>11552</v>
      </c>
      <c r="C4290" s="28" t="s">
        <v>178</v>
      </c>
      <c r="D4290" s="29">
        <v>44.0</v>
      </c>
      <c r="E4290" s="28" t="s">
        <v>11553</v>
      </c>
      <c r="F4290" s="7" t="str">
        <f>IFERROR(__xludf.DUMMYFUNCTION("GOOGLETRANSLATE(B4290:B5064,""en"",""fr"")"),"saxophone")</f>
        <v>saxophone</v>
      </c>
    </row>
    <row r="4291" ht="19.5" customHeight="1">
      <c r="A4291" s="26" t="s">
        <v>11554</v>
      </c>
      <c r="B4291" s="27" t="s">
        <v>11555</v>
      </c>
      <c r="C4291" s="28" t="s">
        <v>178</v>
      </c>
      <c r="D4291" s="29">
        <v>44.0</v>
      </c>
      <c r="E4291" s="28" t="s">
        <v>11556</v>
      </c>
      <c r="F4291" s="7" t="str">
        <f>IFERROR(__xludf.DUMMYFUNCTION("GOOGLETRANSLATE(B4291:B5064,""en"",""fr"")"),"souriant")</f>
        <v>souriant</v>
      </c>
    </row>
    <row r="4292" ht="19.5" customHeight="1">
      <c r="A4292" s="26" t="s">
        <v>11557</v>
      </c>
      <c r="B4292" s="27" t="s">
        <v>11558</v>
      </c>
      <c r="C4292" s="28" t="s">
        <v>134</v>
      </c>
      <c r="D4292" s="29">
        <v>44.0</v>
      </c>
      <c r="E4292" s="28" t="s">
        <v>11558</v>
      </c>
      <c r="F4292" s="7" t="str">
        <f>IFERROR(__xludf.DUMMYFUNCTION("GOOGLETRANSLATE(B4292:B5064,""en"",""fr"")"),"solaire")</f>
        <v>solaire</v>
      </c>
    </row>
    <row r="4293" ht="19.5" customHeight="1">
      <c r="A4293" s="26" t="s">
        <v>11559</v>
      </c>
      <c r="B4293" s="27" t="s">
        <v>11560</v>
      </c>
      <c r="C4293" s="28" t="s">
        <v>178</v>
      </c>
      <c r="D4293" s="29">
        <v>44.0</v>
      </c>
      <c r="E4293" s="28" t="s">
        <v>11561</v>
      </c>
      <c r="F4293" s="7" t="str">
        <f>IFERROR(__xludf.DUMMYFUNCTION("GOOGLETRANSLATE(B4293:B5064,""en"",""fr"")"),"vaisseau spatial")</f>
        <v>vaisseau spatial</v>
      </c>
    </row>
    <row r="4294" ht="19.5" customHeight="1">
      <c r="A4294" s="26" t="s">
        <v>11562</v>
      </c>
      <c r="B4294" s="27" t="s">
        <v>11563</v>
      </c>
      <c r="C4294" s="28" t="s">
        <v>178</v>
      </c>
      <c r="D4294" s="29">
        <v>44.0</v>
      </c>
      <c r="E4294" s="28" t="s">
        <v>11564</v>
      </c>
      <c r="F4294" s="7" t="str">
        <f>IFERROR(__xludf.DUMMYFUNCTION("GOOGLETRANSLATE(B4294:B5064,""en"",""fr"")"),"tige")</f>
        <v>tige</v>
      </c>
    </row>
    <row r="4295" ht="19.5" customHeight="1">
      <c r="A4295" s="26" t="s">
        <v>11565</v>
      </c>
      <c r="B4295" s="27" t="s">
        <v>11566</v>
      </c>
      <c r="C4295" s="28" t="s">
        <v>32</v>
      </c>
      <c r="D4295" s="29">
        <v>44.0</v>
      </c>
      <c r="E4295" s="28" t="s">
        <v>11567</v>
      </c>
      <c r="F4295" s="7" t="str">
        <f>IFERROR(__xludf.DUMMYFUNCTION("GOOGLETRANSLATE(B4295:B5064,""en"",""fr"")"),"piquer")</f>
        <v>piquer</v>
      </c>
    </row>
    <row r="4296" ht="19.5" customHeight="1">
      <c r="A4296" s="26" t="s">
        <v>11568</v>
      </c>
      <c r="B4296" s="27" t="s">
        <v>11569</v>
      </c>
      <c r="C4296" s="28" t="s">
        <v>178</v>
      </c>
      <c r="D4296" s="29">
        <v>44.0</v>
      </c>
      <c r="E4296" s="28" t="s">
        <v>11569</v>
      </c>
      <c r="F4296" s="7" t="str">
        <f>IFERROR(__xludf.DUMMYFUNCTION("GOOGLETRANSLATE(B4296:B5064,""en"",""fr"")"),"stockage")</f>
        <v>stockage</v>
      </c>
    </row>
    <row r="4297" ht="19.5" customHeight="1">
      <c r="A4297" s="26" t="s">
        <v>11570</v>
      </c>
      <c r="B4297" s="27" t="s">
        <v>11571</v>
      </c>
      <c r="C4297" s="28" t="s">
        <v>178</v>
      </c>
      <c r="D4297" s="29">
        <v>44.0</v>
      </c>
      <c r="E4297" s="28" t="s">
        <v>11572</v>
      </c>
      <c r="F4297" s="7" t="str">
        <f>IFERROR(__xludf.DUMMYFUNCTION("GOOGLETRANSLATE(B4297:B5064,""en"",""fr"")"),"suite")</f>
        <v>suite</v>
      </c>
    </row>
    <row r="4298" ht="19.5" customHeight="1">
      <c r="A4298" s="26" t="s">
        <v>11573</v>
      </c>
      <c r="B4298" s="27" t="s">
        <v>4715</v>
      </c>
      <c r="C4298" s="28" t="s">
        <v>178</v>
      </c>
      <c r="D4298" s="29">
        <v>44.0</v>
      </c>
      <c r="E4298" s="28" t="s">
        <v>11574</v>
      </c>
      <c r="F4298" s="7" t="str">
        <f>IFERROR(__xludf.DUMMYFUNCTION("GOOGLETRANSLATE(B4298:B5064,""en"",""fr"")"),"commerce")</f>
        <v>commerce</v>
      </c>
    </row>
    <row r="4299" ht="19.5" customHeight="1">
      <c r="A4299" s="26" t="s">
        <v>11575</v>
      </c>
      <c r="B4299" s="27" t="s">
        <v>11576</v>
      </c>
      <c r="C4299" s="28" t="s">
        <v>32</v>
      </c>
      <c r="D4299" s="29">
        <v>44.0</v>
      </c>
      <c r="E4299" s="28" t="s">
        <v>11577</v>
      </c>
      <c r="F4299" s="7" t="str">
        <f>IFERROR(__xludf.DUMMYFUNCTION("GOOGLETRANSLATE(B4299:B5064,""en"",""fr"")"),"ouvrir")</f>
        <v>ouvrir</v>
      </c>
    </row>
    <row r="4300" ht="19.5" customHeight="1">
      <c r="A4300" s="26" t="s">
        <v>11578</v>
      </c>
      <c r="B4300" s="27" t="s">
        <v>11579</v>
      </c>
      <c r="C4300" s="28" t="s">
        <v>134</v>
      </c>
      <c r="D4300" s="29">
        <v>44.0</v>
      </c>
      <c r="E4300" s="28" t="s">
        <v>11579</v>
      </c>
      <c r="F4300" s="7" t="str">
        <f>IFERROR(__xludf.DUMMYFUNCTION("GOOGLETRANSLATE(B4300:B5064,""en"",""fr"")"),"urbain")</f>
        <v>urbain</v>
      </c>
    </row>
    <row r="4301" ht="19.5" customHeight="1">
      <c r="A4301" s="26" t="s">
        <v>11580</v>
      </c>
      <c r="B4301" s="27" t="s">
        <v>11581</v>
      </c>
      <c r="C4301" s="28" t="s">
        <v>134</v>
      </c>
      <c r="D4301" s="29">
        <v>44.0</v>
      </c>
      <c r="E4301" s="28" t="s">
        <v>11582</v>
      </c>
      <c r="F4301" s="7" t="str">
        <f>IFERROR(__xludf.DUMMYFUNCTION("GOOGLETRANSLATE(B4301:B5064,""en"",""fr"")"),"farfelu")</f>
        <v>farfelu</v>
      </c>
    </row>
    <row r="4302" ht="19.5" customHeight="1">
      <c r="A4302" s="26" t="s">
        <v>11583</v>
      </c>
      <c r="B4302" s="27" t="s">
        <v>11584</v>
      </c>
      <c r="C4302" s="28" t="s">
        <v>178</v>
      </c>
      <c r="D4302" s="29">
        <v>44.0</v>
      </c>
      <c r="E4302" s="28" t="s">
        <v>11585</v>
      </c>
      <c r="F4302" s="7" t="str">
        <f>IFERROR(__xludf.DUMMYFUNCTION("GOOGLETRANSLATE(B4302:B5064,""en"",""fr"")"),"guerrier")</f>
        <v>guerrier</v>
      </c>
    </row>
    <row r="4303" ht="19.5" customHeight="1">
      <c r="A4303" s="26" t="s">
        <v>11586</v>
      </c>
      <c r="B4303" s="27" t="s">
        <v>11587</v>
      </c>
      <c r="C4303" s="28" t="s">
        <v>728</v>
      </c>
      <c r="D4303" s="29">
        <v>44.0</v>
      </c>
      <c r="E4303" s="28" t="s">
        <v>11587</v>
      </c>
      <c r="F4303" s="7" t="str">
        <f>IFERROR(__xludf.DUMMYFUNCTION("GOOGLETRANSLATE(B4303:B5064,""en"",""fr"")"),"Congrès")</f>
        <v>Congrès</v>
      </c>
    </row>
    <row r="4304" ht="19.5" customHeight="1">
      <c r="A4304" s="26" t="s">
        <v>11588</v>
      </c>
      <c r="B4304" s="27" t="s">
        <v>11589</v>
      </c>
      <c r="C4304" s="28" t="s">
        <v>32</v>
      </c>
      <c r="D4304" s="29">
        <v>43.0</v>
      </c>
      <c r="E4304" s="28" t="s">
        <v>11590</v>
      </c>
      <c r="F4304" s="7" t="str">
        <f>IFERROR(__xludf.DUMMYFUNCTION("GOOGLETRANSLATE(B4304:B5064,""en"",""fr"")"),"adorer")</f>
        <v>adorer</v>
      </c>
    </row>
    <row r="4305" ht="19.5" customHeight="1">
      <c r="A4305" s="26" t="s">
        <v>11591</v>
      </c>
      <c r="B4305" s="27" t="s">
        <v>11592</v>
      </c>
      <c r="C4305" s="28" t="s">
        <v>134</v>
      </c>
      <c r="D4305" s="29">
        <v>43.0</v>
      </c>
      <c r="E4305" s="28" t="s">
        <v>11592</v>
      </c>
      <c r="F4305" s="7" t="str">
        <f>IFERROR(__xludf.DUMMYFUNCTION("GOOGLETRANSLATE(B4305:B5064,""en"",""fr"")"),"agressif")</f>
        <v>agressif</v>
      </c>
    </row>
    <row r="4306" ht="19.5" customHeight="1">
      <c r="A4306" s="26" t="s">
        <v>11593</v>
      </c>
      <c r="B4306" s="27" t="s">
        <v>11594</v>
      </c>
      <c r="C4306" s="28" t="s">
        <v>178</v>
      </c>
      <c r="D4306" s="29">
        <v>43.0</v>
      </c>
      <c r="E4306" s="28" t="s">
        <v>11595</v>
      </c>
      <c r="F4306" s="7" t="str">
        <f>IFERROR(__xludf.DUMMYFUNCTION("GOOGLETRANSLATE(B4306:B5064,""en"",""fr"")"),"balcon")</f>
        <v>balcon</v>
      </c>
    </row>
    <row r="4307" ht="19.5" customHeight="1">
      <c r="A4307" s="26" t="s">
        <v>11596</v>
      </c>
      <c r="B4307" s="27" t="s">
        <v>11597</v>
      </c>
      <c r="C4307" s="28" t="s">
        <v>178</v>
      </c>
      <c r="D4307" s="29">
        <v>43.0</v>
      </c>
      <c r="E4307" s="28" t="s">
        <v>11598</v>
      </c>
      <c r="F4307" s="7" t="str">
        <f>IFERROR(__xludf.DUMMYFUNCTION("GOOGLETRANSLATE(B4307:B5064,""en"",""fr"")"),"faisceau")</f>
        <v>faisceau</v>
      </c>
    </row>
    <row r="4308" ht="19.5" customHeight="1">
      <c r="A4308" s="26" t="s">
        <v>11599</v>
      </c>
      <c r="B4308" s="27" t="s">
        <v>11600</v>
      </c>
      <c r="C4308" s="28" t="s">
        <v>178</v>
      </c>
      <c r="D4308" s="29">
        <v>43.0</v>
      </c>
      <c r="E4308" s="28" t="s">
        <v>11601</v>
      </c>
      <c r="F4308" s="7" t="str">
        <f>IFERROR(__xludf.DUMMYFUNCTION("GOOGLETRANSLATE(B4308:B5064,""en"",""fr"")"),"cappuccino")</f>
        <v>cappuccino</v>
      </c>
    </row>
    <row r="4309" ht="19.5" customHeight="1">
      <c r="A4309" s="26" t="s">
        <v>11602</v>
      </c>
      <c r="B4309" s="27" t="s">
        <v>11603</v>
      </c>
      <c r="C4309" s="28" t="s">
        <v>178</v>
      </c>
      <c r="D4309" s="29">
        <v>43.0</v>
      </c>
      <c r="E4309" s="28" t="s">
        <v>11604</v>
      </c>
      <c r="F4309" s="7" t="str">
        <f>IFERROR(__xludf.DUMMYFUNCTION("GOOGLETRANSLATE(B4309:B5064,""en"",""fr"")"),"charme")</f>
        <v>charme</v>
      </c>
    </row>
    <row r="4310" ht="19.5" customHeight="1">
      <c r="A4310" s="26" t="s">
        <v>11605</v>
      </c>
      <c r="B4310" s="27" t="s">
        <v>11606</v>
      </c>
      <c r="C4310" s="28" t="s">
        <v>178</v>
      </c>
      <c r="D4310" s="29">
        <v>43.0</v>
      </c>
      <c r="E4310" s="28" t="s">
        <v>11607</v>
      </c>
      <c r="F4310" s="7" t="str">
        <f>IFERROR(__xludf.DUMMYFUNCTION("GOOGLETRANSLATE(B4310:B5064,""en"",""fr"")"),"coq")</f>
        <v>coq</v>
      </c>
    </row>
    <row r="4311" ht="19.5" customHeight="1">
      <c r="A4311" s="26" t="s">
        <v>11608</v>
      </c>
      <c r="B4311" s="27" t="s">
        <v>11609</v>
      </c>
      <c r="C4311" s="28" t="s">
        <v>32</v>
      </c>
      <c r="D4311" s="29">
        <v>43.0</v>
      </c>
      <c r="E4311" s="28" t="s">
        <v>11610</v>
      </c>
      <c r="F4311" s="7" t="str">
        <f>IFERROR(__xludf.DUMMYFUNCTION("GOOGLETRANSLATE(B4311:B5064,""en"",""fr"")"),"consommer")</f>
        <v>consommer</v>
      </c>
    </row>
    <row r="4312" ht="19.5" customHeight="1">
      <c r="A4312" s="26" t="s">
        <v>11611</v>
      </c>
      <c r="B4312" s="27" t="s">
        <v>11612</v>
      </c>
      <c r="C4312" s="28" t="s">
        <v>32</v>
      </c>
      <c r="D4312" s="29">
        <v>43.0</v>
      </c>
      <c r="E4312" s="28" t="s">
        <v>11613</v>
      </c>
      <c r="F4312" s="7" t="str">
        <f>IFERROR(__xludf.DUMMYFUNCTION("GOOGLETRANSLATE(B4312:B5064,""en"",""fr"")"),"manivelle")</f>
        <v>manivelle</v>
      </c>
    </row>
    <row r="4313" ht="19.5" customHeight="1">
      <c r="A4313" s="26" t="s">
        <v>11614</v>
      </c>
      <c r="B4313" s="27" t="s">
        <v>3801</v>
      </c>
      <c r="C4313" s="28" t="s">
        <v>32</v>
      </c>
      <c r="D4313" s="29">
        <v>43.0</v>
      </c>
      <c r="E4313" s="28" t="s">
        <v>11615</v>
      </c>
      <c r="F4313" s="7" t="str">
        <f>IFERROR(__xludf.DUMMYFUNCTION("GOOGLETRANSLATE(B4313:B5064,""en"",""fr"")"),"canard")</f>
        <v>canard</v>
      </c>
    </row>
    <row r="4314" ht="19.5" customHeight="1">
      <c r="A4314" s="26" t="s">
        <v>11616</v>
      </c>
      <c r="B4314" s="27" t="s">
        <v>11617</v>
      </c>
      <c r="C4314" s="28" t="s">
        <v>728</v>
      </c>
      <c r="D4314" s="29">
        <v>43.0</v>
      </c>
      <c r="E4314" s="28" t="s">
        <v>11618</v>
      </c>
      <c r="F4314" s="7" t="str">
        <f>IFERROR(__xludf.DUMMYFUNCTION("GOOGLETRANSLATE(B4314:B5064,""en"",""fr"")"),"européen")</f>
        <v>européen</v>
      </c>
    </row>
    <row r="4315" ht="19.5" customHeight="1">
      <c r="A4315" s="26" t="s">
        <v>11619</v>
      </c>
      <c r="B4315" s="27" t="s">
        <v>11620</v>
      </c>
      <c r="C4315" s="28" t="s">
        <v>178</v>
      </c>
      <c r="D4315" s="29">
        <v>43.0</v>
      </c>
      <c r="E4315" s="28" t="s">
        <v>11621</v>
      </c>
      <c r="F4315" s="7" t="str">
        <f>IFERROR(__xludf.DUMMYFUNCTION("GOOGLETRANSLATE(B4315:B5064,""en"",""fr"")"),"FATSO")</f>
        <v>FATSO</v>
      </c>
    </row>
    <row r="4316" ht="19.5" customHeight="1">
      <c r="A4316" s="26" t="s">
        <v>11622</v>
      </c>
      <c r="B4316" s="27" t="s">
        <v>11623</v>
      </c>
      <c r="C4316" s="28" t="s">
        <v>178</v>
      </c>
      <c r="D4316" s="29">
        <v>43.0</v>
      </c>
      <c r="E4316" s="28" t="s">
        <v>11624</v>
      </c>
      <c r="F4316" s="7" t="str">
        <f>IFERROR(__xludf.DUMMYFUNCTION("GOOGLETRANSLATE(B4316:B5064,""en"",""fr"")"),"fiction")</f>
        <v>fiction</v>
      </c>
    </row>
    <row r="4317" ht="19.5" customHeight="1">
      <c r="A4317" s="26" t="s">
        <v>11625</v>
      </c>
      <c r="B4317" s="27" t="s">
        <v>11626</v>
      </c>
      <c r="C4317" s="28" t="s">
        <v>178</v>
      </c>
      <c r="D4317" s="29">
        <v>43.0</v>
      </c>
      <c r="E4317" s="28" t="s">
        <v>11626</v>
      </c>
      <c r="F4317" s="7" t="str">
        <f>IFERROR(__xludf.DUMMYFUNCTION("GOOGLETRANSLATE(B4317:B5064,""en"",""fr"")"),"quartier général")</f>
        <v>quartier général</v>
      </c>
    </row>
    <row r="4318" ht="19.5" customHeight="1">
      <c r="A4318" s="26" t="s">
        <v>11627</v>
      </c>
      <c r="B4318" s="27" t="s">
        <v>11628</v>
      </c>
      <c r="C4318" s="28" t="s">
        <v>178</v>
      </c>
      <c r="D4318" s="29">
        <v>43.0</v>
      </c>
      <c r="E4318" s="28" t="s">
        <v>11629</v>
      </c>
      <c r="F4318" s="7" t="str">
        <f>IFERROR(__xludf.DUMMYFUNCTION("GOOGLETRANSLATE(B4318:B5064,""en"",""fr"")"),"titulaire")</f>
        <v>titulaire</v>
      </c>
    </row>
    <row r="4319" ht="19.5" customHeight="1">
      <c r="A4319" s="26" t="s">
        <v>11630</v>
      </c>
      <c r="B4319" s="27" t="s">
        <v>11631</v>
      </c>
      <c r="C4319" s="28" t="s">
        <v>178</v>
      </c>
      <c r="D4319" s="29">
        <v>43.0</v>
      </c>
      <c r="E4319" s="28" t="s">
        <v>11632</v>
      </c>
      <c r="F4319" s="7" t="str">
        <f>IFERROR(__xludf.DUMMYFUNCTION("GOOGLETRANSLATE(B4319:B5064,""en"",""fr"")"),"revenu")</f>
        <v>revenu</v>
      </c>
    </row>
    <row r="4320" ht="19.5" customHeight="1">
      <c r="A4320" s="26" t="s">
        <v>11633</v>
      </c>
      <c r="B4320" s="27" t="s">
        <v>11634</v>
      </c>
      <c r="C4320" s="28" t="s">
        <v>178</v>
      </c>
      <c r="D4320" s="29">
        <v>43.0</v>
      </c>
      <c r="E4320" s="28" t="s">
        <v>11635</v>
      </c>
      <c r="F4320" s="7" t="str">
        <f>IFERROR(__xludf.DUMMYFUNCTION("GOOGLETRANSLATE(B4320:B5064,""en"",""fr"")"),"encre")</f>
        <v>encre</v>
      </c>
    </row>
    <row r="4321" ht="19.5" customHeight="1">
      <c r="A4321" s="26" t="s">
        <v>11636</v>
      </c>
      <c r="B4321" s="27" t="s">
        <v>11637</v>
      </c>
      <c r="C4321" s="28" t="s">
        <v>178</v>
      </c>
      <c r="D4321" s="29">
        <v>43.0</v>
      </c>
      <c r="E4321" s="28" t="s">
        <v>11638</v>
      </c>
      <c r="F4321" s="7" t="str">
        <f>IFERROR(__xludf.DUMMYFUNCTION("GOOGLETRANSLATE(B4321:B5064,""en"",""fr"")"),"instrument")</f>
        <v>instrument</v>
      </c>
    </row>
    <row r="4322" ht="19.5" customHeight="1">
      <c r="A4322" s="26" t="s">
        <v>11639</v>
      </c>
      <c r="B4322" s="27" t="s">
        <v>11640</v>
      </c>
      <c r="C4322" s="28" t="s">
        <v>32</v>
      </c>
      <c r="D4322" s="29">
        <v>43.0</v>
      </c>
      <c r="E4322" s="28" t="s">
        <v>11641</v>
      </c>
      <c r="F4322" s="7" t="str">
        <f>IFERROR(__xludf.DUMMYFUNCTION("GOOGLETRANSLATE(B4322:B5064,""en"",""fr"")"),"porte-poisse")</f>
        <v>porte-poisse</v>
      </c>
    </row>
    <row r="4323" ht="19.5" customHeight="1">
      <c r="A4323" s="26" t="s">
        <v>11642</v>
      </c>
      <c r="B4323" s="27" t="s">
        <v>11643</v>
      </c>
      <c r="C4323" s="28" t="s">
        <v>100</v>
      </c>
      <c r="D4323" s="29">
        <v>43.0</v>
      </c>
      <c r="E4323" s="28" t="s">
        <v>11643</v>
      </c>
      <c r="F4323" s="7" t="str">
        <f>IFERROR(__xludf.DUMMYFUNCTION("GOOGLETRANSLATE(B4323:B5064,""en"",""fr"")"),"gentiment")</f>
        <v>gentiment</v>
      </c>
    </row>
    <row r="4324" ht="19.5" customHeight="1">
      <c r="A4324" s="26" t="s">
        <v>11644</v>
      </c>
      <c r="B4324" s="27" t="s">
        <v>11645</v>
      </c>
      <c r="C4324" s="28" t="s">
        <v>178</v>
      </c>
      <c r="D4324" s="29">
        <v>43.0</v>
      </c>
      <c r="E4324" s="28" t="s">
        <v>11646</v>
      </c>
      <c r="F4324" s="7" t="str">
        <f>IFERROR(__xludf.DUMMYFUNCTION("GOOGLETRANSLATE(B4324:B5064,""en"",""fr"")"),"liquide")</f>
        <v>liquide</v>
      </c>
    </row>
    <row r="4325" ht="19.5" customHeight="1">
      <c r="A4325" s="26" t="s">
        <v>11647</v>
      </c>
      <c r="B4325" s="27" t="s">
        <v>11648</v>
      </c>
      <c r="C4325" s="28" t="s">
        <v>178</v>
      </c>
      <c r="D4325" s="29">
        <v>43.0</v>
      </c>
      <c r="E4325" s="28" t="s">
        <v>11649</v>
      </c>
      <c r="F4325" s="7" t="str">
        <f>IFERROR(__xludf.DUMMYFUNCTION("GOOGLETRANSLATE(B4325:B5064,""en"",""fr"")"),"grumeau")</f>
        <v>grumeau</v>
      </c>
    </row>
    <row r="4326" ht="19.5" customHeight="1">
      <c r="A4326" s="26" t="s">
        <v>11650</v>
      </c>
      <c r="B4326" s="27" t="s">
        <v>11651</v>
      </c>
      <c r="C4326" s="28" t="s">
        <v>178</v>
      </c>
      <c r="D4326" s="29">
        <v>43.0</v>
      </c>
      <c r="E4326" s="28" t="s">
        <v>11652</v>
      </c>
      <c r="F4326" s="7" t="str">
        <f>IFERROR(__xludf.DUMMYFUNCTION("GOOGLETRANSLATE(B4326:B5064,""en"",""fr"")"),"aimant")</f>
        <v>aimant</v>
      </c>
    </row>
    <row r="4327" ht="19.5" customHeight="1">
      <c r="A4327" s="26" t="s">
        <v>11653</v>
      </c>
      <c r="B4327" s="27" t="s">
        <v>2947</v>
      </c>
      <c r="C4327" s="28" t="s">
        <v>32</v>
      </c>
      <c r="D4327" s="29">
        <v>43.0</v>
      </c>
      <c r="E4327" s="28" t="s">
        <v>11654</v>
      </c>
      <c r="F4327" s="7" t="str">
        <f>IFERROR(__xludf.DUMMYFUNCTION("GOOGLETRANSLATE(B4327:B5064,""en"",""fr"")"),"mail")</f>
        <v>mail</v>
      </c>
    </row>
    <row r="4328" ht="19.5" customHeight="1">
      <c r="A4328" s="26" t="s">
        <v>11655</v>
      </c>
      <c r="B4328" s="27" t="s">
        <v>11656</v>
      </c>
      <c r="C4328" s="28" t="s">
        <v>178</v>
      </c>
      <c r="D4328" s="29">
        <v>43.0</v>
      </c>
      <c r="E4328" s="28" t="s">
        <v>11657</v>
      </c>
      <c r="F4328" s="7" t="str">
        <f>IFERROR(__xludf.DUMMYFUNCTION("GOOGLETRANSLATE(B4328:B5064,""en"",""fr"")"),"commercialisation")</f>
        <v>commercialisation</v>
      </c>
    </row>
    <row r="4329" ht="19.5" customHeight="1">
      <c r="A4329" s="26" t="s">
        <v>11658</v>
      </c>
      <c r="B4329" s="27" t="s">
        <v>11659</v>
      </c>
      <c r="C4329" s="28" t="s">
        <v>100</v>
      </c>
      <c r="D4329" s="29">
        <v>43.0</v>
      </c>
      <c r="E4329" s="28" t="s">
        <v>11659</v>
      </c>
      <c r="F4329" s="7" t="str">
        <f>IFERROR(__xludf.DUMMYFUNCTION("GOOGLETRANSLATE(B4329:B5064,""en"",""fr"")"),"initialement")</f>
        <v>initialement</v>
      </c>
    </row>
    <row r="4330" ht="19.5" customHeight="1">
      <c r="A4330" s="26" t="s">
        <v>11660</v>
      </c>
      <c r="B4330" s="27" t="s">
        <v>11661</v>
      </c>
      <c r="C4330" s="28" t="s">
        <v>85</v>
      </c>
      <c r="D4330" s="29">
        <v>43.0</v>
      </c>
      <c r="E4330" s="28" t="s">
        <v>11661</v>
      </c>
      <c r="F4330" s="7" t="str">
        <f>IFERROR(__xludf.DUMMYFUNCTION("GOOGLETRANSLATE(B4330:B5064,""en"",""fr"")"),"pfft")</f>
        <v>pfft</v>
      </c>
    </row>
    <row r="4331" ht="19.5" customHeight="1">
      <c r="A4331" s="26" t="s">
        <v>11662</v>
      </c>
      <c r="B4331" s="27" t="s">
        <v>11663</v>
      </c>
      <c r="C4331" s="28" t="s">
        <v>178</v>
      </c>
      <c r="D4331" s="29">
        <v>43.0</v>
      </c>
      <c r="E4331" s="28" t="s">
        <v>11664</v>
      </c>
      <c r="F4331" s="7" t="str">
        <f>IFERROR(__xludf.DUMMYFUNCTION("GOOGLETRANSLATE(B4331:B5064,""en"",""fr"")"),"porcin")</f>
        <v>porcin</v>
      </c>
    </row>
    <row r="4332" ht="19.5" customHeight="1">
      <c r="A4332" s="26" t="s">
        <v>11665</v>
      </c>
      <c r="B4332" s="27" t="s">
        <v>11666</v>
      </c>
      <c r="C4332" s="28" t="s">
        <v>178</v>
      </c>
      <c r="D4332" s="29">
        <v>43.0</v>
      </c>
      <c r="E4332" s="28" t="s">
        <v>11667</v>
      </c>
      <c r="F4332" s="7" t="str">
        <f>IFERROR(__xludf.DUMMYFUNCTION("GOOGLETRANSLATE(B4332:B5064,""en"",""fr"")"),"ananas")</f>
        <v>ananas</v>
      </c>
    </row>
    <row r="4333" ht="19.5" customHeight="1">
      <c r="A4333" s="26" t="s">
        <v>11668</v>
      </c>
      <c r="B4333" s="27" t="s">
        <v>11669</v>
      </c>
      <c r="C4333" s="28" t="s">
        <v>178</v>
      </c>
      <c r="D4333" s="29">
        <v>43.0</v>
      </c>
      <c r="E4333" s="28" t="s">
        <v>11670</v>
      </c>
      <c r="F4333" s="7" t="str">
        <f>IFERROR(__xludf.DUMMYFUNCTION("GOOGLETRANSLATE(B4333:B5064,""en"",""fr"")"),"caca")</f>
        <v>caca</v>
      </c>
    </row>
    <row r="4334" ht="19.5" customHeight="1">
      <c r="A4334" s="26" t="s">
        <v>11671</v>
      </c>
      <c r="B4334" s="27" t="s">
        <v>11672</v>
      </c>
      <c r="C4334" s="28" t="s">
        <v>178</v>
      </c>
      <c r="D4334" s="29">
        <v>43.0</v>
      </c>
      <c r="E4334" s="28" t="s">
        <v>11673</v>
      </c>
      <c r="F4334" s="7" t="str">
        <f>IFERROR(__xludf.DUMMYFUNCTION("GOOGLETRANSLATE(B4334:B5064,""en"",""fr"")"),"porche")</f>
        <v>porche</v>
      </c>
    </row>
    <row r="4335" ht="19.5" customHeight="1">
      <c r="A4335" s="26" t="s">
        <v>11674</v>
      </c>
      <c r="B4335" s="27" t="s">
        <v>11675</v>
      </c>
      <c r="C4335" s="28" t="s">
        <v>32</v>
      </c>
      <c r="D4335" s="29">
        <v>43.0</v>
      </c>
      <c r="E4335" s="28" t="s">
        <v>11676</v>
      </c>
      <c r="F4335" s="7" t="str">
        <f>IFERROR(__xludf.DUMMYFUNCTION("GOOGLETRANSLATE(B4335:B5064,""en"",""fr"")"),"prédire")</f>
        <v>prédire</v>
      </c>
    </row>
    <row r="4336" ht="19.5" customHeight="1">
      <c r="A4336" s="26" t="s">
        <v>11677</v>
      </c>
      <c r="B4336" s="27" t="s">
        <v>11678</v>
      </c>
      <c r="C4336" s="28" t="s">
        <v>134</v>
      </c>
      <c r="D4336" s="29">
        <v>43.0</v>
      </c>
      <c r="E4336" s="28" t="s">
        <v>11678</v>
      </c>
      <c r="F4336" s="7" t="str">
        <f>IFERROR(__xludf.DUMMYFUNCTION("GOOGLETRANSLATE(B4336:B5064,""en"",""fr"")"),"inestimable")</f>
        <v>inestimable</v>
      </c>
    </row>
    <row r="4337" ht="19.5" customHeight="1">
      <c r="A4337" s="26" t="s">
        <v>11679</v>
      </c>
      <c r="B4337" s="27" t="s">
        <v>11680</v>
      </c>
      <c r="C4337" s="28" t="s">
        <v>178</v>
      </c>
      <c r="D4337" s="29">
        <v>43.0</v>
      </c>
      <c r="E4337" s="28" t="s">
        <v>11681</v>
      </c>
      <c r="F4337" s="7" t="str">
        <f>IFERROR(__xludf.DUMMYFUNCTION("GOOGLETRANSLATE(B4337:B5064,""en"",""fr"")"),"priorité")</f>
        <v>priorité</v>
      </c>
    </row>
    <row r="4338" ht="19.5" customHeight="1">
      <c r="A4338" s="26" t="s">
        <v>11682</v>
      </c>
      <c r="B4338" s="27" t="s">
        <v>2761</v>
      </c>
      <c r="C4338" s="28" t="s">
        <v>178</v>
      </c>
      <c r="D4338" s="29">
        <v>43.0</v>
      </c>
      <c r="E4338" s="28" t="s">
        <v>11683</v>
      </c>
      <c r="F4338" s="7" t="str">
        <f>IFERROR(__xludf.DUMMYFUNCTION("GOOGLETRANSLATE(B4338:B5064,""en"",""fr"")"),"publique")</f>
        <v>publique</v>
      </c>
    </row>
    <row r="4339" ht="19.5" customHeight="1">
      <c r="A4339" s="26" t="s">
        <v>11684</v>
      </c>
      <c r="B4339" s="27" t="s">
        <v>11685</v>
      </c>
      <c r="C4339" s="28" t="s">
        <v>178</v>
      </c>
      <c r="D4339" s="29">
        <v>43.0</v>
      </c>
      <c r="E4339" s="28" t="s">
        <v>11686</v>
      </c>
      <c r="F4339" s="7" t="str">
        <f>IFERROR(__xludf.DUMMYFUNCTION("GOOGLETRANSLATE(B4339:B5064,""en"",""fr"")"),"rampe")</f>
        <v>rampe</v>
      </c>
    </row>
    <row r="4340" ht="19.5" customHeight="1">
      <c r="A4340" s="26" t="s">
        <v>11687</v>
      </c>
      <c r="B4340" s="27" t="s">
        <v>11688</v>
      </c>
      <c r="C4340" s="28" t="s">
        <v>178</v>
      </c>
      <c r="D4340" s="29">
        <v>43.0</v>
      </c>
      <c r="E4340" s="28" t="s">
        <v>11689</v>
      </c>
      <c r="F4340" s="7" t="str">
        <f>IFERROR(__xludf.DUMMYFUNCTION("GOOGLETRANSLATE(B4340:B5064,""en"",""fr"")"),"reçu")</f>
        <v>reçu</v>
      </c>
    </row>
    <row r="4341" ht="19.5" customHeight="1">
      <c r="A4341" s="26" t="s">
        <v>11690</v>
      </c>
      <c r="B4341" s="27" t="s">
        <v>11691</v>
      </c>
      <c r="C4341" s="28" t="s">
        <v>134</v>
      </c>
      <c r="D4341" s="29">
        <v>43.0</v>
      </c>
      <c r="E4341" s="28" t="s">
        <v>11692</v>
      </c>
      <c r="F4341" s="7" t="str">
        <f>IFERROR(__xludf.DUMMYFUNCTION("GOOGLETRANSLATE(B4341:B5064,""en"",""fr"")"),"rouillé")</f>
        <v>rouillé</v>
      </c>
    </row>
    <row r="4342" ht="19.5" customHeight="1">
      <c r="A4342" s="26" t="s">
        <v>11693</v>
      </c>
      <c r="B4342" s="27" t="s">
        <v>11694</v>
      </c>
      <c r="C4342" s="28" t="s">
        <v>178</v>
      </c>
      <c r="D4342" s="29">
        <v>43.0</v>
      </c>
      <c r="E4342" s="28" t="s">
        <v>11695</v>
      </c>
      <c r="F4342" s="7" t="str">
        <f>IFERROR(__xludf.DUMMYFUNCTION("GOOGLETRANSLATE(B4342:B5064,""en"",""fr"")"),"sandale")</f>
        <v>sandale</v>
      </c>
    </row>
    <row r="4343" ht="19.5" customHeight="1">
      <c r="A4343" s="26" t="s">
        <v>11696</v>
      </c>
      <c r="B4343" s="27" t="s">
        <v>11697</v>
      </c>
      <c r="C4343" s="28" t="s">
        <v>32</v>
      </c>
      <c r="D4343" s="29">
        <v>43.0</v>
      </c>
      <c r="E4343" s="28" t="s">
        <v>11698</v>
      </c>
      <c r="F4343" s="7" t="str">
        <f>IFERROR(__xludf.DUMMYFUNCTION("GOOGLETRANSLATE(B4343:B5064,""en"",""fr"")"),"saisir")</f>
        <v>saisir</v>
      </c>
    </row>
    <row r="4344" ht="19.5" customHeight="1">
      <c r="A4344" s="26" t="s">
        <v>11699</v>
      </c>
      <c r="B4344" s="27" t="s">
        <v>11700</v>
      </c>
      <c r="C4344" s="28" t="s">
        <v>178</v>
      </c>
      <c r="D4344" s="29">
        <v>43.0</v>
      </c>
      <c r="E4344" s="28" t="s">
        <v>11701</v>
      </c>
      <c r="F4344" s="7" t="str">
        <f>IFERROR(__xludf.DUMMYFUNCTION("GOOGLETRANSLATE(B4344:B5064,""en"",""fr"")"),"serviteur")</f>
        <v>serviteur</v>
      </c>
    </row>
    <row r="4345" ht="19.5" customHeight="1">
      <c r="A4345" s="26" t="s">
        <v>11702</v>
      </c>
      <c r="B4345" s="27" t="s">
        <v>10164</v>
      </c>
      <c r="C4345" s="28" t="s">
        <v>32</v>
      </c>
      <c r="D4345" s="29">
        <v>43.0</v>
      </c>
      <c r="E4345" s="28" t="s">
        <v>11703</v>
      </c>
      <c r="F4345" s="7" t="str">
        <f>IFERROR(__xludf.DUMMYFUNCTION("GOOGLETRANSLATE(B4345:B5064,""en"",""fr"")"),"rétrécir")</f>
        <v>rétrécir</v>
      </c>
    </row>
    <row r="4346" ht="19.5" customHeight="1">
      <c r="A4346" s="26" t="s">
        <v>11704</v>
      </c>
      <c r="B4346" s="27" t="s">
        <v>11705</v>
      </c>
      <c r="C4346" s="28" t="s">
        <v>178</v>
      </c>
      <c r="D4346" s="29">
        <v>43.0</v>
      </c>
      <c r="E4346" s="28" t="s">
        <v>11706</v>
      </c>
      <c r="F4346" s="7" t="str">
        <f>IFERROR(__xludf.DUMMYFUNCTION("GOOGLETRANSLATE(B4346:B5064,""en"",""fr"")"),"trottoir")</f>
        <v>trottoir</v>
      </c>
    </row>
    <row r="4347" ht="19.5" customHeight="1">
      <c r="A4347" s="26" t="s">
        <v>11707</v>
      </c>
      <c r="B4347" s="27" t="s">
        <v>11708</v>
      </c>
      <c r="C4347" s="28" t="s">
        <v>134</v>
      </c>
      <c r="D4347" s="29">
        <v>43.0</v>
      </c>
      <c r="E4347" s="28" t="s">
        <v>11708</v>
      </c>
      <c r="F4347" s="7" t="str">
        <f>IFERROR(__xludf.DUMMYFUNCTION("GOOGLETRANSLATE(B4347:B5064,""en"",""fr"")"),"significatif")</f>
        <v>significatif</v>
      </c>
    </row>
    <row r="4348" ht="19.5" customHeight="1">
      <c r="A4348" s="26" t="s">
        <v>11709</v>
      </c>
      <c r="B4348" s="27" t="s">
        <v>11710</v>
      </c>
      <c r="C4348" s="28" t="s">
        <v>32</v>
      </c>
      <c r="D4348" s="29">
        <v>43.0</v>
      </c>
      <c r="E4348" s="28" t="s">
        <v>11711</v>
      </c>
      <c r="F4348" s="7" t="str">
        <f>IFERROR(__xludf.DUMMYFUNCTION("GOOGLETRANSLATE(B4348:B5064,""en"",""fr"")"),"abattage")</f>
        <v>abattage</v>
      </c>
    </row>
    <row r="4349" ht="19.5" customHeight="1">
      <c r="A4349" s="26" t="s">
        <v>11712</v>
      </c>
      <c r="B4349" s="27" t="s">
        <v>11713</v>
      </c>
      <c r="C4349" s="28" t="s">
        <v>178</v>
      </c>
      <c r="D4349" s="29">
        <v>43.0</v>
      </c>
      <c r="E4349" s="28" t="s">
        <v>11714</v>
      </c>
      <c r="F4349" s="7" t="str">
        <f>IFERROR(__xludf.DUMMYFUNCTION("GOOGLETRANSLATE(B4349:B5064,""en"",""fr"")"),"colonne vertébrale")</f>
        <v>colonne vertébrale</v>
      </c>
    </row>
    <row r="4350" ht="19.5" customHeight="1">
      <c r="A4350" s="26" t="s">
        <v>11715</v>
      </c>
      <c r="B4350" s="27" t="s">
        <v>11716</v>
      </c>
      <c r="C4350" s="28" t="s">
        <v>134</v>
      </c>
      <c r="D4350" s="29">
        <v>43.0</v>
      </c>
      <c r="E4350" s="28" t="s">
        <v>11717</v>
      </c>
      <c r="F4350" s="7" t="str">
        <f>IFERROR(__xludf.DUMMYFUNCTION("GOOGLETRANSLATE(B4350:B5064,""en"",""fr"")"),"têtu")</f>
        <v>têtu</v>
      </c>
    </row>
    <row r="4351" ht="19.5" customHeight="1">
      <c r="A4351" s="26" t="s">
        <v>11718</v>
      </c>
      <c r="B4351" s="27" t="s">
        <v>11719</v>
      </c>
      <c r="C4351" s="28" t="s">
        <v>32</v>
      </c>
      <c r="D4351" s="29">
        <v>43.0</v>
      </c>
      <c r="E4351" s="28" t="s">
        <v>11720</v>
      </c>
      <c r="F4351" s="7" t="str">
        <f>IFERROR(__xludf.DUMMYFUNCTION("GOOGLETRANSLATE(B4351:B5064,""en"",""fr"")"),"trébucher")</f>
        <v>trébucher</v>
      </c>
    </row>
    <row r="4352" ht="19.5" customHeight="1">
      <c r="A4352" s="26" t="s">
        <v>11721</v>
      </c>
      <c r="B4352" s="27" t="s">
        <v>1441</v>
      </c>
      <c r="C4352" s="28" t="s">
        <v>32</v>
      </c>
      <c r="D4352" s="29">
        <v>43.0</v>
      </c>
      <c r="E4352" s="28" t="s">
        <v>11722</v>
      </c>
      <c r="F4352" s="7" t="str">
        <f>IFERROR(__xludf.DUMMYFUNCTION("GOOGLETRANSLATE(B4352:B5064,""en"",""fr"")"),"inquiéter")</f>
        <v>inquiéter</v>
      </c>
    </row>
    <row r="4353" ht="19.5" customHeight="1">
      <c r="A4353" s="26" t="s">
        <v>11723</v>
      </c>
      <c r="B4353" s="27" t="s">
        <v>1993</v>
      </c>
      <c r="C4353" s="28" t="s">
        <v>32</v>
      </c>
      <c r="D4353" s="29">
        <v>43.0</v>
      </c>
      <c r="E4353" s="28" t="s">
        <v>11724</v>
      </c>
      <c r="F4353" s="7" t="str">
        <f>IFERROR(__xludf.DUMMYFUNCTION("GOOGLETRANSLATE(B4353:B5064,""en"",""fr"")"),"bouleversé")</f>
        <v>bouleversé</v>
      </c>
    </row>
    <row r="4354" ht="19.5" customHeight="1">
      <c r="A4354" s="26" t="s">
        <v>11725</v>
      </c>
      <c r="B4354" s="27" t="s">
        <v>11726</v>
      </c>
      <c r="C4354" s="28" t="s">
        <v>178</v>
      </c>
      <c r="D4354" s="29">
        <v>43.0</v>
      </c>
      <c r="E4354" s="28" t="s">
        <v>11727</v>
      </c>
      <c r="F4354" s="7" t="str">
        <f>IFERROR(__xludf.DUMMYFUNCTION("GOOGLETRANSLATE(B4354:B5064,""en"",""fr"")"),"exhorter")</f>
        <v>exhorter</v>
      </c>
    </row>
    <row r="4355" ht="19.5" customHeight="1">
      <c r="A4355" s="26" t="s">
        <v>11728</v>
      </c>
      <c r="B4355" s="27" t="s">
        <v>11729</v>
      </c>
      <c r="C4355" s="28" t="s">
        <v>134</v>
      </c>
      <c r="D4355" s="29">
        <v>43.0</v>
      </c>
      <c r="E4355" s="28" t="s">
        <v>11729</v>
      </c>
      <c r="F4355" s="7" t="str">
        <f>IFERROR(__xludf.DUMMYFUNCTION("GOOGLETRANSLATE(B4355:B5064,""en"",""fr"")"),"urgent")</f>
        <v>urgent</v>
      </c>
    </row>
    <row r="4356" ht="19.5" customHeight="1">
      <c r="A4356" s="26" t="s">
        <v>11730</v>
      </c>
      <c r="B4356" s="27" t="s">
        <v>11731</v>
      </c>
      <c r="C4356" s="28" t="s">
        <v>178</v>
      </c>
      <c r="D4356" s="29">
        <v>43.0</v>
      </c>
      <c r="E4356" s="28" t="s">
        <v>11732</v>
      </c>
      <c r="F4356" s="7" t="str">
        <f>IFERROR(__xludf.DUMMYFUNCTION("GOOGLETRANSLATE(B4356:B5064,""en"",""fr"")"),"veau")</f>
        <v>veau</v>
      </c>
    </row>
    <row r="4357" ht="19.5" customHeight="1">
      <c r="A4357" s="26" t="s">
        <v>11733</v>
      </c>
      <c r="B4357" s="27" t="s">
        <v>11734</v>
      </c>
      <c r="C4357" s="28" t="s">
        <v>32</v>
      </c>
      <c r="D4357" s="29">
        <v>43.0</v>
      </c>
      <c r="E4357" s="28" t="s">
        <v>11735</v>
      </c>
      <c r="F4357" s="7" t="str">
        <f>IFERROR(__xludf.DUMMYFUNCTION("GOOGLETRANSLATE(B4357:B5064,""en"",""fr"")"),"clin d'œil")</f>
        <v>clin d'œil</v>
      </c>
    </row>
    <row r="4358" ht="19.5" customHeight="1">
      <c r="A4358" s="26" t="s">
        <v>11736</v>
      </c>
      <c r="B4358" s="27" t="s">
        <v>11737</v>
      </c>
      <c r="C4358" s="28" t="s">
        <v>178</v>
      </c>
      <c r="D4358" s="29">
        <v>43.0</v>
      </c>
      <c r="E4358" s="28" t="s">
        <v>11738</v>
      </c>
      <c r="F4358" s="7" t="str">
        <f>IFERROR(__xludf.DUMMYFUNCTION("GOOGLETRANSLATE(B4358:B5064,""en"",""fr"")"),"entailler")</f>
        <v>entailler</v>
      </c>
    </row>
    <row r="4359" ht="19.5" customHeight="1">
      <c r="A4359" s="26" t="s">
        <v>11739</v>
      </c>
      <c r="B4359" s="27" t="s">
        <v>11740</v>
      </c>
      <c r="C4359" s="28" t="s">
        <v>178</v>
      </c>
      <c r="D4359" s="29">
        <v>43.0</v>
      </c>
      <c r="E4359" s="28" t="s">
        <v>11741</v>
      </c>
      <c r="F4359" s="7" t="str">
        <f>IFERROR(__xludf.DUMMYFUNCTION("GOOGLETRANSLATE(B4359:B5064,""en"",""fr"")"),"écume")</f>
        <v>écume</v>
      </c>
    </row>
    <row r="4360" ht="19.5" customHeight="1">
      <c r="A4360" s="26" t="s">
        <v>11742</v>
      </c>
      <c r="B4360" s="27" t="s">
        <v>11743</v>
      </c>
      <c r="C4360" s="28" t="s">
        <v>178</v>
      </c>
      <c r="D4360" s="29">
        <v>43.0</v>
      </c>
      <c r="E4360" s="28" t="s">
        <v>11744</v>
      </c>
      <c r="F4360" s="7" t="str">
        <f>IFERROR(__xludf.DUMMYFUNCTION("GOOGLETRANSLATE(B4360:B5064,""en"",""fr"")"),"égout")</f>
        <v>égout</v>
      </c>
    </row>
    <row r="4361" ht="19.5" customHeight="1">
      <c r="A4361" s="26" t="s">
        <v>11745</v>
      </c>
      <c r="B4361" s="27" t="s">
        <v>11746</v>
      </c>
      <c r="C4361" s="28" t="s">
        <v>178</v>
      </c>
      <c r="D4361" s="29">
        <v>43.0</v>
      </c>
      <c r="E4361" s="28" t="s">
        <v>11747</v>
      </c>
      <c r="F4361" s="7" t="str">
        <f>IFERROR(__xludf.DUMMYFUNCTION("GOOGLETRANSLATE(B4361:B5064,""en"",""fr"")"),"marchander")</f>
        <v>marchander</v>
      </c>
    </row>
    <row r="4362" ht="19.5" customHeight="1">
      <c r="A4362" s="26" t="s">
        <v>11748</v>
      </c>
      <c r="B4362" s="27" t="s">
        <v>11749</v>
      </c>
      <c r="C4362" s="28" t="s">
        <v>178</v>
      </c>
      <c r="D4362" s="29">
        <v>43.0</v>
      </c>
      <c r="E4362" s="28" t="s">
        <v>11749</v>
      </c>
      <c r="F4362" s="7" t="str">
        <f>IFERROR(__xludf.DUMMYFUNCTION("GOOGLETRANSLATE(B4362:B5064,""en"",""fr"")"),"conduite")</f>
        <v>conduite</v>
      </c>
    </row>
    <row r="4363" ht="19.5" customHeight="1">
      <c r="A4363" s="26" t="s">
        <v>11750</v>
      </c>
      <c r="B4363" s="27" t="s">
        <v>11751</v>
      </c>
      <c r="C4363" s="28" t="s">
        <v>178</v>
      </c>
      <c r="D4363" s="29">
        <v>43.0</v>
      </c>
      <c r="E4363" s="28" t="s">
        <v>11752</v>
      </c>
      <c r="F4363" s="7" t="str">
        <f>IFERROR(__xludf.DUMMYFUNCTION("GOOGLETRANSLATE(B4363:B5064,""en"",""fr"")"),"remarque")</f>
        <v>remarque</v>
      </c>
    </row>
    <row r="4364" ht="19.5" customHeight="1">
      <c r="A4364" s="26" t="s">
        <v>11753</v>
      </c>
      <c r="B4364" s="27" t="s">
        <v>11754</v>
      </c>
      <c r="C4364" s="28" t="s">
        <v>32</v>
      </c>
      <c r="D4364" s="29">
        <v>42.0</v>
      </c>
      <c r="E4364" s="28" t="s">
        <v>11755</v>
      </c>
      <c r="F4364" s="7" t="str">
        <f>IFERROR(__xludf.DUMMYFUNCTION("GOOGLETRANSLATE(B4364:B5064,""en"",""fr"")"),"avorter")</f>
        <v>avorter</v>
      </c>
    </row>
    <row r="4365" ht="19.5" customHeight="1">
      <c r="A4365" s="26" t="s">
        <v>11756</v>
      </c>
      <c r="B4365" s="27" t="s">
        <v>11757</v>
      </c>
      <c r="C4365" s="28" t="s">
        <v>134</v>
      </c>
      <c r="D4365" s="29">
        <v>42.0</v>
      </c>
      <c r="E4365" s="28" t="s">
        <v>11757</v>
      </c>
      <c r="F4365" s="7" t="str">
        <f>IFERROR(__xludf.DUMMYFUNCTION("GOOGLETRANSLATE(B4365:B5064,""en"",""fr"")"),"actif")</f>
        <v>actif</v>
      </c>
    </row>
    <row r="4366" ht="19.5" customHeight="1">
      <c r="A4366" s="26" t="s">
        <v>11758</v>
      </c>
      <c r="B4366" s="27" t="s">
        <v>11759</v>
      </c>
      <c r="C4366" s="28" t="s">
        <v>178</v>
      </c>
      <c r="D4366" s="29">
        <v>42.0</v>
      </c>
      <c r="E4366" s="28" t="s">
        <v>11760</v>
      </c>
      <c r="F4366" s="7" t="str">
        <f>IFERROR(__xludf.DUMMYFUNCTION("GOOGLETRANSLATE(B4366:B5064,""en"",""fr"")"),"aide")</f>
        <v>aide</v>
      </c>
    </row>
    <row r="4367" ht="19.5" customHeight="1">
      <c r="A4367" s="26" t="s">
        <v>11761</v>
      </c>
      <c r="B4367" s="27" t="s">
        <v>11762</v>
      </c>
      <c r="C4367" s="28" t="s">
        <v>178</v>
      </c>
      <c r="D4367" s="29">
        <v>42.0</v>
      </c>
      <c r="E4367" s="28" t="s">
        <v>11763</v>
      </c>
      <c r="F4367" s="7" t="str">
        <f>IFERROR(__xludf.DUMMYFUNCTION("GOOGLETRANSLATE(B4367:B5064,""en"",""fr"")"),"aspirine")</f>
        <v>aspirine</v>
      </c>
    </row>
    <row r="4368" ht="19.5" customHeight="1">
      <c r="A4368" s="26" t="s">
        <v>11764</v>
      </c>
      <c r="B4368" s="27" t="s">
        <v>11765</v>
      </c>
      <c r="C4368" s="28" t="s">
        <v>178</v>
      </c>
      <c r="D4368" s="29">
        <v>42.0</v>
      </c>
      <c r="E4368" s="28" t="s">
        <v>11766</v>
      </c>
      <c r="F4368" s="7" t="str">
        <f>IFERROR(__xludf.DUMMYFUNCTION("GOOGLETRANSLATE(B4368:B5064,""en"",""fr"")"),"boulangerie")</f>
        <v>boulangerie</v>
      </c>
    </row>
    <row r="4369" ht="19.5" customHeight="1">
      <c r="A4369" s="26" t="s">
        <v>11767</v>
      </c>
      <c r="B4369" s="27" t="s">
        <v>11768</v>
      </c>
      <c r="C4369" s="28" t="s">
        <v>178</v>
      </c>
      <c r="D4369" s="29">
        <v>42.0</v>
      </c>
      <c r="E4369" s="28" t="s">
        <v>11769</v>
      </c>
      <c r="F4369" s="7" t="str">
        <f>IFERROR(__xludf.DUMMYFUNCTION("GOOGLETRANSLATE(B4369:B5064,""en"",""fr"")"),"fanfaron")</f>
        <v>fanfaron</v>
      </c>
    </row>
    <row r="4370" ht="19.5" customHeight="1">
      <c r="A4370" s="26" t="s">
        <v>11770</v>
      </c>
      <c r="B4370" s="27" t="s">
        <v>11771</v>
      </c>
      <c r="C4370" s="28" t="s">
        <v>134</v>
      </c>
      <c r="D4370" s="29">
        <v>42.0</v>
      </c>
      <c r="E4370" s="28" t="s">
        <v>11772</v>
      </c>
      <c r="F4370" s="7" t="str">
        <f>IFERROR(__xludf.DUMMYFUNCTION("GOOGLETRANSLATE(B4370:B5064,""en"",""fr"")"),"audacieux")</f>
        <v>audacieux</v>
      </c>
    </row>
    <row r="4371" ht="19.5" customHeight="1">
      <c r="A4371" s="26" t="s">
        <v>11773</v>
      </c>
      <c r="B4371" s="27" t="s">
        <v>4497</v>
      </c>
      <c r="C4371" s="28" t="s">
        <v>32</v>
      </c>
      <c r="D4371" s="29">
        <v>42.0</v>
      </c>
      <c r="E4371" s="28" t="s">
        <v>11774</v>
      </c>
      <c r="F4371" s="7" t="str">
        <f>IFERROR(__xludf.DUMMYFUNCTION("GOOGLETRANSLATE(B4371:B5064,""en"",""fr"")"),"bombe")</f>
        <v>bombe</v>
      </c>
    </row>
    <row r="4372" ht="19.5" customHeight="1">
      <c r="A4372" s="26" t="s">
        <v>11775</v>
      </c>
      <c r="B4372" s="27" t="s">
        <v>11776</v>
      </c>
      <c r="C4372" s="28" t="s">
        <v>178</v>
      </c>
      <c r="D4372" s="29">
        <v>42.0</v>
      </c>
      <c r="E4372" s="28" t="s">
        <v>11777</v>
      </c>
      <c r="F4372" s="7" t="str">
        <f>IFERROR(__xludf.DUMMYFUNCTION("GOOGLETRANSLATE(B4372:B5064,""en"",""fr"")"),"gosse")</f>
        <v>gosse</v>
      </c>
    </row>
    <row r="4373" ht="19.5" customHeight="1">
      <c r="A4373" s="26" t="s">
        <v>11778</v>
      </c>
      <c r="B4373" s="27" t="s">
        <v>11779</v>
      </c>
      <c r="C4373" s="28" t="s">
        <v>178</v>
      </c>
      <c r="D4373" s="29">
        <v>42.0</v>
      </c>
      <c r="E4373" s="28" t="s">
        <v>11780</v>
      </c>
      <c r="F4373" s="7" t="str">
        <f>IFERROR(__xludf.DUMMYFUNCTION("GOOGLETRANSLATE(B4373:B5064,""en"",""fr"")"),"cimetière")</f>
        <v>cimetière</v>
      </c>
    </row>
    <row r="4374" ht="19.5" customHeight="1">
      <c r="A4374" s="26" t="s">
        <v>11781</v>
      </c>
      <c r="B4374" s="27" t="s">
        <v>11782</v>
      </c>
      <c r="C4374" s="28" t="s">
        <v>32</v>
      </c>
      <c r="D4374" s="29">
        <v>42.0</v>
      </c>
      <c r="E4374" s="28" t="s">
        <v>11783</v>
      </c>
      <c r="F4374" s="7" t="str">
        <f>IFERROR(__xludf.DUMMYFUNCTION("GOOGLETRANSLATE(B4374:B5064,""en"",""fr"")"),"purifier")</f>
        <v>purifier</v>
      </c>
    </row>
    <row r="4375" ht="19.5" customHeight="1">
      <c r="A4375" s="26" t="s">
        <v>11784</v>
      </c>
      <c r="B4375" s="27" t="s">
        <v>11785</v>
      </c>
      <c r="C4375" s="28" t="s">
        <v>178</v>
      </c>
      <c r="D4375" s="29">
        <v>42.0</v>
      </c>
      <c r="E4375" s="28" t="s">
        <v>11786</v>
      </c>
      <c r="F4375" s="7" t="str">
        <f>IFERROR(__xludf.DUMMYFUNCTION("GOOGLETRANSLATE(B4375:B5064,""en"",""fr"")"),"collègue")</f>
        <v>collègue</v>
      </c>
    </row>
    <row r="4376" ht="19.5" customHeight="1">
      <c r="A4376" s="26" t="s">
        <v>11787</v>
      </c>
      <c r="B4376" s="27" t="s">
        <v>11788</v>
      </c>
      <c r="C4376" s="28" t="s">
        <v>178</v>
      </c>
      <c r="D4376" s="29">
        <v>42.0</v>
      </c>
      <c r="E4376" s="28" t="s">
        <v>11789</v>
      </c>
      <c r="F4376" s="7" t="str">
        <f>IFERROR(__xludf.DUMMYFUNCTION("GOOGLETRANSLATE(B4376:B5064,""en"",""fr"")"),"côlon")</f>
        <v>côlon</v>
      </c>
    </row>
    <row r="4377" ht="19.5" customHeight="1">
      <c r="A4377" s="26" t="s">
        <v>11790</v>
      </c>
      <c r="B4377" s="27" t="s">
        <v>11791</v>
      </c>
      <c r="C4377" s="28" t="s">
        <v>178</v>
      </c>
      <c r="D4377" s="29">
        <v>42.0</v>
      </c>
      <c r="E4377" s="28" t="s">
        <v>11792</v>
      </c>
      <c r="F4377" s="7" t="str">
        <f>IFERROR(__xludf.DUMMYFUNCTION("GOOGLETRANSLATE(B4377:B5064,""en"",""fr"")"),"confusion")</f>
        <v>confusion</v>
      </c>
    </row>
    <row r="4378" ht="19.5" customHeight="1">
      <c r="A4378" s="26" t="s">
        <v>11793</v>
      </c>
      <c r="B4378" s="27" t="s">
        <v>11794</v>
      </c>
      <c r="C4378" s="28" t="s">
        <v>32</v>
      </c>
      <c r="D4378" s="29">
        <v>42.0</v>
      </c>
      <c r="E4378" s="28" t="s">
        <v>11795</v>
      </c>
      <c r="F4378" s="7" t="str">
        <f>IFERROR(__xludf.DUMMYFUNCTION("GOOGLETRANSLATE(B4378:B5064,""en"",""fr"")"),"féliciter")</f>
        <v>féliciter</v>
      </c>
    </row>
    <row r="4379" ht="19.5" customHeight="1">
      <c r="A4379" s="26" t="s">
        <v>11796</v>
      </c>
      <c r="B4379" s="27" t="s">
        <v>4155</v>
      </c>
      <c r="C4379" s="28" t="s">
        <v>32</v>
      </c>
      <c r="D4379" s="29">
        <v>42.0</v>
      </c>
      <c r="E4379" s="28" t="s">
        <v>11797</v>
      </c>
      <c r="F4379" s="7" t="str">
        <f>IFERROR(__xludf.DUMMYFUNCTION("GOOGLETRANSLATE(B4379:B5064,""en"",""fr"")"),"contact")</f>
        <v>contact</v>
      </c>
    </row>
    <row r="4380" ht="19.5" customHeight="1">
      <c r="A4380" s="26" t="s">
        <v>11798</v>
      </c>
      <c r="B4380" s="27" t="s">
        <v>11799</v>
      </c>
      <c r="C4380" s="28" t="s">
        <v>178</v>
      </c>
      <c r="D4380" s="29">
        <v>42.0</v>
      </c>
      <c r="E4380" s="28" t="s">
        <v>11800</v>
      </c>
      <c r="F4380" s="7" t="str">
        <f>IFERROR(__xludf.DUMMYFUNCTION("GOOGLETRANSLATE(B4380:B5064,""en"",""fr"")"),"contexte")</f>
        <v>contexte</v>
      </c>
    </row>
    <row r="4381" ht="19.5" customHeight="1">
      <c r="A4381" s="26" t="s">
        <v>11801</v>
      </c>
      <c r="B4381" s="27" t="s">
        <v>11802</v>
      </c>
      <c r="C4381" s="28" t="s">
        <v>178</v>
      </c>
      <c r="D4381" s="29">
        <v>42.0</v>
      </c>
      <c r="E4381" s="28" t="s">
        <v>11802</v>
      </c>
      <c r="F4381" s="7" t="str">
        <f>IFERROR(__xludf.DUMMYFUNCTION("GOOGLETRANSLATE(B4381:B5064,""en"",""fr"")"),"rampe")</f>
        <v>rampe</v>
      </c>
    </row>
    <row r="4382" ht="19.5" customHeight="1">
      <c r="A4382" s="26" t="s">
        <v>11803</v>
      </c>
      <c r="B4382" s="27" t="s">
        <v>5564</v>
      </c>
      <c r="C4382" s="28" t="s">
        <v>178</v>
      </c>
      <c r="D4382" s="29">
        <v>42.0</v>
      </c>
      <c r="E4382" s="28" t="s">
        <v>11804</v>
      </c>
      <c r="F4382" s="7" t="str">
        <f>IFERROR(__xludf.DUMMYFUNCTION("GOOGLETRANSLATE(B4382:B5064,""en"",""fr"")"),"demande")</f>
        <v>demande</v>
      </c>
    </row>
    <row r="4383" ht="19.5" customHeight="1">
      <c r="A4383" s="26" t="s">
        <v>11805</v>
      </c>
      <c r="B4383" s="27" t="s">
        <v>11806</v>
      </c>
      <c r="C4383" s="28" t="s">
        <v>134</v>
      </c>
      <c r="D4383" s="29">
        <v>42.0</v>
      </c>
      <c r="E4383" s="28" t="s">
        <v>11807</v>
      </c>
      <c r="F4383" s="7" t="str">
        <f>IFERROR(__xludf.DUMMYFUNCTION("GOOGLETRANSLATE(B4383:B5064,""en"",""fr"")"),"terne")</f>
        <v>terne</v>
      </c>
    </row>
    <row r="4384" ht="19.5" customHeight="1">
      <c r="A4384" s="26" t="s">
        <v>11808</v>
      </c>
      <c r="B4384" s="27" t="s">
        <v>11809</v>
      </c>
      <c r="C4384" s="28" t="s">
        <v>178</v>
      </c>
      <c r="D4384" s="29">
        <v>42.0</v>
      </c>
      <c r="E4384" s="28" t="s">
        <v>11810</v>
      </c>
      <c r="F4384" s="7" t="str">
        <f>IFERROR(__xludf.DUMMYFUNCTION("GOOGLETRANSLATE(B4384:B5064,""en"",""fr"")"),"ego")</f>
        <v>ego</v>
      </c>
    </row>
    <row r="4385" ht="19.5" customHeight="1">
      <c r="A4385" s="26" t="s">
        <v>11811</v>
      </c>
      <c r="B4385" s="27" t="s">
        <v>11812</v>
      </c>
      <c r="C4385" s="28" t="s">
        <v>178</v>
      </c>
      <c r="D4385" s="29">
        <v>42.0</v>
      </c>
      <c r="E4385" s="28" t="s">
        <v>11813</v>
      </c>
      <c r="F4385" s="7" t="str">
        <f>IFERROR(__xludf.DUMMYFUNCTION("GOOGLETRANSLATE(B4385:B5064,""en"",""fr"")"),"brouillard")</f>
        <v>brouillard</v>
      </c>
    </row>
    <row r="4386" ht="19.5" customHeight="1">
      <c r="A4386" s="26" t="s">
        <v>11814</v>
      </c>
      <c r="B4386" s="27" t="s">
        <v>11815</v>
      </c>
      <c r="C4386" s="28" t="s">
        <v>134</v>
      </c>
      <c r="D4386" s="29">
        <v>42.0</v>
      </c>
      <c r="E4386" s="28" t="s">
        <v>11816</v>
      </c>
      <c r="F4386" s="7" t="str">
        <f>IFERROR(__xludf.DUMMYFUNCTION("GOOGLETRANSLATE(B4386:B5064,""en"",""fr"")"),"flou")</f>
        <v>flou</v>
      </c>
    </row>
    <row r="4387" ht="19.5" customHeight="1">
      <c r="A4387" s="26" t="s">
        <v>11817</v>
      </c>
      <c r="B4387" s="27" t="s">
        <v>11818</v>
      </c>
      <c r="C4387" s="28" t="s">
        <v>178</v>
      </c>
      <c r="D4387" s="29">
        <v>42.0</v>
      </c>
      <c r="E4387" s="28" t="s">
        <v>11819</v>
      </c>
      <c r="F4387" s="7" t="str">
        <f>IFERROR(__xludf.DUMMYFUNCTION("GOOGLETRANSLATE(B4387:B5064,""en"",""fr"")"),"individuel")</f>
        <v>individuel</v>
      </c>
    </row>
    <row r="4388" ht="19.5" customHeight="1">
      <c r="A4388" s="26" t="s">
        <v>11820</v>
      </c>
      <c r="B4388" s="27" t="s">
        <v>11821</v>
      </c>
      <c r="C4388" s="28" t="s">
        <v>134</v>
      </c>
      <c r="D4388" s="29">
        <v>42.0</v>
      </c>
      <c r="E4388" s="28" t="s">
        <v>11821</v>
      </c>
      <c r="F4388" s="7" t="str">
        <f>IFERROR(__xludf.DUMMYFUNCTION("GOOGLETRANSLATE(B4388:B5064,""en"",""fr"")"),"insensible")</f>
        <v>insensible</v>
      </c>
    </row>
    <row r="4389" ht="19.5" customHeight="1">
      <c r="A4389" s="26" t="s">
        <v>11822</v>
      </c>
      <c r="B4389" s="27" t="s">
        <v>11823</v>
      </c>
      <c r="C4389" s="28" t="s">
        <v>178</v>
      </c>
      <c r="D4389" s="29">
        <v>42.0</v>
      </c>
      <c r="E4389" s="28" t="s">
        <v>11824</v>
      </c>
      <c r="F4389" s="7" t="str">
        <f>IFERROR(__xludf.DUMMYFUNCTION("GOOGLETRANSLATE(B4389:B5064,""en"",""fr"")"),"enquête")</f>
        <v>enquête</v>
      </c>
    </row>
    <row r="4390" ht="19.5" customHeight="1">
      <c r="A4390" s="26" t="s">
        <v>11825</v>
      </c>
      <c r="B4390" s="27" t="s">
        <v>11826</v>
      </c>
      <c r="C4390" s="28" t="s">
        <v>178</v>
      </c>
      <c r="D4390" s="29">
        <v>42.0</v>
      </c>
      <c r="E4390" s="28" t="s">
        <v>11827</v>
      </c>
      <c r="F4390" s="7" t="str">
        <f>IFERROR(__xludf.DUMMYFUNCTION("GOOGLETRANSLATE(B4390:B5064,""en"",""fr"")"),"investisseur")</f>
        <v>investisseur</v>
      </c>
    </row>
    <row r="4391" ht="19.5" customHeight="1">
      <c r="A4391" s="26" t="s">
        <v>11828</v>
      </c>
      <c r="B4391" s="27" t="s">
        <v>11829</v>
      </c>
      <c r="C4391" s="28" t="s">
        <v>134</v>
      </c>
      <c r="D4391" s="29">
        <v>42.0</v>
      </c>
      <c r="E4391" s="28" t="s">
        <v>11829</v>
      </c>
      <c r="F4391" s="7" t="str">
        <f>IFERROR(__xludf.DUMMYFUNCTION("GOOGLETRANSLATE(B4391:B5064,""en"",""fr"")"),"irresponsable")</f>
        <v>irresponsable</v>
      </c>
    </row>
    <row r="4392" ht="19.5" customHeight="1">
      <c r="A4392" s="26" t="s">
        <v>11830</v>
      </c>
      <c r="B4392" s="27" t="s">
        <v>11831</v>
      </c>
      <c r="C4392" s="28" t="s">
        <v>32</v>
      </c>
      <c r="D4392" s="29">
        <v>42.0</v>
      </c>
      <c r="E4392" s="28" t="s">
        <v>11832</v>
      </c>
      <c r="F4392" s="7" t="str">
        <f>IFERROR(__xludf.DUMMYFUNCTION("GOOGLETRANSLATE(B4392:B5064,""en"",""fr"")"),"tricoter")</f>
        <v>tricoter</v>
      </c>
    </row>
    <row r="4393" ht="19.5" customHeight="1">
      <c r="A4393" s="26" t="s">
        <v>11833</v>
      </c>
      <c r="B4393" s="27" t="s">
        <v>11834</v>
      </c>
      <c r="C4393" s="28" t="s">
        <v>178</v>
      </c>
      <c r="D4393" s="29">
        <v>42.0</v>
      </c>
      <c r="E4393" s="28" t="s">
        <v>11835</v>
      </c>
      <c r="F4393" s="7" t="str">
        <f>IFERROR(__xludf.DUMMYFUNCTION("GOOGLETRANSLATE(B4393:B5064,""en"",""fr"")"),"mètre")</f>
        <v>mètre</v>
      </c>
    </row>
    <row r="4394" ht="19.5" customHeight="1">
      <c r="A4394" s="26" t="s">
        <v>11836</v>
      </c>
      <c r="B4394" s="27" t="s">
        <v>11837</v>
      </c>
      <c r="C4394" s="28" t="s">
        <v>32</v>
      </c>
      <c r="D4394" s="29">
        <v>42.0</v>
      </c>
      <c r="E4394" s="28" t="s">
        <v>11838</v>
      </c>
      <c r="F4394" s="7" t="str">
        <f>IFERROR(__xludf.DUMMYFUNCTION("GOOGLETRANSLATE(B4394:B5064,""en"",""fr"")"),"désigner")</f>
        <v>désigner</v>
      </c>
    </row>
    <row r="4395" ht="19.5" customHeight="1">
      <c r="A4395" s="26" t="s">
        <v>11839</v>
      </c>
      <c r="B4395" s="27" t="s">
        <v>11840</v>
      </c>
      <c r="C4395" s="28" t="s">
        <v>178</v>
      </c>
      <c r="D4395" s="29">
        <v>42.0</v>
      </c>
      <c r="E4395" s="28" t="s">
        <v>11840</v>
      </c>
      <c r="F4395" s="7" t="str">
        <f>IFERROR(__xludf.DUMMYFUNCTION("GOOGLETRANSLATE(B4395:B5064,""en"",""fr"")"),"gruau")</f>
        <v>gruau</v>
      </c>
    </row>
    <row r="4396" ht="19.5" customHeight="1">
      <c r="A4396" s="26" t="s">
        <v>11841</v>
      </c>
      <c r="B4396" s="27" t="s">
        <v>11842</v>
      </c>
      <c r="C4396" s="28" t="s">
        <v>178</v>
      </c>
      <c r="D4396" s="29">
        <v>42.0</v>
      </c>
      <c r="E4396" s="28" t="s">
        <v>11843</v>
      </c>
      <c r="F4396" s="7" t="str">
        <f>IFERROR(__xludf.DUMMYFUNCTION("GOOGLETRANSLATE(B4396:B5064,""en"",""fr"")"),"omelette")</f>
        <v>omelette</v>
      </c>
    </row>
    <row r="4397" ht="19.5" customHeight="1">
      <c r="A4397" s="26" t="s">
        <v>11844</v>
      </c>
      <c r="B4397" s="27" t="s">
        <v>11845</v>
      </c>
      <c r="C4397" s="28" t="s">
        <v>32</v>
      </c>
      <c r="D4397" s="29">
        <v>42.0</v>
      </c>
      <c r="E4397" s="28" t="s">
        <v>11846</v>
      </c>
      <c r="F4397" s="7" t="str">
        <f>IFERROR(__xludf.DUMMYFUNCTION("GOOGLETRANSLATE(B4397:B5064,""en"",""fr"")"),"surmonter")</f>
        <v>surmonter</v>
      </c>
    </row>
    <row r="4398" ht="19.5" customHeight="1">
      <c r="A4398" s="26" t="s">
        <v>11847</v>
      </c>
      <c r="B4398" s="27" t="s">
        <v>11848</v>
      </c>
      <c r="C4398" s="28" t="s">
        <v>178</v>
      </c>
      <c r="D4398" s="29">
        <v>42.0</v>
      </c>
      <c r="E4398" s="28" t="s">
        <v>11849</v>
      </c>
      <c r="F4398" s="7" t="str">
        <f>IFERROR(__xludf.DUMMYFUNCTION("GOOGLETRANSLATE(B4398:B5064,""en"",""fr"")"),"plaque")</f>
        <v>plaque</v>
      </c>
    </row>
    <row r="4399" ht="19.5" customHeight="1">
      <c r="A4399" s="26" t="s">
        <v>11850</v>
      </c>
      <c r="B4399" s="27" t="s">
        <v>11851</v>
      </c>
      <c r="C4399" s="28" t="s">
        <v>32</v>
      </c>
      <c r="D4399" s="29">
        <v>42.0</v>
      </c>
      <c r="E4399" s="28" t="s">
        <v>11852</v>
      </c>
      <c r="F4399" s="7" t="str">
        <f>IFERROR(__xludf.DUMMYFUNCTION("GOOGLETRANSLATE(B4399:B5064,""en"",""fr"")"),"poursuivre")</f>
        <v>poursuivre</v>
      </c>
    </row>
    <row r="4400" ht="19.5" customHeight="1">
      <c r="A4400" s="26" t="s">
        <v>11853</v>
      </c>
      <c r="B4400" s="27" t="s">
        <v>11854</v>
      </c>
      <c r="C4400" s="28" t="s">
        <v>32</v>
      </c>
      <c r="D4400" s="29">
        <v>42.0</v>
      </c>
      <c r="E4400" s="28" t="s">
        <v>11855</v>
      </c>
      <c r="F4400" s="7" t="str">
        <f>IFERROR(__xludf.DUMMYFUNCTION("GOOGLETRANSLATE(B4400:B5064,""en"",""fr"")"),"refléter")</f>
        <v>refléter</v>
      </c>
    </row>
    <row r="4401" ht="19.5" customHeight="1">
      <c r="A4401" s="26" t="s">
        <v>11856</v>
      </c>
      <c r="B4401" s="27" t="s">
        <v>11857</v>
      </c>
      <c r="C4401" s="28" t="s">
        <v>178</v>
      </c>
      <c r="D4401" s="29">
        <v>42.0</v>
      </c>
      <c r="E4401" s="28" t="s">
        <v>11858</v>
      </c>
      <c r="F4401" s="7" t="str">
        <f>IFERROR(__xludf.DUMMYFUNCTION("GOOGLETRANSLATE(B4401:B5064,""en"",""fr"")"),"relation")</f>
        <v>relation</v>
      </c>
    </row>
    <row r="4402" ht="19.5" customHeight="1">
      <c r="A4402" s="26" t="s">
        <v>11859</v>
      </c>
      <c r="B4402" s="27" t="s">
        <v>11860</v>
      </c>
      <c r="C4402" s="28" t="s">
        <v>178</v>
      </c>
      <c r="D4402" s="29">
        <v>42.0</v>
      </c>
      <c r="E4402" s="28" t="s">
        <v>11861</v>
      </c>
      <c r="F4402" s="7" t="str">
        <f>IFERROR(__xludf.DUMMYFUNCTION("GOOGLETRANSLATE(B4402:B5064,""en"",""fr"")"),"représentant")</f>
        <v>représentant</v>
      </c>
    </row>
    <row r="4403" ht="19.5" customHeight="1">
      <c r="A4403" s="26" t="s">
        <v>11862</v>
      </c>
      <c r="B4403" s="27" t="s">
        <v>11863</v>
      </c>
      <c r="C4403" s="28" t="s">
        <v>178</v>
      </c>
      <c r="D4403" s="29">
        <v>42.0</v>
      </c>
      <c r="E4403" s="28" t="s">
        <v>11864</v>
      </c>
      <c r="F4403" s="7" t="str">
        <f>IFERROR(__xludf.DUMMYFUNCTION("GOOGLETRANSLATE(B4403:B5064,""en"",""fr"")"),"retard")</f>
        <v>retard</v>
      </c>
    </row>
    <row r="4404" ht="19.5" customHeight="1">
      <c r="A4404" s="26" t="s">
        <v>11865</v>
      </c>
      <c r="B4404" s="27" t="s">
        <v>1409</v>
      </c>
      <c r="C4404" s="28" t="s">
        <v>32</v>
      </c>
      <c r="D4404" s="29">
        <v>42.0</v>
      </c>
      <c r="E4404" s="28" t="s">
        <v>11866</v>
      </c>
      <c r="F4404" s="7" t="str">
        <f>IFERROR(__xludf.DUMMYFUNCTION("GOOGLETRANSLATE(B4404:B5064,""en"",""fr"")"),"siège")</f>
        <v>siège</v>
      </c>
    </row>
    <row r="4405" ht="19.5" customHeight="1">
      <c r="A4405" s="26" t="s">
        <v>11867</v>
      </c>
      <c r="B4405" s="27" t="s">
        <v>11868</v>
      </c>
      <c r="C4405" s="28" t="s">
        <v>178</v>
      </c>
      <c r="D4405" s="29">
        <v>42.0</v>
      </c>
      <c r="E4405" s="28" t="s">
        <v>11869</v>
      </c>
      <c r="F4405" s="7" t="str">
        <f>IFERROR(__xludf.DUMMYFUNCTION("GOOGLETRANSLATE(B4405:B5064,""en"",""fr"")"),"cabane")</f>
        <v>cabane</v>
      </c>
    </row>
    <row r="4406" ht="19.5" customHeight="1">
      <c r="A4406" s="26" t="s">
        <v>11870</v>
      </c>
      <c r="B4406" s="27" t="s">
        <v>11871</v>
      </c>
      <c r="C4406" s="28" t="s">
        <v>134</v>
      </c>
      <c r="D4406" s="29">
        <v>42.0</v>
      </c>
      <c r="E4406" s="28" t="s">
        <v>11872</v>
      </c>
      <c r="F4406" s="7" t="str">
        <f>IFERROR(__xludf.DUMMYFUNCTION("GOOGLETRANSLATE(B4406:B5064,""en"",""fr"")"),"sincère")</f>
        <v>sincère</v>
      </c>
    </row>
    <row r="4407" ht="19.5" customHeight="1">
      <c r="A4407" s="26" t="s">
        <v>11873</v>
      </c>
      <c r="B4407" s="27" t="s">
        <v>7596</v>
      </c>
      <c r="C4407" s="28" t="s">
        <v>32</v>
      </c>
      <c r="D4407" s="29">
        <v>42.0</v>
      </c>
      <c r="E4407" s="28" t="s">
        <v>11874</v>
      </c>
      <c r="F4407" s="7" t="str">
        <f>IFERROR(__xludf.DUMMYFUNCTION("GOOGLETRANSLATE(B4407:B5064,""en"",""fr"")"),"tranche")</f>
        <v>tranche</v>
      </c>
    </row>
    <row r="4408" ht="19.5" customHeight="1">
      <c r="A4408" s="26" t="s">
        <v>11875</v>
      </c>
      <c r="B4408" s="27" t="s">
        <v>5774</v>
      </c>
      <c r="C4408" s="28" t="s">
        <v>85</v>
      </c>
      <c r="D4408" s="29">
        <v>42.0</v>
      </c>
      <c r="E4408" s="28" t="s">
        <v>5774</v>
      </c>
      <c r="F4408" s="7" t="str">
        <f>IFERROR(__xludf.DUMMYFUNCTION("GOOGLETRANSLATE(B4408:B5064,""en"",""fr"")"),"instantané")</f>
        <v>instantané</v>
      </c>
    </row>
    <row r="4409" ht="19.5" customHeight="1">
      <c r="A4409" s="26" t="s">
        <v>11876</v>
      </c>
      <c r="B4409" s="27" t="s">
        <v>3689</v>
      </c>
      <c r="C4409" s="28" t="s">
        <v>178</v>
      </c>
      <c r="D4409" s="29">
        <v>42.0</v>
      </c>
      <c r="E4409" s="28" t="s">
        <v>11877</v>
      </c>
      <c r="F4409" s="7" t="str">
        <f>IFERROR(__xludf.DUMMYFUNCTION("GOOGLETRANSLATE(B4409:B5064,""en"",""fr"")"),"épeler")</f>
        <v>épeler</v>
      </c>
    </row>
    <row r="4410" ht="19.5" customHeight="1">
      <c r="A4410" s="26" t="s">
        <v>11878</v>
      </c>
      <c r="B4410" s="27" t="s">
        <v>11879</v>
      </c>
      <c r="C4410" s="28" t="s">
        <v>178</v>
      </c>
      <c r="D4410" s="29">
        <v>42.0</v>
      </c>
      <c r="E4410" s="28" t="s">
        <v>11880</v>
      </c>
      <c r="F4410" s="7" t="str">
        <f>IFERROR(__xludf.DUMMYFUNCTION("GOOGLETRANSLATE(B4410:B5064,""en"",""fr"")"),"vol")</f>
        <v>vol</v>
      </c>
    </row>
    <row r="4411" ht="19.5" customHeight="1">
      <c r="A4411" s="26" t="s">
        <v>11881</v>
      </c>
      <c r="B4411" s="27" t="s">
        <v>11882</v>
      </c>
      <c r="C4411" s="28" t="s">
        <v>134</v>
      </c>
      <c r="D4411" s="29">
        <v>42.0</v>
      </c>
      <c r="E4411" s="28" t="s">
        <v>11883</v>
      </c>
      <c r="F4411" s="7" t="str">
        <f>IFERROR(__xludf.DUMMYFUNCTION("GOOGLETRANSLATE(B4411:B5064,""en"",""fr"")"),"difficile")</f>
        <v>difficile</v>
      </c>
    </row>
    <row r="4412" ht="19.5" customHeight="1">
      <c r="A4412" s="26" t="s">
        <v>11884</v>
      </c>
      <c r="B4412" s="27" t="s">
        <v>11885</v>
      </c>
      <c r="C4412" s="28" t="s">
        <v>178</v>
      </c>
      <c r="D4412" s="29">
        <v>42.0</v>
      </c>
      <c r="E4412" s="28" t="s">
        <v>11886</v>
      </c>
      <c r="F4412" s="7" t="str">
        <f>IFERROR(__xludf.DUMMYFUNCTION("GOOGLETRANSLATE(B4412:B5064,""en"",""fr"")"),"ventre")</f>
        <v>ventre</v>
      </c>
    </row>
    <row r="4413" ht="19.5" customHeight="1">
      <c r="A4413" s="26" t="s">
        <v>11887</v>
      </c>
      <c r="B4413" s="27" t="s">
        <v>11888</v>
      </c>
      <c r="C4413" s="28" t="s">
        <v>150</v>
      </c>
      <c r="D4413" s="29">
        <v>42.0</v>
      </c>
      <c r="E4413" s="28" t="s">
        <v>11888</v>
      </c>
      <c r="F4413" s="7" t="str">
        <f>IFERROR(__xludf.DUMMYFUNCTION("GOOGLETRANSLATE(B4413:B5064,""en"",""fr"")"),"vingt-six")</f>
        <v>vingt-six</v>
      </c>
    </row>
    <row r="4414" ht="19.5" customHeight="1">
      <c r="A4414" s="26" t="s">
        <v>11889</v>
      </c>
      <c r="B4414" s="27" t="s">
        <v>11890</v>
      </c>
      <c r="C4414" s="28" t="s">
        <v>32</v>
      </c>
      <c r="D4414" s="29">
        <v>42.0</v>
      </c>
      <c r="E4414" s="28" t="s">
        <v>11891</v>
      </c>
      <c r="F4414" s="7" t="str">
        <f>IFERROR(__xludf.DUMMYFUNCTION("GOOGLETRANSLATE(B4414:B5064,""en"",""fr"")"),"annuler")</f>
        <v>annuler</v>
      </c>
    </row>
    <row r="4415" ht="19.5" customHeight="1">
      <c r="A4415" s="26" t="s">
        <v>11892</v>
      </c>
      <c r="B4415" s="27" t="s">
        <v>11893</v>
      </c>
      <c r="C4415" s="28" t="s">
        <v>134</v>
      </c>
      <c r="D4415" s="29">
        <v>42.0</v>
      </c>
      <c r="E4415" s="28" t="s">
        <v>11893</v>
      </c>
      <c r="F4415" s="7" t="str">
        <f>IFERROR(__xludf.DUMMYFUNCTION("GOOGLETRANSLATE(B4415:B5064,""en"",""fr"")"),"inutile")</f>
        <v>inutile</v>
      </c>
    </row>
    <row r="4416" ht="19.5" customHeight="1">
      <c r="A4416" s="26" t="s">
        <v>11894</v>
      </c>
      <c r="B4416" s="27" t="s">
        <v>11895</v>
      </c>
      <c r="C4416" s="28" t="s">
        <v>134</v>
      </c>
      <c r="D4416" s="29">
        <v>42.0</v>
      </c>
      <c r="E4416" s="28" t="s">
        <v>11895</v>
      </c>
      <c r="F4416" s="7" t="str">
        <f>IFERROR(__xludf.DUMMYFUNCTION("GOOGLETRANSLATE(B4416:B5064,""en"",""fr"")"),"désagréable")</f>
        <v>désagréable</v>
      </c>
    </row>
    <row r="4417" ht="19.5" customHeight="1">
      <c r="A4417" s="26" t="s">
        <v>11896</v>
      </c>
      <c r="B4417" s="27" t="s">
        <v>11897</v>
      </c>
      <c r="C4417" s="28" t="s">
        <v>178</v>
      </c>
      <c r="D4417" s="29">
        <v>42.0</v>
      </c>
      <c r="E4417" s="28" t="s">
        <v>11898</v>
      </c>
      <c r="F4417" s="7" t="str">
        <f>IFERROR(__xludf.DUMMYFUNCTION("GOOGLETRANSLATE(B4417:B5064,""en"",""fr"")"),"vase")</f>
        <v>vase</v>
      </c>
    </row>
    <row r="4418" ht="19.5" customHeight="1">
      <c r="A4418" s="26" t="s">
        <v>11899</v>
      </c>
      <c r="B4418" s="27" t="s">
        <v>11900</v>
      </c>
      <c r="C4418" s="28" t="s">
        <v>178</v>
      </c>
      <c r="D4418" s="29">
        <v>42.0</v>
      </c>
      <c r="E4418" s="28" t="s">
        <v>11901</v>
      </c>
      <c r="F4418" s="7" t="str">
        <f>IFERROR(__xludf.DUMMYFUNCTION("GOOGLETRANSLATE(B4418:B5064,""en"",""fr"")"),"taille")</f>
        <v>taille</v>
      </c>
    </row>
    <row r="4419" ht="19.5" customHeight="1">
      <c r="A4419" s="26" t="s">
        <v>11902</v>
      </c>
      <c r="B4419" s="27" t="s">
        <v>11903</v>
      </c>
      <c r="C4419" s="28" t="s">
        <v>4654</v>
      </c>
      <c r="D4419" s="29">
        <v>42.0</v>
      </c>
      <c r="E4419" s="28" t="s">
        <v>11904</v>
      </c>
      <c r="F4419" s="7" t="str">
        <f>IFERROR(__xludf.DUMMYFUNCTION("GOOGLETRANSLATE(B4419:B5064,""en"",""fr"")"),"QI")</f>
        <v>QI</v>
      </c>
    </row>
    <row r="4420" ht="19.5" customHeight="1">
      <c r="A4420" s="26" t="s">
        <v>11905</v>
      </c>
      <c r="B4420" s="27" t="s">
        <v>11906</v>
      </c>
      <c r="C4420" s="28" t="s">
        <v>178</v>
      </c>
      <c r="D4420" s="29">
        <v>42.0</v>
      </c>
      <c r="E4420" s="28" t="s">
        <v>11907</v>
      </c>
      <c r="F4420" s="7" t="str">
        <f>IFERROR(__xludf.DUMMYFUNCTION("GOOGLETRANSLATE(B4420:B5064,""en"",""fr"")"),"cygne")</f>
        <v>cygne</v>
      </c>
    </row>
    <row r="4421" ht="19.5" customHeight="1">
      <c r="A4421" s="26" t="s">
        <v>11908</v>
      </c>
      <c r="B4421" s="27" t="s">
        <v>11909</v>
      </c>
      <c r="C4421" s="28" t="s">
        <v>178</v>
      </c>
      <c r="D4421" s="29">
        <v>42.0</v>
      </c>
      <c r="E4421" s="28" t="s">
        <v>11910</v>
      </c>
      <c r="F4421" s="7" t="str">
        <f>IFERROR(__xludf.DUMMYFUNCTION("GOOGLETRANSLATE(B4421:B5064,""en"",""fr"")"),"première")</f>
        <v>première</v>
      </c>
    </row>
    <row r="4422" ht="19.5" customHeight="1">
      <c r="A4422" s="26" t="s">
        <v>11911</v>
      </c>
      <c r="B4422" s="27" t="s">
        <v>11912</v>
      </c>
      <c r="C4422" s="28" t="s">
        <v>178</v>
      </c>
      <c r="D4422" s="29">
        <v>42.0</v>
      </c>
      <c r="E4422" s="28" t="s">
        <v>11913</v>
      </c>
      <c r="F4422" s="7" t="str">
        <f>IFERROR(__xludf.DUMMYFUNCTION("GOOGLETRANSLATE(B4422:B5064,""en"",""fr"")"),"tonnerre")</f>
        <v>tonnerre</v>
      </c>
    </row>
    <row r="4423" ht="19.5" customHeight="1">
      <c r="A4423" s="26" t="s">
        <v>11914</v>
      </c>
      <c r="B4423" s="27" t="s">
        <v>11915</v>
      </c>
      <c r="C4423" s="28" t="s">
        <v>134</v>
      </c>
      <c r="D4423" s="29">
        <v>41.0</v>
      </c>
      <c r="E4423" s="28" t="s">
        <v>11915</v>
      </c>
      <c r="F4423" s="7" t="str">
        <f>IFERROR(__xludf.DUMMYFUNCTION("GOOGLETRANSLATE(B4423:B5064,""en"",""fr"")"),"bizarre")</f>
        <v>bizarre</v>
      </c>
    </row>
    <row r="4424" ht="19.5" customHeight="1">
      <c r="A4424" s="26" t="s">
        <v>11916</v>
      </c>
      <c r="B4424" s="27" t="s">
        <v>11917</v>
      </c>
      <c r="C4424" s="28" t="s">
        <v>178</v>
      </c>
      <c r="D4424" s="29">
        <v>41.0</v>
      </c>
      <c r="E4424" s="28" t="s">
        <v>11918</v>
      </c>
      <c r="F4424" s="7" t="str">
        <f>IFERROR(__xludf.DUMMYFUNCTION("GOOGLETRANSLATE(B4424:B5064,""en"",""fr"")"),"falaise")</f>
        <v>falaise</v>
      </c>
    </row>
    <row r="4425" ht="19.5" customHeight="1">
      <c r="A4425" s="26" t="s">
        <v>11919</v>
      </c>
      <c r="B4425" s="27" t="s">
        <v>11920</v>
      </c>
      <c r="C4425" s="28" t="s">
        <v>32</v>
      </c>
      <c r="D4425" s="29">
        <v>41.0</v>
      </c>
      <c r="E4425" s="28" t="s">
        <v>11921</v>
      </c>
      <c r="F4425" s="7" t="str">
        <f>IFERROR(__xludf.DUMMYFUNCTION("GOOGLETRANSLATE(B4425:B5064,""en"",""fr"")"),"peigne")</f>
        <v>peigne</v>
      </c>
    </row>
    <row r="4426" ht="19.5" customHeight="1">
      <c r="A4426" s="26" t="s">
        <v>11922</v>
      </c>
      <c r="B4426" s="27" t="s">
        <v>11923</v>
      </c>
      <c r="C4426" s="28" t="s">
        <v>32</v>
      </c>
      <c r="D4426" s="29">
        <v>41.0</v>
      </c>
      <c r="E4426" s="28" t="s">
        <v>11924</v>
      </c>
      <c r="F4426" s="7" t="str">
        <f>IFERROR(__xludf.DUMMYFUNCTION("GOOGLETRANSLATE(B4426:B5064,""en"",""fr"")"),"boucle")</f>
        <v>boucle</v>
      </c>
    </row>
    <row r="4427" ht="19.5" customHeight="1">
      <c r="A4427" s="26" t="s">
        <v>11925</v>
      </c>
      <c r="B4427" s="27" t="s">
        <v>11926</v>
      </c>
      <c r="C4427" s="28" t="s">
        <v>32</v>
      </c>
      <c r="D4427" s="29">
        <v>41.0</v>
      </c>
      <c r="E4427" s="28" t="s">
        <v>11927</v>
      </c>
      <c r="F4427" s="7" t="str">
        <f>IFERROR(__xludf.DUMMYFUNCTION("GOOGLETRANSLATE(B4427:B5064,""en"",""fr"")"),"désactiver")</f>
        <v>désactiver</v>
      </c>
    </row>
    <row r="4428" ht="19.5" customHeight="1">
      <c r="A4428" s="26" t="s">
        <v>11928</v>
      </c>
      <c r="B4428" s="27" t="s">
        <v>11929</v>
      </c>
      <c r="C4428" s="28" t="s">
        <v>178</v>
      </c>
      <c r="D4428" s="29">
        <v>41.0</v>
      </c>
      <c r="E4428" s="28" t="s">
        <v>11930</v>
      </c>
      <c r="F4428" s="7" t="str">
        <f>IFERROR(__xludf.DUMMYFUNCTION("GOOGLETRANSLATE(B4428:B5064,""en"",""fr"")"),"district")</f>
        <v>district</v>
      </c>
    </row>
    <row r="4429" ht="19.5" customHeight="1">
      <c r="A4429" s="26" t="s">
        <v>11931</v>
      </c>
      <c r="B4429" s="27" t="s">
        <v>11932</v>
      </c>
      <c r="C4429" s="28" t="s">
        <v>32</v>
      </c>
      <c r="D4429" s="29">
        <v>41.0</v>
      </c>
      <c r="E4429" s="28" t="s">
        <v>11933</v>
      </c>
      <c r="F4429" s="7" t="str">
        <f>IFERROR(__xludf.DUMMYFUNCTION("GOOGLETRANSLATE(B4429:B5064,""en"",""fr"")"),"émerger")</f>
        <v>émerger</v>
      </c>
    </row>
    <row r="4430" ht="19.5" customHeight="1">
      <c r="A4430" s="26" t="s">
        <v>11934</v>
      </c>
      <c r="B4430" s="27" t="s">
        <v>11935</v>
      </c>
      <c r="C4430" s="28" t="s">
        <v>178</v>
      </c>
      <c r="D4430" s="29">
        <v>41.0</v>
      </c>
      <c r="E4430" s="28" t="s">
        <v>11936</v>
      </c>
      <c r="F4430" s="7" t="str">
        <f>IFERROR(__xludf.DUMMYFUNCTION("GOOGLETRANSLATE(B4430:B5064,""en"",""fr"")"),"empereur")</f>
        <v>empereur</v>
      </c>
    </row>
    <row r="4431" ht="19.5" customHeight="1">
      <c r="A4431" s="26" t="s">
        <v>11937</v>
      </c>
      <c r="B4431" s="27" t="s">
        <v>11938</v>
      </c>
      <c r="C4431" s="28" t="s">
        <v>134</v>
      </c>
      <c r="D4431" s="29">
        <v>41.0</v>
      </c>
      <c r="E4431" s="28" t="s">
        <v>11938</v>
      </c>
      <c r="F4431" s="7" t="str">
        <f>IFERROR(__xludf.DUMMYFUNCTION("GOOGLETRANSLATE(B4431:B5064,""en"",""fr"")"),"sans fin")</f>
        <v>sans fin</v>
      </c>
    </row>
    <row r="4432" ht="19.5" customHeight="1">
      <c r="A4432" s="26" t="s">
        <v>11939</v>
      </c>
      <c r="B4432" s="27" t="s">
        <v>11940</v>
      </c>
      <c r="C4432" s="28" t="s">
        <v>32</v>
      </c>
      <c r="D4432" s="29">
        <v>41.0</v>
      </c>
      <c r="E4432" s="28" t="s">
        <v>11941</v>
      </c>
      <c r="F4432" s="7" t="str">
        <f>IFERROR(__xludf.DUMMYFUNCTION("GOOGLETRANSLATE(B4432:B5064,""en"",""fr"")"),"fantasmer")</f>
        <v>fantasmer</v>
      </c>
    </row>
    <row r="4433" ht="19.5" customHeight="1">
      <c r="A4433" s="26" t="s">
        <v>11942</v>
      </c>
      <c r="B4433" s="27" t="s">
        <v>11943</v>
      </c>
      <c r="C4433" s="28" t="s">
        <v>178</v>
      </c>
      <c r="D4433" s="29">
        <v>41.0</v>
      </c>
      <c r="E4433" s="28" t="s">
        <v>11944</v>
      </c>
      <c r="F4433" s="7" t="str">
        <f>IFERROR(__xludf.DUMMYFUNCTION("GOOGLETRANSLATE(B4433:B5064,""en"",""fr"")"),"populaire")</f>
        <v>populaire</v>
      </c>
    </row>
    <row r="4434" ht="19.5" customHeight="1">
      <c r="A4434" s="26" t="s">
        <v>11945</v>
      </c>
      <c r="B4434" s="27" t="s">
        <v>11946</v>
      </c>
      <c r="C4434" s="28" t="s">
        <v>100</v>
      </c>
      <c r="D4434" s="29">
        <v>41.0</v>
      </c>
      <c r="E4434" s="28" t="s">
        <v>11946</v>
      </c>
      <c r="F4434" s="7" t="str">
        <f>IFERROR(__xludf.DUMMYFUNCTION("GOOGLETRANSLATE(B4434:B5064,""en"",""fr"")"),"heureusement")</f>
        <v>heureusement</v>
      </c>
    </row>
    <row r="4435" ht="19.5" customHeight="1">
      <c r="A4435" s="26" t="s">
        <v>11947</v>
      </c>
      <c r="B4435" s="27" t="s">
        <v>2935</v>
      </c>
      <c r="C4435" s="28" t="s">
        <v>32</v>
      </c>
      <c r="D4435" s="29">
        <v>41.0</v>
      </c>
      <c r="E4435" s="28" t="s">
        <v>11948</v>
      </c>
      <c r="F4435" s="7" t="str">
        <f>IFERROR(__xludf.DUMMYFUNCTION("GOOGLETRANSLATE(B4435:B5064,""en"",""fr"")"),"avant")</f>
        <v>avant</v>
      </c>
    </row>
    <row r="4436" ht="19.5" customHeight="1">
      <c r="A4436" s="26" t="s">
        <v>11949</v>
      </c>
      <c r="B4436" s="27" t="s">
        <v>11950</v>
      </c>
      <c r="C4436" s="28" t="s">
        <v>178</v>
      </c>
      <c r="D4436" s="29">
        <v>41.0</v>
      </c>
      <c r="E4436" s="28" t="s">
        <v>11951</v>
      </c>
      <c r="F4436" s="7" t="str">
        <f>IFERROR(__xludf.DUMMYFUNCTION("GOOGLETRANSLATE(B4436:B5064,""en"",""fr"")"),"écart")</f>
        <v>écart</v>
      </c>
    </row>
    <row r="4437" ht="19.5" customHeight="1">
      <c r="A4437" s="26" t="s">
        <v>11952</v>
      </c>
      <c r="B4437" s="27" t="s">
        <v>11953</v>
      </c>
      <c r="C4437" s="28" t="s">
        <v>178</v>
      </c>
      <c r="D4437" s="29">
        <v>41.0</v>
      </c>
      <c r="E4437" s="28" t="s">
        <v>11953</v>
      </c>
      <c r="F4437" s="7" t="str">
        <f>IFERROR(__xludf.DUMMYFUNCTION("GOOGLETRANSLATE(B4437:B5064,""en"",""fr"")"),"des lunettes de protection")</f>
        <v>des lunettes de protection</v>
      </c>
    </row>
    <row r="4438" ht="19.5" customHeight="1">
      <c r="A4438" s="26" t="s">
        <v>11954</v>
      </c>
      <c r="B4438" s="27" t="s">
        <v>11955</v>
      </c>
      <c r="C4438" s="28" t="s">
        <v>178</v>
      </c>
      <c r="D4438" s="29">
        <v>41.0</v>
      </c>
      <c r="E4438" s="28" t="s">
        <v>11956</v>
      </c>
      <c r="F4438" s="7" t="str">
        <f>IFERROR(__xludf.DUMMYFUNCTION("GOOGLETRANSLATE(B4438:B5064,""en"",""fr"")"),"poignée de main")</f>
        <v>poignée de main</v>
      </c>
    </row>
    <row r="4439" ht="19.5" customHeight="1">
      <c r="A4439" s="26" t="s">
        <v>11957</v>
      </c>
      <c r="B4439" s="27" t="s">
        <v>11958</v>
      </c>
      <c r="C4439" s="28" t="s">
        <v>178</v>
      </c>
      <c r="D4439" s="29">
        <v>41.0</v>
      </c>
      <c r="E4439" s="28" t="s">
        <v>11959</v>
      </c>
      <c r="F4439" s="7" t="str">
        <f>IFERROR(__xludf.DUMMYFUNCTION("GOOGLETRANSLATE(B4439:B5064,""en"",""fr"")"),"illusion")</f>
        <v>illusion</v>
      </c>
    </row>
    <row r="4440" ht="19.5" customHeight="1">
      <c r="A4440" s="26" t="s">
        <v>11960</v>
      </c>
      <c r="B4440" s="27" t="s">
        <v>11961</v>
      </c>
      <c r="C4440" s="28" t="s">
        <v>178</v>
      </c>
      <c r="D4440" s="29">
        <v>41.0</v>
      </c>
      <c r="E4440" s="28" t="s">
        <v>11962</v>
      </c>
      <c r="F4440" s="7" t="str">
        <f>IFERROR(__xludf.DUMMYFUNCTION("GOOGLETRANSLATE(B4440:B5064,""en"",""fr"")"),"infection")</f>
        <v>infection</v>
      </c>
    </row>
    <row r="4441" ht="19.5" customHeight="1">
      <c r="A4441" s="26" t="s">
        <v>11963</v>
      </c>
      <c r="B4441" s="27" t="s">
        <v>11964</v>
      </c>
      <c r="C4441" s="28" t="s">
        <v>178</v>
      </c>
      <c r="D4441" s="29">
        <v>41.0</v>
      </c>
      <c r="E4441" s="28" t="s">
        <v>11965</v>
      </c>
      <c r="F4441" s="7" t="str">
        <f>IFERROR(__xludf.DUMMYFUNCTION("GOOGLETRANSLATE(B4441:B5064,""en"",""fr"")"),"influence")</f>
        <v>influence</v>
      </c>
    </row>
    <row r="4442" ht="19.5" customHeight="1">
      <c r="A4442" s="26" t="s">
        <v>11966</v>
      </c>
      <c r="B4442" s="27" t="s">
        <v>11967</v>
      </c>
      <c r="C4442" s="28" t="s">
        <v>134</v>
      </c>
      <c r="D4442" s="29">
        <v>41.0</v>
      </c>
      <c r="E4442" s="28" t="s">
        <v>11967</v>
      </c>
      <c r="F4442" s="7" t="str">
        <f>IFERROR(__xludf.DUMMYFUNCTION("GOOGLETRANSLATE(B4442:B5064,""en"",""fr"")"),"libéral")</f>
        <v>libéral</v>
      </c>
    </row>
    <row r="4443" ht="19.5" customHeight="1">
      <c r="A4443" s="26" t="s">
        <v>11968</v>
      </c>
      <c r="B4443" s="27" t="s">
        <v>9512</v>
      </c>
      <c r="C4443" s="28" t="s">
        <v>178</v>
      </c>
      <c r="D4443" s="29">
        <v>41.0</v>
      </c>
      <c r="E4443" s="28" t="s">
        <v>11969</v>
      </c>
      <c r="F4443" s="7" t="str">
        <f>IFERROR(__xludf.DUMMYFUNCTION("GOOGLETRANSLATE(B4443:B5064,""en"",""fr"")"),"moniteur")</f>
        <v>moniteur</v>
      </c>
    </row>
    <row r="4444" ht="19.5" customHeight="1">
      <c r="A4444" s="26" t="s">
        <v>11970</v>
      </c>
      <c r="B4444" s="27" t="s">
        <v>11971</v>
      </c>
      <c r="C4444" s="28" t="s">
        <v>134</v>
      </c>
      <c r="D4444" s="29">
        <v>41.0</v>
      </c>
      <c r="E4444" s="28" t="s">
        <v>11971</v>
      </c>
      <c r="F4444" s="7" t="str">
        <f>IFERROR(__xludf.DUMMYFUNCTION("GOOGLETRANSLATE(B4444:B5064,""en"",""fr"")"),"mutuel")</f>
        <v>mutuel</v>
      </c>
    </row>
    <row r="4445" ht="19.5" customHeight="1">
      <c r="A4445" s="26" t="s">
        <v>11972</v>
      </c>
      <c r="B4445" s="27" t="s">
        <v>11973</v>
      </c>
      <c r="C4445" s="28" t="s">
        <v>178</v>
      </c>
      <c r="D4445" s="29">
        <v>41.0</v>
      </c>
      <c r="E4445" s="28" t="s">
        <v>11974</v>
      </c>
      <c r="F4445" s="7" t="str">
        <f>IFERROR(__xludf.DUMMYFUNCTION("GOOGLETRANSLATE(B4445:B5064,""en"",""fr"")"),"religieuse")</f>
        <v>religieuse</v>
      </c>
    </row>
    <row r="4446" ht="19.5" customHeight="1">
      <c r="A4446" s="26" t="s">
        <v>11975</v>
      </c>
      <c r="B4446" s="27" t="s">
        <v>8713</v>
      </c>
      <c r="C4446" s="28" t="s">
        <v>32</v>
      </c>
      <c r="D4446" s="29">
        <v>41.0</v>
      </c>
      <c r="E4446" s="28" t="s">
        <v>11976</v>
      </c>
      <c r="F4446" s="7" t="str">
        <f>IFERROR(__xludf.DUMMYFUNCTION("GOOGLETRANSLATE(B4446:B5064,""en"",""fr"")"),"objet")</f>
        <v>objet</v>
      </c>
    </row>
    <row r="4447" ht="19.5" customHeight="1">
      <c r="A4447" s="26" t="s">
        <v>11977</v>
      </c>
      <c r="B4447" s="27" t="s">
        <v>11978</v>
      </c>
      <c r="C4447" s="28" t="s">
        <v>4654</v>
      </c>
      <c r="D4447" s="29">
        <v>41.0</v>
      </c>
      <c r="E4447" s="28" t="s">
        <v>11979</v>
      </c>
      <c r="F4447" s="7" t="str">
        <f>IFERROR(__xludf.DUMMYFUNCTION("GOOGLETRANSLATE(B4447:B5064,""en"",""fr"")"),"P.M.")</f>
        <v>P.M.</v>
      </c>
    </row>
    <row r="4448" ht="19.5" customHeight="1">
      <c r="A4448" s="26" t="s">
        <v>11980</v>
      </c>
      <c r="B4448" s="27" t="s">
        <v>11981</v>
      </c>
      <c r="C4448" s="28" t="s">
        <v>178</v>
      </c>
      <c r="D4448" s="29">
        <v>41.0</v>
      </c>
      <c r="E4448" s="28" t="s">
        <v>11981</v>
      </c>
      <c r="F4448" s="7" t="str">
        <f>IFERROR(__xludf.DUMMYFUNCTION("GOOGLETRANSLATE(B4448:B5064,""en"",""fr"")"),"patience")</f>
        <v>patience</v>
      </c>
    </row>
    <row r="4449" ht="19.5" customHeight="1">
      <c r="A4449" s="26" t="s">
        <v>11982</v>
      </c>
      <c r="B4449" s="27" t="s">
        <v>11983</v>
      </c>
      <c r="C4449" s="28" t="s">
        <v>178</v>
      </c>
      <c r="D4449" s="29">
        <v>41.0</v>
      </c>
      <c r="E4449" s="28" t="s">
        <v>11984</v>
      </c>
      <c r="F4449" s="7" t="str">
        <f>IFERROR(__xludf.DUMMYFUNCTION("GOOGLETRANSLATE(B4449:B5064,""en"",""fr"")"),"ramasser")</f>
        <v>ramasser</v>
      </c>
    </row>
    <row r="4450" ht="19.5" customHeight="1">
      <c r="A4450" s="26" t="s">
        <v>11985</v>
      </c>
      <c r="B4450" s="27" t="s">
        <v>11986</v>
      </c>
      <c r="C4450" s="28" t="s">
        <v>178</v>
      </c>
      <c r="D4450" s="29">
        <v>41.0</v>
      </c>
      <c r="E4450" s="28" t="s">
        <v>11987</v>
      </c>
      <c r="F4450" s="7" t="str">
        <f>IFERROR(__xludf.DUMMYFUNCTION("GOOGLETRANSLATE(B4450:B5064,""en"",""fr"")"),"portrait")</f>
        <v>portrait</v>
      </c>
    </row>
    <row r="4451" ht="19.5" customHeight="1">
      <c r="A4451" s="26" t="s">
        <v>11988</v>
      </c>
      <c r="B4451" s="27" t="s">
        <v>11989</v>
      </c>
      <c r="C4451" s="28" t="s">
        <v>32</v>
      </c>
      <c r="D4451" s="29">
        <v>41.0</v>
      </c>
      <c r="E4451" s="28" t="s">
        <v>11990</v>
      </c>
      <c r="F4451" s="7" t="str">
        <f>IFERROR(__xludf.DUMMYFUNCTION("GOOGLETRANSLATE(B4451:B5064,""en"",""fr"")"),"posséder")</f>
        <v>posséder</v>
      </c>
    </row>
    <row r="4452" ht="19.5" customHeight="1">
      <c r="A4452" s="26" t="s">
        <v>11991</v>
      </c>
      <c r="B4452" s="27" t="s">
        <v>11992</v>
      </c>
      <c r="C4452" s="28" t="s">
        <v>178</v>
      </c>
      <c r="D4452" s="29">
        <v>41.0</v>
      </c>
      <c r="E4452" s="28" t="s">
        <v>11992</v>
      </c>
      <c r="F4452" s="7" t="str">
        <f>IFERROR(__xludf.DUMMYFUNCTION("GOOGLETRANSLATE(B4452:B5064,""en"",""fr"")"),"rage")</f>
        <v>rage</v>
      </c>
    </row>
    <row r="4453" ht="19.5" customHeight="1">
      <c r="A4453" s="26" t="s">
        <v>11993</v>
      </c>
      <c r="B4453" s="27" t="s">
        <v>11994</v>
      </c>
      <c r="C4453" s="28" t="s">
        <v>178</v>
      </c>
      <c r="D4453" s="29">
        <v>41.0</v>
      </c>
      <c r="E4453" s="28" t="s">
        <v>11995</v>
      </c>
      <c r="F4453" s="7" t="str">
        <f>IFERROR(__xludf.DUMMYFUNCTION("GOOGLETRANSLATE(B4453:B5064,""en"",""fr"")"),"redneck")</f>
        <v>redneck</v>
      </c>
    </row>
    <row r="4454" ht="19.5" customHeight="1">
      <c r="A4454" s="26" t="s">
        <v>11996</v>
      </c>
      <c r="B4454" s="27" t="s">
        <v>11997</v>
      </c>
      <c r="C4454" s="28" t="s">
        <v>178</v>
      </c>
      <c r="D4454" s="29">
        <v>41.0</v>
      </c>
      <c r="E4454" s="28" t="s">
        <v>11998</v>
      </c>
      <c r="F4454" s="7" t="str">
        <f>IFERROR(__xludf.DUMMYFUNCTION("GOOGLETRANSLATE(B4454:B5064,""en"",""fr"")"),"égard")</f>
        <v>égard</v>
      </c>
    </row>
    <row r="4455" ht="19.5" customHeight="1">
      <c r="A4455" s="26" t="s">
        <v>11999</v>
      </c>
      <c r="B4455" s="27" t="s">
        <v>12000</v>
      </c>
      <c r="C4455" s="28" t="s">
        <v>134</v>
      </c>
      <c r="D4455" s="29">
        <v>41.0</v>
      </c>
      <c r="E4455" s="28" t="s">
        <v>12000</v>
      </c>
      <c r="F4455" s="7" t="str">
        <f>IFERROR(__xludf.DUMMYFUNCTION("GOOGLETRANSLATE(B4455:B5064,""en"",""fr"")"),"pertinent")</f>
        <v>pertinent</v>
      </c>
    </row>
    <row r="4456" ht="19.5" customHeight="1">
      <c r="A4456" s="26" t="s">
        <v>12001</v>
      </c>
      <c r="B4456" s="27" t="s">
        <v>12002</v>
      </c>
      <c r="C4456" s="28" t="s">
        <v>32</v>
      </c>
      <c r="D4456" s="29">
        <v>41.0</v>
      </c>
      <c r="E4456" s="28" t="s">
        <v>12003</v>
      </c>
      <c r="F4456" s="7" t="str">
        <f>IFERROR(__xludf.DUMMYFUNCTION("GOOGLETRANSLATE(B4456:B5064,""en"",""fr"")"),"restreindre")</f>
        <v>restreindre</v>
      </c>
    </row>
    <row r="4457" ht="19.5" customHeight="1">
      <c r="A4457" s="26" t="s">
        <v>12004</v>
      </c>
      <c r="B4457" s="27" t="s">
        <v>12005</v>
      </c>
      <c r="C4457" s="28" t="s">
        <v>178</v>
      </c>
      <c r="D4457" s="29">
        <v>41.0</v>
      </c>
      <c r="E4457" s="28" t="s">
        <v>12006</v>
      </c>
      <c r="F4457" s="7" t="str">
        <f>IFERROR(__xludf.DUMMYFUNCTION("GOOGLETRANSLATE(B4457:B5064,""en"",""fr"")"),"satisfaction")</f>
        <v>satisfaction</v>
      </c>
    </row>
    <row r="4458" ht="19.5" customHeight="1">
      <c r="A4458" s="26" t="s">
        <v>12007</v>
      </c>
      <c r="B4458" s="27" t="s">
        <v>12008</v>
      </c>
      <c r="C4458" s="28" t="s">
        <v>100</v>
      </c>
      <c r="D4458" s="29">
        <v>41.0</v>
      </c>
      <c r="E4458" s="28" t="s">
        <v>12008</v>
      </c>
      <c r="F4458" s="7" t="str">
        <f>IFERROR(__xludf.DUMMYFUNCTION("GOOGLETRANSLATE(B4458:B5064,""en"",""fr"")"),"deuxièmement")</f>
        <v>deuxièmement</v>
      </c>
    </row>
    <row r="4459" ht="19.5" customHeight="1">
      <c r="A4459" s="26" t="s">
        <v>12009</v>
      </c>
      <c r="B4459" s="27" t="s">
        <v>1687</v>
      </c>
      <c r="C4459" s="28" t="s">
        <v>178</v>
      </c>
      <c r="D4459" s="29">
        <v>41.0</v>
      </c>
      <c r="E4459" s="28" t="s">
        <v>12010</v>
      </c>
      <c r="F4459" s="7" t="str">
        <f>IFERROR(__xludf.DUMMYFUNCTION("GOOGLETRANSLATE(B4459:B5064,""en"",""fr"")"),"célibataire")</f>
        <v>célibataire</v>
      </c>
    </row>
    <row r="4460" ht="19.5" customHeight="1">
      <c r="A4460" s="26" t="s">
        <v>12011</v>
      </c>
      <c r="B4460" s="27" t="s">
        <v>12012</v>
      </c>
      <c r="C4460" s="28" t="s">
        <v>178</v>
      </c>
      <c r="D4460" s="29">
        <v>41.0</v>
      </c>
      <c r="E4460" s="28" t="s">
        <v>12013</v>
      </c>
      <c r="F4460" s="7" t="str">
        <f>IFERROR(__xludf.DUMMYFUNCTION("GOOGLETRANSLATE(B4460:B5064,""en"",""fr"")"),"siroter")</f>
        <v>siroter</v>
      </c>
    </row>
    <row r="4461" ht="19.5" customHeight="1">
      <c r="A4461" s="26" t="s">
        <v>12014</v>
      </c>
      <c r="B4461" s="27" t="s">
        <v>12015</v>
      </c>
      <c r="C4461" s="28" t="s">
        <v>32</v>
      </c>
      <c r="D4461" s="29">
        <v>41.0</v>
      </c>
      <c r="E4461" s="28" t="s">
        <v>12016</v>
      </c>
      <c r="F4461" s="7" t="str">
        <f>IFERROR(__xludf.DUMMYFUNCTION("GOOGLETRANSLATE(B4461:B5064,""en"",""fr"")"),"parrainer")</f>
        <v>parrainer</v>
      </c>
    </row>
    <row r="4462" ht="19.5" customHeight="1">
      <c r="A4462" s="26" t="s">
        <v>12017</v>
      </c>
      <c r="B4462" s="27" t="s">
        <v>12018</v>
      </c>
      <c r="C4462" s="28" t="s">
        <v>178</v>
      </c>
      <c r="D4462" s="29">
        <v>41.0</v>
      </c>
      <c r="E4462" s="28" t="s">
        <v>12018</v>
      </c>
      <c r="F4462" s="7" t="str">
        <f>IFERROR(__xludf.DUMMYFUNCTION("GOOGLETRANSLATE(B4462:B5064,""en"",""fr"")"),"paillettes")</f>
        <v>paillettes</v>
      </c>
    </row>
    <row r="4463" ht="19.5" customHeight="1">
      <c r="A4463" s="26" t="s">
        <v>12019</v>
      </c>
      <c r="B4463" s="27" t="s">
        <v>12020</v>
      </c>
      <c r="C4463" s="28" t="s">
        <v>178</v>
      </c>
      <c r="D4463" s="29">
        <v>41.0</v>
      </c>
      <c r="E4463" s="28" t="s">
        <v>12021</v>
      </c>
      <c r="F4463" s="7" t="str">
        <f>IFERROR(__xludf.DUMMYFUNCTION("GOOGLETRANSLATE(B4463:B5064,""en"",""fr"")"),"acier")</f>
        <v>acier</v>
      </c>
    </row>
    <row r="4464" ht="19.5" customHeight="1">
      <c r="A4464" s="26" t="s">
        <v>12022</v>
      </c>
      <c r="B4464" s="27" t="s">
        <v>12023</v>
      </c>
      <c r="C4464" s="28" t="s">
        <v>178</v>
      </c>
      <c r="D4464" s="29">
        <v>41.0</v>
      </c>
      <c r="E4464" s="28" t="s">
        <v>12024</v>
      </c>
      <c r="F4464" s="7" t="str">
        <f>IFERROR(__xludf.DUMMYFUNCTION("GOOGLETRANSLATE(B4464:B5064,""en"",""fr"")"),"Sous-titre")</f>
        <v>Sous-titre</v>
      </c>
    </row>
    <row r="4465" ht="19.5" customHeight="1">
      <c r="A4465" s="26" t="s">
        <v>12025</v>
      </c>
      <c r="B4465" s="27" t="s">
        <v>12026</v>
      </c>
      <c r="C4465" s="28" t="s">
        <v>32</v>
      </c>
      <c r="D4465" s="29">
        <v>41.0</v>
      </c>
      <c r="E4465" s="28" t="s">
        <v>12027</v>
      </c>
      <c r="F4465" s="7" t="str">
        <f>IFERROR(__xludf.DUMMYFUNCTION("GOOGLETRANSLATE(B4465:B5064,""en"",""fr"")"),"tacle")</f>
        <v>tacle</v>
      </c>
    </row>
    <row r="4466" ht="19.5" customHeight="1">
      <c r="A4466" s="26" t="s">
        <v>12028</v>
      </c>
      <c r="B4466" s="27" t="s">
        <v>12029</v>
      </c>
      <c r="C4466" s="28" t="s">
        <v>134</v>
      </c>
      <c r="D4466" s="29">
        <v>41.0</v>
      </c>
      <c r="E4466" s="28" t="s">
        <v>12030</v>
      </c>
      <c r="F4466" s="7" t="str">
        <f>IFERROR(__xludf.DUMMYFUNCTION("GOOGLETRANSLATE(B4466:B5064,""en"",""fr"")"),"collant")</f>
        <v>collant</v>
      </c>
    </row>
    <row r="4467" ht="19.5" customHeight="1">
      <c r="A4467" s="26" t="s">
        <v>12031</v>
      </c>
      <c r="B4467" s="27" t="s">
        <v>12032</v>
      </c>
      <c r="C4467" s="28" t="s">
        <v>178</v>
      </c>
      <c r="D4467" s="29">
        <v>41.0</v>
      </c>
      <c r="E4467" s="28" t="s">
        <v>12033</v>
      </c>
      <c r="F4467" s="7" t="str">
        <f>IFERROR(__xludf.DUMMYFUNCTION("GOOGLETRANSLATE(B4467:B5064,""en"",""fr"")"),"territoire")</f>
        <v>territoire</v>
      </c>
    </row>
    <row r="4468" ht="19.5" customHeight="1">
      <c r="A4468" s="26" t="s">
        <v>12034</v>
      </c>
      <c r="B4468" s="27" t="s">
        <v>12035</v>
      </c>
      <c r="C4468" s="28" t="s">
        <v>178</v>
      </c>
      <c r="D4468" s="29">
        <v>41.0</v>
      </c>
      <c r="E4468" s="28" t="s">
        <v>12036</v>
      </c>
      <c r="F4468" s="7" t="str">
        <f>IFERROR(__xludf.DUMMYFUNCTION("GOOGLETRANSLATE(B4468:B5064,""en"",""fr"")"),"touristique")</f>
        <v>touristique</v>
      </c>
    </row>
    <row r="4469" ht="19.5" customHeight="1">
      <c r="A4469" s="26" t="s">
        <v>12037</v>
      </c>
      <c r="B4469" s="27" t="s">
        <v>12038</v>
      </c>
      <c r="C4469" s="28" t="s">
        <v>134</v>
      </c>
      <c r="D4469" s="29">
        <v>41.0</v>
      </c>
      <c r="E4469" s="28" t="s">
        <v>12038</v>
      </c>
      <c r="F4469" s="7" t="str">
        <f>IFERROR(__xludf.DUMMYFUNCTION("GOOGLETRANSLATE(B4469:B5064,""en"",""fr"")"),"formidable")</f>
        <v>formidable</v>
      </c>
    </row>
    <row r="4470" ht="19.5" customHeight="1">
      <c r="A4470" s="26" t="s">
        <v>12039</v>
      </c>
      <c r="B4470" s="27" t="s">
        <v>12040</v>
      </c>
      <c r="C4470" s="28" t="s">
        <v>32</v>
      </c>
      <c r="D4470" s="29">
        <v>41.0</v>
      </c>
      <c r="E4470" s="28" t="s">
        <v>12041</v>
      </c>
      <c r="F4470" s="7" t="str">
        <f>IFERROR(__xludf.DUMMYFUNCTION("GOOGLETRANSLATE(B4470:B5064,""en"",""fr"")"),"garniture")</f>
        <v>garniture</v>
      </c>
    </row>
    <row r="4471" ht="19.5" customHeight="1">
      <c r="A4471" s="26" t="s">
        <v>12042</v>
      </c>
      <c r="B4471" s="27" t="s">
        <v>12043</v>
      </c>
      <c r="C4471" s="28" t="s">
        <v>178</v>
      </c>
      <c r="D4471" s="29">
        <v>41.0</v>
      </c>
      <c r="E4471" s="28" t="s">
        <v>12044</v>
      </c>
      <c r="F4471" s="7" t="str">
        <f>IFERROR(__xludf.DUMMYFUNCTION("GOOGLETRANSLATE(B4471:B5064,""en"",""fr"")"),"smoking")</f>
        <v>smoking</v>
      </c>
    </row>
    <row r="4472" ht="19.5" customHeight="1">
      <c r="A4472" s="26" t="s">
        <v>12045</v>
      </c>
      <c r="B4472" s="27" t="s">
        <v>12046</v>
      </c>
      <c r="C4472" s="28" t="s">
        <v>178</v>
      </c>
      <c r="D4472" s="29">
        <v>41.0</v>
      </c>
      <c r="E4472" s="28" t="s">
        <v>12047</v>
      </c>
      <c r="F4472" s="7" t="str">
        <f>IFERROR(__xludf.DUMMYFUNCTION("GOOGLETRANSLATE(B4472:B5064,""en"",""fr"")"),"Valentin")</f>
        <v>Valentin</v>
      </c>
    </row>
    <row r="4473" ht="19.5" customHeight="1">
      <c r="A4473" s="26" t="s">
        <v>12048</v>
      </c>
      <c r="B4473" s="27" t="s">
        <v>12049</v>
      </c>
      <c r="C4473" s="28" t="s">
        <v>178</v>
      </c>
      <c r="D4473" s="29">
        <v>41.0</v>
      </c>
      <c r="E4473" s="28" t="s">
        <v>12050</v>
      </c>
      <c r="F4473" s="7" t="str">
        <f>IFERROR(__xludf.DUMMYFUNCTION("GOOGLETRANSLATE(B4473:B5064,""en"",""fr"")"),"végétalien")</f>
        <v>végétalien</v>
      </c>
    </row>
    <row r="4474" ht="19.5" customHeight="1">
      <c r="A4474" s="26" t="s">
        <v>12051</v>
      </c>
      <c r="B4474" s="27" t="s">
        <v>12052</v>
      </c>
      <c r="C4474" s="28" t="s">
        <v>178</v>
      </c>
      <c r="D4474" s="29">
        <v>41.0</v>
      </c>
      <c r="E4474" s="28" t="s">
        <v>12053</v>
      </c>
      <c r="F4474" s="7" t="str">
        <f>IFERROR(__xludf.DUMMYFUNCTION("GOOGLETRANSLATE(B4474:B5064,""en"",""fr"")"),"utérus")</f>
        <v>utérus</v>
      </c>
    </row>
    <row r="4475" ht="19.5" customHeight="1">
      <c r="A4475" s="26" t="s">
        <v>12054</v>
      </c>
      <c r="B4475" s="27" t="s">
        <v>12055</v>
      </c>
      <c r="C4475" s="28" t="s">
        <v>178</v>
      </c>
      <c r="D4475" s="29">
        <v>41.0</v>
      </c>
      <c r="E4475" s="28" t="s">
        <v>12056</v>
      </c>
      <c r="F4475" s="7" t="str">
        <f>IFERROR(__xludf.DUMMYFUNCTION("GOOGLETRANSLATE(B4475:B5064,""en"",""fr"")"),"institut")</f>
        <v>institut</v>
      </c>
    </row>
    <row r="4476" ht="19.5" customHeight="1">
      <c r="A4476" s="26" t="s">
        <v>12057</v>
      </c>
      <c r="B4476" s="27" t="s">
        <v>12058</v>
      </c>
      <c r="C4476" s="28" t="s">
        <v>178</v>
      </c>
      <c r="D4476" s="29">
        <v>41.0</v>
      </c>
      <c r="E4476" s="28" t="s">
        <v>12059</v>
      </c>
      <c r="F4476" s="7" t="str">
        <f>IFERROR(__xludf.DUMMYFUNCTION("GOOGLETRANSLATE(B4476:B5064,""en"",""fr"")"),"patte")</f>
        <v>patte</v>
      </c>
    </row>
    <row r="4477" ht="19.5" customHeight="1">
      <c r="A4477" s="26" t="s">
        <v>12060</v>
      </c>
      <c r="B4477" s="27" t="s">
        <v>12061</v>
      </c>
      <c r="C4477" s="28" t="s">
        <v>178</v>
      </c>
      <c r="D4477" s="29">
        <v>40.0</v>
      </c>
      <c r="E4477" s="28" t="s">
        <v>12062</v>
      </c>
      <c r="F4477" s="7" t="str">
        <f>IFERROR(__xludf.DUMMYFUNCTION("GOOGLETRANSLATE(B4477:B5064,""en"",""fr"")"),"absence")</f>
        <v>absence</v>
      </c>
    </row>
    <row r="4478" ht="19.5" customHeight="1">
      <c r="A4478" s="26" t="s">
        <v>12063</v>
      </c>
      <c r="B4478" s="27" t="s">
        <v>12064</v>
      </c>
      <c r="C4478" s="28" t="s">
        <v>134</v>
      </c>
      <c r="D4478" s="29">
        <v>40.0</v>
      </c>
      <c r="E4478" s="28" t="s">
        <v>12064</v>
      </c>
      <c r="F4478" s="7" t="str">
        <f>IFERROR(__xludf.DUMMYFUNCTION("GOOGLETRANSLATE(B4478:B5064,""en"",""fr"")"),"acceptable")</f>
        <v>acceptable</v>
      </c>
    </row>
    <row r="4479" ht="19.5" customHeight="1">
      <c r="A4479" s="26" t="s">
        <v>12065</v>
      </c>
      <c r="B4479" s="27" t="s">
        <v>4438</v>
      </c>
      <c r="C4479" s="28" t="s">
        <v>134</v>
      </c>
      <c r="D4479" s="29">
        <v>40.0</v>
      </c>
      <c r="E4479" s="28" t="s">
        <v>4438</v>
      </c>
      <c r="F4479" s="7" t="str">
        <f>IFERROR(__xludf.DUMMYFUNCTION("GOOGLETRANSLATE(B4479:B5064,""en"",""fr"")"),"à part")</f>
        <v>à part</v>
      </c>
    </row>
    <row r="4480" ht="19.5" customHeight="1">
      <c r="A4480" s="26" t="s">
        <v>12066</v>
      </c>
      <c r="B4480" s="27" t="s">
        <v>12067</v>
      </c>
      <c r="C4480" s="28" t="s">
        <v>32</v>
      </c>
      <c r="D4480" s="29">
        <v>40.0</v>
      </c>
      <c r="E4480" s="28" t="s">
        <v>12068</v>
      </c>
      <c r="F4480" s="7" t="str">
        <f>IFERROR(__xludf.DUMMYFUNCTION("GOOGLETRANSLATE(B4480:B5064,""en"",""fr"")"),"assembler")</f>
        <v>assembler</v>
      </c>
    </row>
    <row r="4481" ht="19.5" customHeight="1">
      <c r="A4481" s="26" t="s">
        <v>12069</v>
      </c>
      <c r="B4481" s="27" t="s">
        <v>12070</v>
      </c>
      <c r="C4481" s="28" t="s">
        <v>178</v>
      </c>
      <c r="D4481" s="29">
        <v>40.0</v>
      </c>
      <c r="E4481" s="28" t="s">
        <v>12070</v>
      </c>
      <c r="F4481" s="7" t="str">
        <f>IFERROR(__xludf.DUMMYFUNCTION("GOOGLETRANSLATE(B4481:B5064,""en"",""fr"")"),"assistance")</f>
        <v>assistance</v>
      </c>
    </row>
    <row r="4482" ht="19.5" customHeight="1">
      <c r="A4482" s="26" t="s">
        <v>12071</v>
      </c>
      <c r="B4482" s="27" t="s">
        <v>232</v>
      </c>
      <c r="C4482" s="28" t="s">
        <v>32</v>
      </c>
      <c r="D4482" s="29">
        <v>40.0</v>
      </c>
      <c r="E4482" s="28" t="s">
        <v>12072</v>
      </c>
      <c r="F4482" s="7" t="str">
        <f>IFERROR(__xludf.DUMMYFUNCTION("GOOGLETRANSLATE(B4482:B5064,""en"",""fr"")"),"dos")</f>
        <v>dos</v>
      </c>
    </row>
    <row r="4483" ht="19.5" customHeight="1">
      <c r="A4483" s="26" t="s">
        <v>12073</v>
      </c>
      <c r="B4483" s="27" t="s">
        <v>12074</v>
      </c>
      <c r="C4483" s="28" t="s">
        <v>32</v>
      </c>
      <c r="D4483" s="29">
        <v>40.0</v>
      </c>
      <c r="E4483" s="28" t="s">
        <v>12075</v>
      </c>
      <c r="F4483" s="7" t="str">
        <f>IFERROR(__xludf.DUMMYFUNCTION("GOOGLETRANSLATE(B4483:B5064,""en"",""fr"")"),"bluffer")</f>
        <v>bluffer</v>
      </c>
    </row>
    <row r="4484" ht="19.5" customHeight="1">
      <c r="A4484" s="26" t="s">
        <v>12076</v>
      </c>
      <c r="B4484" s="27" t="s">
        <v>12077</v>
      </c>
      <c r="C4484" s="28" t="s">
        <v>32</v>
      </c>
      <c r="D4484" s="29">
        <v>40.0</v>
      </c>
      <c r="E4484" s="28" t="s">
        <v>12078</v>
      </c>
      <c r="F4484" s="7" t="str">
        <f>IFERROR(__xludf.DUMMYFUNCTION("GOOGLETRANSLATE(B4484:B5064,""en"",""fr"")"),"pot-de-vin")</f>
        <v>pot-de-vin</v>
      </c>
    </row>
    <row r="4485" ht="19.5" customHeight="1">
      <c r="A4485" s="26" t="s">
        <v>12079</v>
      </c>
      <c r="B4485" s="27" t="s">
        <v>5053</v>
      </c>
      <c r="C4485" s="28" t="s">
        <v>32</v>
      </c>
      <c r="D4485" s="29">
        <v>40.0</v>
      </c>
      <c r="E4485" s="28" t="s">
        <v>12080</v>
      </c>
      <c r="F4485" s="7" t="str">
        <f>IFERROR(__xludf.DUMMYFUNCTION("GOOGLETRANSLATE(B4485:B5064,""en"",""fr"")"),"clochard")</f>
        <v>clochard</v>
      </c>
    </row>
    <row r="4486" ht="19.5" customHeight="1">
      <c r="A4486" s="26" t="s">
        <v>12081</v>
      </c>
      <c r="B4486" s="27" t="s">
        <v>12082</v>
      </c>
      <c r="C4486" s="28" t="s">
        <v>32</v>
      </c>
      <c r="D4486" s="29">
        <v>40.0</v>
      </c>
      <c r="E4486" s="28" t="s">
        <v>12083</v>
      </c>
      <c r="F4486" s="7" t="str">
        <f>IFERROR(__xludf.DUMMYFUNCTION("GOOGLETRANSLATE(B4486:B5064,""en"",""fr"")"),"concevoir")</f>
        <v>concevoir</v>
      </c>
    </row>
    <row r="4487" ht="19.5" customHeight="1">
      <c r="A4487" s="26" t="s">
        <v>12084</v>
      </c>
      <c r="B4487" s="27" t="s">
        <v>12085</v>
      </c>
      <c r="C4487" s="28" t="s">
        <v>178</v>
      </c>
      <c r="D4487" s="29">
        <v>40.0</v>
      </c>
      <c r="E4487" s="28" t="s">
        <v>12086</v>
      </c>
      <c r="F4487" s="7" t="str">
        <f>IFERROR(__xludf.DUMMYFUNCTION("GOOGLETRANSLATE(B4487:B5064,""en"",""fr"")"),"le dîner")</f>
        <v>le dîner</v>
      </c>
    </row>
    <row r="4488" ht="19.5" customHeight="1">
      <c r="A4488" s="26" t="s">
        <v>12087</v>
      </c>
      <c r="B4488" s="27" t="s">
        <v>12088</v>
      </c>
      <c r="C4488" s="28" t="s">
        <v>178</v>
      </c>
      <c r="D4488" s="29">
        <v>40.0</v>
      </c>
      <c r="E4488" s="28" t="s">
        <v>12089</v>
      </c>
      <c r="F4488" s="7" t="str">
        <f>IFERROR(__xludf.DUMMYFUNCTION("GOOGLETRANSLATE(B4488:B5064,""en"",""fr"")"),"donneur")</f>
        <v>donneur</v>
      </c>
    </row>
    <row r="4489" ht="19.5" customHeight="1">
      <c r="A4489" s="26" t="s">
        <v>12090</v>
      </c>
      <c r="B4489" s="27" t="s">
        <v>8637</v>
      </c>
      <c r="C4489" s="28" t="s">
        <v>32</v>
      </c>
      <c r="D4489" s="29">
        <v>40.0</v>
      </c>
      <c r="E4489" s="28" t="s">
        <v>12091</v>
      </c>
      <c r="F4489" s="7" t="str">
        <f>IFERROR(__xludf.DUMMYFUNCTION("GOOGLETRANSLATE(B4489:B5064,""en"",""fr"")"),"percer")</f>
        <v>percer</v>
      </c>
    </row>
    <row r="4490" ht="19.5" customHeight="1">
      <c r="A4490" s="26" t="s">
        <v>12092</v>
      </c>
      <c r="B4490" s="27" t="s">
        <v>12093</v>
      </c>
      <c r="C4490" s="28" t="s">
        <v>32</v>
      </c>
      <c r="D4490" s="29">
        <v>40.0</v>
      </c>
      <c r="E4490" s="28" t="s">
        <v>12094</v>
      </c>
      <c r="F4490" s="7" t="str">
        <f>IFERROR(__xludf.DUMMYFUNCTION("GOOGLETRANSLATE(B4490:B5064,""en"",""fr"")"),"expulser")</f>
        <v>expulser</v>
      </c>
    </row>
    <row r="4491" ht="19.5" customHeight="1">
      <c r="A4491" s="26" t="s">
        <v>12095</v>
      </c>
      <c r="B4491" s="27" t="s">
        <v>12096</v>
      </c>
      <c r="C4491" s="28" t="s">
        <v>178</v>
      </c>
      <c r="D4491" s="29">
        <v>40.0</v>
      </c>
      <c r="E4491" s="28" t="s">
        <v>12096</v>
      </c>
      <c r="F4491" s="7" t="str">
        <f>IFERROR(__xludf.DUMMYFUNCTION("GOOGLETRANSLATE(B4491:B5064,""en"",""fr"")"),"finales")</f>
        <v>finales</v>
      </c>
    </row>
    <row r="4492" ht="19.5" customHeight="1">
      <c r="A4492" s="26" t="s">
        <v>12097</v>
      </c>
      <c r="B4492" s="27" t="s">
        <v>9399</v>
      </c>
      <c r="C4492" s="28" t="s">
        <v>32</v>
      </c>
      <c r="D4492" s="29">
        <v>40.0</v>
      </c>
      <c r="E4492" s="28" t="s">
        <v>12098</v>
      </c>
      <c r="F4492" s="7" t="str">
        <f>IFERROR(__xludf.DUMMYFUNCTION("GOOGLETRANSLATE(B4492:B5064,""en"",""fr"")"),"couler")</f>
        <v>couler</v>
      </c>
    </row>
    <row r="4493" ht="19.5" customHeight="1">
      <c r="A4493" s="26" t="s">
        <v>12099</v>
      </c>
      <c r="B4493" s="27" t="s">
        <v>12100</v>
      </c>
      <c r="C4493" s="28" t="s">
        <v>178</v>
      </c>
      <c r="D4493" s="29">
        <v>40.0</v>
      </c>
      <c r="E4493" s="28" t="s">
        <v>12101</v>
      </c>
      <c r="F4493" s="7" t="str">
        <f>IFERROR(__xludf.DUMMYFUNCTION("GOOGLETRANSLATE(B4493:B5064,""en"",""fr"")"),"ail")</f>
        <v>ail</v>
      </c>
    </row>
    <row r="4494" ht="19.5" customHeight="1">
      <c r="A4494" s="26" t="s">
        <v>12102</v>
      </c>
      <c r="B4494" s="27" t="s">
        <v>3343</v>
      </c>
      <c r="C4494" s="28" t="s">
        <v>32</v>
      </c>
      <c r="D4494" s="29">
        <v>40.0</v>
      </c>
      <c r="E4494" s="28" t="s">
        <v>12103</v>
      </c>
      <c r="F4494" s="7" t="str">
        <f>IFERROR(__xludf.DUMMYFUNCTION("GOOGLETRANSLATE(B4494:B5064,""en"",""fr"")"),"le golf")</f>
        <v>le golf</v>
      </c>
    </row>
    <row r="4495" ht="19.5" customHeight="1">
      <c r="A4495" s="26" t="s">
        <v>12104</v>
      </c>
      <c r="B4495" s="27" t="s">
        <v>12105</v>
      </c>
      <c r="C4495" s="28" t="s">
        <v>178</v>
      </c>
      <c r="D4495" s="29">
        <v>40.0</v>
      </c>
      <c r="E4495" s="28" t="s">
        <v>12106</v>
      </c>
      <c r="F4495" s="7" t="str">
        <f>IFERROR(__xludf.DUMMYFUNCTION("GOOGLETRANSLATE(B4495:B5064,""en"",""fr"")"),"aine")</f>
        <v>aine</v>
      </c>
    </row>
    <row r="4496" ht="19.5" customHeight="1">
      <c r="A4496" s="26" t="s">
        <v>12107</v>
      </c>
      <c r="B4496" s="27" t="s">
        <v>12108</v>
      </c>
      <c r="C4496" s="28" t="s">
        <v>178</v>
      </c>
      <c r="D4496" s="29">
        <v>40.0</v>
      </c>
      <c r="E4496" s="28" t="s">
        <v>12109</v>
      </c>
      <c r="F4496" s="7" t="str">
        <f>IFERROR(__xludf.DUMMYFUNCTION("GOOGLETRANSLATE(B4496:B5064,""en"",""fr"")"),"poignée")</f>
        <v>poignée</v>
      </c>
    </row>
    <row r="4497" ht="19.5" customHeight="1">
      <c r="A4497" s="26" t="s">
        <v>12110</v>
      </c>
      <c r="B4497" s="27" t="s">
        <v>12111</v>
      </c>
      <c r="C4497" s="28" t="s">
        <v>32</v>
      </c>
      <c r="D4497" s="29">
        <v>40.0</v>
      </c>
      <c r="E4497" s="28" t="s">
        <v>12112</v>
      </c>
      <c r="F4497" s="7" t="str">
        <f>IFERROR(__xludf.DUMMYFUNCTION("GOOGLETRANSLATE(B4497:B5064,""en"",""fr"")"),"randonnée")</f>
        <v>randonnée</v>
      </c>
    </row>
    <row r="4498" ht="19.5" customHeight="1">
      <c r="A4498" s="26" t="s">
        <v>12113</v>
      </c>
      <c r="B4498" s="27" t="s">
        <v>12114</v>
      </c>
      <c r="C4498" s="28" t="s">
        <v>178</v>
      </c>
      <c r="D4498" s="29">
        <v>40.0</v>
      </c>
      <c r="E4498" s="28" t="s">
        <v>12115</v>
      </c>
      <c r="F4498" s="7" t="str">
        <f>IFERROR(__xludf.DUMMYFUNCTION("GOOGLETRANSLATE(B4498:B5064,""en"",""fr"")"),"importance")</f>
        <v>importance</v>
      </c>
    </row>
    <row r="4499" ht="19.5" customHeight="1">
      <c r="A4499" s="26" t="s">
        <v>12116</v>
      </c>
      <c r="B4499" s="27" t="s">
        <v>12117</v>
      </c>
      <c r="C4499" s="28" t="s">
        <v>178</v>
      </c>
      <c r="D4499" s="29">
        <v>40.0</v>
      </c>
      <c r="E4499" s="28" t="s">
        <v>12118</v>
      </c>
      <c r="F4499" s="7" t="str">
        <f>IFERROR(__xludf.DUMMYFUNCTION("GOOGLETRANSLATE(B4499:B5064,""en"",""fr"")"),"intimité")</f>
        <v>intimité</v>
      </c>
    </row>
    <row r="4500" ht="19.5" customHeight="1">
      <c r="A4500" s="26" t="s">
        <v>12119</v>
      </c>
      <c r="B4500" s="27" t="s">
        <v>12120</v>
      </c>
      <c r="C4500" s="28" t="s">
        <v>178</v>
      </c>
      <c r="D4500" s="29">
        <v>40.0</v>
      </c>
      <c r="E4500" s="28" t="s">
        <v>12121</v>
      </c>
      <c r="F4500" s="7" t="str">
        <f>IFERROR(__xludf.DUMMYFUNCTION("GOOGLETRANSLATE(B4500:B5064,""en"",""fr"")"),"inventeur")</f>
        <v>inventeur</v>
      </c>
    </row>
    <row r="4501" ht="19.5" customHeight="1">
      <c r="A4501" s="26" t="s">
        <v>12122</v>
      </c>
      <c r="B4501" s="27" t="s">
        <v>12123</v>
      </c>
      <c r="C4501" s="28" t="s">
        <v>178</v>
      </c>
      <c r="D4501" s="29">
        <v>40.0</v>
      </c>
      <c r="E4501" s="28" t="s">
        <v>12124</v>
      </c>
      <c r="F4501" s="7" t="str">
        <f>IFERROR(__xludf.DUMMYFUNCTION("GOOGLETRANSLATE(B4501:B5064,""en"",""fr"")"),"mentor")</f>
        <v>mentor</v>
      </c>
    </row>
    <row r="4502" ht="19.5" customHeight="1">
      <c r="A4502" s="26" t="s">
        <v>12125</v>
      </c>
      <c r="B4502" s="27" t="s">
        <v>12126</v>
      </c>
      <c r="C4502" s="28" t="s">
        <v>178</v>
      </c>
      <c r="D4502" s="29">
        <v>40.0</v>
      </c>
      <c r="E4502" s="28" t="s">
        <v>12127</v>
      </c>
      <c r="F4502" s="7" t="str">
        <f>IFERROR(__xludf.DUMMYFUNCTION("GOOGLETRANSLATE(B4502:B5064,""en"",""fr"")"),"Momie")</f>
        <v>Momie</v>
      </c>
    </row>
    <row r="4503" ht="19.5" customHeight="1">
      <c r="A4503" s="26" t="s">
        <v>12128</v>
      </c>
      <c r="B4503" s="27" t="s">
        <v>12129</v>
      </c>
      <c r="C4503" s="28" t="s">
        <v>178</v>
      </c>
      <c r="D4503" s="29">
        <v>40.0</v>
      </c>
      <c r="E4503" s="28" t="s">
        <v>12130</v>
      </c>
      <c r="F4503" s="7" t="str">
        <f>IFERROR(__xludf.DUMMYFUNCTION("GOOGLETRANSLATE(B4503:B5064,""en"",""fr"")"),"neuvième")</f>
        <v>neuvième</v>
      </c>
    </row>
    <row r="4504" ht="19.5" customHeight="1">
      <c r="A4504" s="26" t="s">
        <v>12131</v>
      </c>
      <c r="B4504" s="27" t="s">
        <v>12132</v>
      </c>
      <c r="C4504" s="28" t="s">
        <v>32</v>
      </c>
      <c r="D4504" s="29">
        <v>40.0</v>
      </c>
      <c r="E4504" s="28" t="s">
        <v>12133</v>
      </c>
      <c r="F4504" s="7" t="str">
        <f>IFERROR(__xludf.DUMMYFUNCTION("GOOGLETRANSLATE(B4504:B5064,""en"",""fr"")"),"occuper")</f>
        <v>occuper</v>
      </c>
    </row>
    <row r="4505" ht="19.5" customHeight="1">
      <c r="A4505" s="26" t="s">
        <v>12134</v>
      </c>
      <c r="B4505" s="27" t="s">
        <v>12135</v>
      </c>
      <c r="C4505" s="28" t="s">
        <v>178</v>
      </c>
      <c r="D4505" s="29">
        <v>40.0</v>
      </c>
      <c r="E4505" s="28" t="s">
        <v>12136</v>
      </c>
      <c r="F4505" s="7" t="str">
        <f>IFERROR(__xludf.DUMMYFUNCTION("GOOGLETRANSLATE(B4505:B5064,""en"",""fr"")"),"brochure")</f>
        <v>brochure</v>
      </c>
    </row>
    <row r="4506" ht="19.5" customHeight="1">
      <c r="A4506" s="26" t="s">
        <v>12137</v>
      </c>
      <c r="B4506" s="27" t="s">
        <v>12138</v>
      </c>
      <c r="C4506" s="28" t="s">
        <v>32</v>
      </c>
      <c r="D4506" s="29">
        <v>40.0</v>
      </c>
      <c r="E4506" s="28" t="s">
        <v>12139</v>
      </c>
      <c r="F4506" s="7" t="str">
        <f>IFERROR(__xludf.DUMMYFUNCTION("GOOGLETRANSLATE(B4506:B5064,""en"",""fr"")"),"pause")</f>
        <v>pause</v>
      </c>
    </row>
    <row r="4507" ht="19.5" customHeight="1">
      <c r="A4507" s="26" t="s">
        <v>12140</v>
      </c>
      <c r="B4507" s="27" t="s">
        <v>12141</v>
      </c>
      <c r="C4507" s="28" t="s">
        <v>134</v>
      </c>
      <c r="D4507" s="29">
        <v>40.0</v>
      </c>
      <c r="E4507" s="28" t="s">
        <v>12141</v>
      </c>
      <c r="F4507" s="7" t="str">
        <f>IFERROR(__xludf.DUMMYFUNCTION("GOOGLETRANSLATE(B4507:B5064,""en"",""fr"")"),"prétentieux")</f>
        <v>prétentieux</v>
      </c>
    </row>
    <row r="4508" ht="19.5" customHeight="1">
      <c r="A4508" s="26" t="s">
        <v>12142</v>
      </c>
      <c r="B4508" s="27" t="s">
        <v>12143</v>
      </c>
      <c r="C4508" s="28" t="s">
        <v>178</v>
      </c>
      <c r="D4508" s="29">
        <v>40.0</v>
      </c>
      <c r="E4508" s="28" t="s">
        <v>12144</v>
      </c>
      <c r="F4508" s="7" t="str">
        <f>IFERROR(__xludf.DUMMYFUNCTION("GOOGLETRANSLATE(B4508:B5064,""en"",""fr"")"),"ranch")</f>
        <v>ranch</v>
      </c>
    </row>
    <row r="4509" ht="19.5" customHeight="1">
      <c r="A4509" s="26" t="s">
        <v>12145</v>
      </c>
      <c r="B4509" s="27" t="s">
        <v>12146</v>
      </c>
      <c r="C4509" s="28" t="s">
        <v>134</v>
      </c>
      <c r="D4509" s="29">
        <v>40.0</v>
      </c>
      <c r="E4509" s="28" t="s">
        <v>12146</v>
      </c>
      <c r="F4509" s="7" t="str">
        <f>IFERROR(__xludf.DUMMYFUNCTION("GOOGLETRANSLATE(B4509:B5064,""en"",""fr"")"),"inverse")</f>
        <v>inverse</v>
      </c>
    </row>
    <row r="4510" ht="19.5" customHeight="1">
      <c r="A4510" s="26" t="s">
        <v>12147</v>
      </c>
      <c r="B4510" s="27" t="s">
        <v>12148</v>
      </c>
      <c r="C4510" s="28" t="s">
        <v>178</v>
      </c>
      <c r="D4510" s="29">
        <v>40.0</v>
      </c>
      <c r="E4510" s="28" t="s">
        <v>12149</v>
      </c>
      <c r="F4510" s="7" t="str">
        <f>IFERROR(__xludf.DUMMYFUNCTION("GOOGLETRANSLATE(B4510:B5064,""en"",""fr"")"),"coq")</f>
        <v>coq</v>
      </c>
    </row>
    <row r="4511" ht="19.5" customHeight="1">
      <c r="A4511" s="26" t="s">
        <v>12150</v>
      </c>
      <c r="B4511" s="27" t="s">
        <v>12151</v>
      </c>
      <c r="C4511" s="28" t="s">
        <v>32</v>
      </c>
      <c r="D4511" s="29">
        <v>40.0</v>
      </c>
      <c r="E4511" s="28" t="s">
        <v>12152</v>
      </c>
      <c r="F4511" s="7" t="str">
        <f>IFERROR(__xludf.DUMMYFUNCTION("GOOGLETRANSLATE(B4511:B5064,""en"",""fr"")"),"brouiller")</f>
        <v>brouiller</v>
      </c>
    </row>
    <row r="4512" ht="19.5" customHeight="1">
      <c r="A4512" s="26" t="s">
        <v>12153</v>
      </c>
      <c r="B4512" s="27" t="s">
        <v>12154</v>
      </c>
      <c r="C4512" s="28" t="s">
        <v>32</v>
      </c>
      <c r="D4512" s="29">
        <v>40.0</v>
      </c>
      <c r="E4512" s="28" t="s">
        <v>12155</v>
      </c>
      <c r="F4512" s="7" t="str">
        <f>IFERROR(__xludf.DUMMYFUNCTION("GOOGLETRANSLATE(B4512:B5064,""en"",""fr"")"),"rayer")</f>
        <v>rayer</v>
      </c>
    </row>
    <row r="4513" ht="19.5" customHeight="1">
      <c r="A4513" s="26" t="s">
        <v>12156</v>
      </c>
      <c r="B4513" s="27" t="s">
        <v>12157</v>
      </c>
      <c r="C4513" s="28" t="s">
        <v>178</v>
      </c>
      <c r="D4513" s="29">
        <v>40.0</v>
      </c>
      <c r="E4513" s="28" t="s">
        <v>12158</v>
      </c>
      <c r="F4513" s="7" t="str">
        <f>IFERROR(__xludf.DUMMYFUNCTION("GOOGLETRANSLATE(B4513:B5064,""en"",""fr"")"),"sensation")</f>
        <v>sensation</v>
      </c>
    </row>
    <row r="4514" ht="19.5" customHeight="1">
      <c r="A4514" s="26" t="s">
        <v>12159</v>
      </c>
      <c r="B4514" s="27" t="s">
        <v>12160</v>
      </c>
      <c r="C4514" s="28" t="s">
        <v>178</v>
      </c>
      <c r="D4514" s="29">
        <v>40.0</v>
      </c>
      <c r="E4514" s="28" t="s">
        <v>12161</v>
      </c>
      <c r="F4514" s="7" t="str">
        <f>IFERROR(__xludf.DUMMYFUNCTION("GOOGLETRANSLATE(B4514:B5064,""en"",""fr"")"),"Navette")</f>
        <v>Navette</v>
      </c>
    </row>
    <row r="4515" ht="19.5" customHeight="1">
      <c r="A4515" s="26" t="s">
        <v>12162</v>
      </c>
      <c r="B4515" s="27" t="s">
        <v>12163</v>
      </c>
      <c r="C4515" s="28" t="s">
        <v>32</v>
      </c>
      <c r="D4515" s="29">
        <v>40.0</v>
      </c>
      <c r="E4515" s="28" t="s">
        <v>12164</v>
      </c>
      <c r="F4515" s="7" t="str">
        <f>IFERROR(__xludf.DUMMYFUNCTION("GOOGLETRANSLATE(B4515:B5064,""en"",""fr"")"),"décrochage")</f>
        <v>décrochage</v>
      </c>
    </row>
    <row r="4516" ht="19.5" customHeight="1">
      <c r="A4516" s="26" t="s">
        <v>12165</v>
      </c>
      <c r="B4516" s="27" t="s">
        <v>5941</v>
      </c>
      <c r="C4516" s="28" t="s">
        <v>32</v>
      </c>
      <c r="D4516" s="29">
        <v>40.0</v>
      </c>
      <c r="E4516" s="28" t="s">
        <v>12166</v>
      </c>
      <c r="F4516" s="7" t="str">
        <f>IFERROR(__xludf.DUMMYFUNCTION("GOOGLETRANSLATE(B4516:B5064,""en"",""fr"")"),"tempête")</f>
        <v>tempête</v>
      </c>
    </row>
    <row r="4517" ht="19.5" customHeight="1">
      <c r="A4517" s="26" t="s">
        <v>12167</v>
      </c>
      <c r="B4517" s="27" t="s">
        <v>12168</v>
      </c>
      <c r="C4517" s="28" t="s">
        <v>32</v>
      </c>
      <c r="D4517" s="29">
        <v>40.0</v>
      </c>
      <c r="E4517" s="28" t="s">
        <v>12169</v>
      </c>
      <c r="F4517" s="7" t="str">
        <f>IFERROR(__xludf.DUMMYFUNCTION("GOOGLETRANSLATE(B4517:B5064,""en"",""fr"")"),"convoquer")</f>
        <v>convoquer</v>
      </c>
    </row>
    <row r="4518" ht="19.5" customHeight="1">
      <c r="A4518" s="26" t="s">
        <v>12170</v>
      </c>
      <c r="B4518" s="27" t="s">
        <v>12171</v>
      </c>
      <c r="C4518" s="28" t="s">
        <v>178</v>
      </c>
      <c r="D4518" s="29">
        <v>40.0</v>
      </c>
      <c r="E4518" s="28" t="s">
        <v>12172</v>
      </c>
      <c r="F4518" s="7" t="str">
        <f>IFERROR(__xludf.DUMMYFUNCTION("GOOGLETRANSLATE(B4518:B5064,""en"",""fr"")"),"un peu")</f>
        <v>un peu</v>
      </c>
    </row>
    <row r="4519" ht="19.5" customHeight="1">
      <c r="A4519" s="26" t="s">
        <v>12173</v>
      </c>
      <c r="B4519" s="27" t="s">
        <v>12174</v>
      </c>
      <c r="C4519" s="28" t="s">
        <v>32</v>
      </c>
      <c r="D4519" s="29">
        <v>40.0</v>
      </c>
      <c r="E4519" s="28" t="s">
        <v>12175</v>
      </c>
      <c r="F4519" s="7" t="str">
        <f>IFERROR(__xludf.DUMMYFUNCTION("GOOGLETRANSLATE(B4519:B5064,""en"",""fr"")"),"bronzer")</f>
        <v>bronzer</v>
      </c>
    </row>
    <row r="4520" ht="19.5" customHeight="1">
      <c r="A4520" s="26" t="s">
        <v>12176</v>
      </c>
      <c r="B4520" s="27" t="s">
        <v>12177</v>
      </c>
      <c r="C4520" s="28" t="s">
        <v>178</v>
      </c>
      <c r="D4520" s="29">
        <v>40.0</v>
      </c>
      <c r="E4520" s="28" t="s">
        <v>12178</v>
      </c>
      <c r="F4520" s="7" t="str">
        <f>IFERROR(__xludf.DUMMYFUNCTION("GOOGLETRANSLATE(B4520:B5064,""en"",""fr"")"),"tango")</f>
        <v>tango</v>
      </c>
    </row>
    <row r="4521" ht="19.5" customHeight="1">
      <c r="A4521" s="26" t="s">
        <v>12179</v>
      </c>
      <c r="B4521" s="27" t="s">
        <v>12180</v>
      </c>
      <c r="C4521" s="28" t="s">
        <v>134</v>
      </c>
      <c r="D4521" s="29">
        <v>40.0</v>
      </c>
      <c r="E4521" s="28" t="s">
        <v>12181</v>
      </c>
      <c r="F4521" s="7" t="str">
        <f>IFERROR(__xludf.DUMMYFUNCTION("GOOGLETRANSLATE(B4521:B5064,""en"",""fr"")"),"minuscule")</f>
        <v>minuscule</v>
      </c>
    </row>
    <row r="4522" ht="19.5" customHeight="1">
      <c r="A4522" s="26" t="s">
        <v>12182</v>
      </c>
      <c r="B4522" s="27" t="s">
        <v>12183</v>
      </c>
      <c r="C4522" s="28" t="s">
        <v>150</v>
      </c>
      <c r="D4522" s="29">
        <v>40.0</v>
      </c>
      <c r="E4522" s="28" t="s">
        <v>12184</v>
      </c>
      <c r="F4522" s="7" t="str">
        <f>IFERROR(__xludf.DUMMYFUNCTION("GOOGLETRANSLATE(B4522:B5064,""en"",""fr"")"),"dixième")</f>
        <v>dixième</v>
      </c>
    </row>
    <row r="4523" ht="19.5" customHeight="1">
      <c r="A4523" s="26" t="s">
        <v>12185</v>
      </c>
      <c r="B4523" s="27" t="s">
        <v>12186</v>
      </c>
      <c r="C4523" s="28" t="s">
        <v>150</v>
      </c>
      <c r="D4523" s="29">
        <v>40.0</v>
      </c>
      <c r="E4523" s="28" t="s">
        <v>12186</v>
      </c>
      <c r="F4523" s="7" t="str">
        <f>IFERROR(__xludf.DUMMYFUNCTION("GOOGLETRANSLATE(B4523:B5064,""en"",""fr"")"),"trente-six")</f>
        <v>trente-six</v>
      </c>
    </row>
    <row r="4524" ht="19.5" customHeight="1">
      <c r="A4524" s="26" t="s">
        <v>12187</v>
      </c>
      <c r="B4524" s="27" t="s">
        <v>5887</v>
      </c>
      <c r="C4524" s="28" t="s">
        <v>178</v>
      </c>
      <c r="D4524" s="29">
        <v>40.0</v>
      </c>
      <c r="E4524" s="28" t="s">
        <v>12188</v>
      </c>
      <c r="F4524" s="7" t="str">
        <f>IFERROR(__xludf.DUMMYFUNCTION("GOOGLETRANSLATE(B4524:B5064,""en"",""fr"")"),"ravir")</f>
        <v>ravir</v>
      </c>
    </row>
    <row r="4525" ht="19.5" customHeight="1">
      <c r="A4525" s="26" t="s">
        <v>12189</v>
      </c>
      <c r="B4525" s="27" t="s">
        <v>4215</v>
      </c>
      <c r="C4525" s="28" t="s">
        <v>32</v>
      </c>
      <c r="D4525" s="29">
        <v>40.0</v>
      </c>
      <c r="E4525" s="28" t="s">
        <v>12190</v>
      </c>
      <c r="F4525" s="7" t="str">
        <f>IFERROR(__xludf.DUMMYFUNCTION("GOOGLETRANSLATE(B4525:B5064,""en"",""fr"")"),"poubelle")</f>
        <v>poubelle</v>
      </c>
    </row>
    <row r="4526" ht="19.5" customHeight="1">
      <c r="A4526" s="26" t="s">
        <v>12191</v>
      </c>
      <c r="B4526" s="27" t="s">
        <v>12192</v>
      </c>
      <c r="C4526" s="28" t="s">
        <v>150</v>
      </c>
      <c r="D4526" s="29">
        <v>40.0</v>
      </c>
      <c r="E4526" s="28" t="s">
        <v>12192</v>
      </c>
      <c r="F4526" s="7" t="str">
        <f>IFERROR(__xludf.DUMMYFUNCTION("GOOGLETRANSLATE(B4526:B5064,""en"",""fr"")"),"vingt-neuf")</f>
        <v>vingt-neuf</v>
      </c>
    </row>
    <row r="4527" ht="19.5" customHeight="1">
      <c r="A4527" s="26" t="s">
        <v>12193</v>
      </c>
      <c r="B4527" s="27" t="s">
        <v>12194</v>
      </c>
      <c r="C4527" s="28" t="s">
        <v>134</v>
      </c>
      <c r="D4527" s="29">
        <v>40.0</v>
      </c>
      <c r="E4527" s="28" t="s">
        <v>12194</v>
      </c>
      <c r="F4527" s="7" t="str">
        <f>IFERROR(__xludf.DUMMYFUNCTION("GOOGLETRANSLATE(B4527:B5064,""en"",""fr"")"),"inattendu")</f>
        <v>inattendu</v>
      </c>
    </row>
    <row r="4528" ht="19.5" customHeight="1">
      <c r="A4528" s="26" t="s">
        <v>12195</v>
      </c>
      <c r="B4528" s="27" t="s">
        <v>12196</v>
      </c>
      <c r="C4528" s="28" t="s">
        <v>178</v>
      </c>
      <c r="D4528" s="29">
        <v>40.0</v>
      </c>
      <c r="E4528" s="28" t="s">
        <v>12197</v>
      </c>
      <c r="F4528" s="7" t="str">
        <f>IFERROR(__xludf.DUMMYFUNCTION("GOOGLETRANSLATE(B4528:B5064,""en"",""fr"")"),"Licorne")</f>
        <v>Licorne</v>
      </c>
    </row>
    <row r="4529" ht="19.5" customHeight="1">
      <c r="A4529" s="26" t="s">
        <v>12198</v>
      </c>
      <c r="B4529" s="27" t="s">
        <v>12199</v>
      </c>
      <c r="C4529" s="28" t="s">
        <v>134</v>
      </c>
      <c r="D4529" s="29">
        <v>40.0</v>
      </c>
      <c r="E4529" s="28" t="s">
        <v>12199</v>
      </c>
      <c r="F4529" s="7" t="str">
        <f>IFERROR(__xludf.DUMMYFUNCTION("GOOGLETRANSLATE(B4529:B5064,""en"",""fr"")"),"inconnu")</f>
        <v>inconnu</v>
      </c>
    </row>
    <row r="4530" ht="19.5" customHeight="1">
      <c r="A4530" s="26" t="s">
        <v>12200</v>
      </c>
      <c r="B4530" s="27" t="s">
        <v>12201</v>
      </c>
      <c r="C4530" s="28" t="s">
        <v>32</v>
      </c>
      <c r="D4530" s="29">
        <v>40.0</v>
      </c>
      <c r="E4530" s="28" t="s">
        <v>12202</v>
      </c>
      <c r="F4530" s="7" t="str">
        <f>IFERROR(__xludf.DUMMYFUNCTION("GOOGLETRANSLATE(B4530:B5064,""en"",""fr"")"),"déballer")</f>
        <v>déballer</v>
      </c>
    </row>
    <row r="4531" ht="19.5" customHeight="1">
      <c r="A4531" s="26" t="s">
        <v>12203</v>
      </c>
      <c r="B4531" s="27" t="s">
        <v>12204</v>
      </c>
      <c r="C4531" s="28" t="s">
        <v>134</v>
      </c>
      <c r="D4531" s="29">
        <v>40.0</v>
      </c>
      <c r="E4531" s="28" t="s">
        <v>12204</v>
      </c>
      <c r="F4531" s="7" t="str">
        <f>IFERROR(__xludf.DUMMYFUNCTION("GOOGLETRANSLATE(B4531:B5064,""en"",""fr"")"),"utile")</f>
        <v>utile</v>
      </c>
    </row>
    <row r="4532" ht="19.5" customHeight="1">
      <c r="A4532" s="26" t="s">
        <v>12205</v>
      </c>
      <c r="B4532" s="27" t="s">
        <v>12206</v>
      </c>
      <c r="C4532" s="28" t="s">
        <v>178</v>
      </c>
      <c r="D4532" s="29">
        <v>40.0</v>
      </c>
      <c r="E4532" s="28" t="s">
        <v>12207</v>
      </c>
      <c r="F4532" s="7" t="str">
        <f>IFERROR(__xludf.DUMMYFUNCTION("GOOGLETRANSLATE(B4532:B5064,""en"",""fr"")"),"variété")</f>
        <v>variété</v>
      </c>
    </row>
    <row r="4533" ht="19.5" customHeight="1">
      <c r="A4533" s="26" t="s">
        <v>12208</v>
      </c>
      <c r="B4533" s="27" t="s">
        <v>12209</v>
      </c>
      <c r="C4533" s="28" t="s">
        <v>134</v>
      </c>
      <c r="D4533" s="29">
        <v>40.0</v>
      </c>
      <c r="E4533" s="28" t="s">
        <v>12209</v>
      </c>
      <c r="F4533" s="7" t="str">
        <f>IFERROR(__xludf.DUMMYFUNCTION("GOOGLETRANSLATE(B4533:B5064,""en"",""fr"")"),"vicieux")</f>
        <v>vicieux</v>
      </c>
    </row>
    <row r="4534" ht="19.5" customHeight="1">
      <c r="A4534" s="26" t="s">
        <v>12210</v>
      </c>
      <c r="B4534" s="27" t="s">
        <v>12211</v>
      </c>
      <c r="C4534" s="28" t="s">
        <v>178</v>
      </c>
      <c r="D4534" s="29">
        <v>40.0</v>
      </c>
      <c r="E4534" s="28" t="s">
        <v>12212</v>
      </c>
      <c r="F4534" s="7" t="str">
        <f>IFERROR(__xludf.DUMMYFUNCTION("GOOGLETRANSLATE(B4534:B5064,""en"",""fr"")"),"électeur")</f>
        <v>électeur</v>
      </c>
    </row>
    <row r="4535" ht="19.5" customHeight="1">
      <c r="A4535" s="26" t="s">
        <v>12213</v>
      </c>
      <c r="B4535" s="27" t="s">
        <v>12214</v>
      </c>
      <c r="C4535" s="28" t="s">
        <v>178</v>
      </c>
      <c r="D4535" s="29">
        <v>40.0</v>
      </c>
      <c r="E4535" s="28" t="s">
        <v>12215</v>
      </c>
      <c r="F4535" s="7" t="str">
        <f>IFERROR(__xludf.DUMMYFUNCTION("GOOGLETRANSLATE(B4535:B5064,""en"",""fr"")"),"avertissement")</f>
        <v>avertissement</v>
      </c>
    </row>
    <row r="4536" ht="19.5" customHeight="1">
      <c r="A4536" s="26" t="s">
        <v>12216</v>
      </c>
      <c r="B4536" s="27" t="s">
        <v>12217</v>
      </c>
      <c r="C4536" s="28" t="s">
        <v>178</v>
      </c>
      <c r="D4536" s="29">
        <v>40.0</v>
      </c>
      <c r="E4536" s="28" t="s">
        <v>12218</v>
      </c>
      <c r="F4536" s="7" t="str">
        <f>IFERROR(__xludf.DUMMYFUNCTION("GOOGLETRANSLATE(B4536:B5064,""en"",""fr"")"),"en écrivant")</f>
        <v>en écrivant</v>
      </c>
    </row>
    <row r="4537" ht="19.5" customHeight="1">
      <c r="A4537" s="26" t="s">
        <v>12219</v>
      </c>
      <c r="B4537" s="27" t="s">
        <v>12220</v>
      </c>
      <c r="C4537" s="28" t="s">
        <v>178</v>
      </c>
      <c r="D4537" s="29">
        <v>40.0</v>
      </c>
      <c r="E4537" s="28" t="s">
        <v>12221</v>
      </c>
      <c r="F4537" s="7" t="str">
        <f>IFERROR(__xludf.DUMMYFUNCTION("GOOGLETRANSLATE(B4537:B5064,""en"",""fr"")"),"photographier")</f>
        <v>photographier</v>
      </c>
    </row>
    <row r="4538" ht="19.5" customHeight="1">
      <c r="A4538" s="26" t="s">
        <v>12222</v>
      </c>
      <c r="B4538" s="27" t="s">
        <v>12223</v>
      </c>
      <c r="C4538" s="28" t="s">
        <v>178</v>
      </c>
      <c r="D4538" s="29">
        <v>40.0</v>
      </c>
      <c r="E4538" s="28" t="s">
        <v>12223</v>
      </c>
      <c r="F4538" s="7" t="str">
        <f>IFERROR(__xludf.DUMMYFUNCTION("GOOGLETRANSLATE(B4538:B5064,""en"",""fr"")"),"saccadé")</f>
        <v>saccadé</v>
      </c>
    </row>
    <row r="4539" ht="19.5" customHeight="1">
      <c r="A4539" s="26" t="s">
        <v>12224</v>
      </c>
      <c r="B4539" s="27" t="s">
        <v>12225</v>
      </c>
      <c r="C4539" s="28" t="s">
        <v>178</v>
      </c>
      <c r="D4539" s="29">
        <v>40.0</v>
      </c>
      <c r="E4539" s="28" t="s">
        <v>12226</v>
      </c>
      <c r="F4539" s="7" t="str">
        <f>IFERROR(__xludf.DUMMYFUNCTION("GOOGLETRANSLATE(B4539:B5064,""en"",""fr"")"),"fumier")</f>
        <v>fumier</v>
      </c>
    </row>
    <row r="4540" ht="19.5" customHeight="1">
      <c r="A4540" s="26" t="s">
        <v>12227</v>
      </c>
      <c r="B4540" s="27" t="s">
        <v>12228</v>
      </c>
      <c r="C4540" s="28" t="s">
        <v>178</v>
      </c>
      <c r="D4540" s="29">
        <v>40.0</v>
      </c>
      <c r="E4540" s="28" t="s">
        <v>12229</v>
      </c>
      <c r="F4540" s="7" t="str">
        <f>IFERROR(__xludf.DUMMYFUNCTION("GOOGLETRANSLATE(B4540:B5064,""en"",""fr"")"),"le rasoir")</f>
        <v>le rasoir</v>
      </c>
    </row>
    <row r="4541" ht="19.5" customHeight="1">
      <c r="A4541" s="26" t="s">
        <v>12230</v>
      </c>
      <c r="B4541" s="27" t="s">
        <v>12231</v>
      </c>
      <c r="C4541" s="28" t="s">
        <v>32</v>
      </c>
      <c r="D4541" s="29">
        <v>39.0</v>
      </c>
      <c r="E4541" s="28" t="s">
        <v>12232</v>
      </c>
      <c r="F4541" s="7" t="str">
        <f>IFERROR(__xludf.DUMMYFUNCTION("GOOGLETRANSLATE(B4541:B5064,""en"",""fr"")"),"animer")</f>
        <v>animer</v>
      </c>
    </row>
    <row r="4542" ht="19.5" customHeight="1">
      <c r="A4542" s="26" t="s">
        <v>12233</v>
      </c>
      <c r="B4542" s="27" t="s">
        <v>12234</v>
      </c>
      <c r="C4542" s="28" t="s">
        <v>4654</v>
      </c>
      <c r="D4542" s="29">
        <v>39.0</v>
      </c>
      <c r="E4542" s="28" t="s">
        <v>12235</v>
      </c>
      <c r="F4542" s="7" t="str">
        <f>IFERROR(__xludf.DUMMYFUNCTION("GOOGLETRANSLATE(B4542:B5064,""en"",""fr"")"),"AU M")</f>
        <v>AU M</v>
      </c>
    </row>
    <row r="4543" ht="19.5" customHeight="1">
      <c r="A4543" s="26" t="s">
        <v>12236</v>
      </c>
      <c r="B4543" s="27" t="s">
        <v>12237</v>
      </c>
      <c r="C4543" s="28" t="s">
        <v>178</v>
      </c>
      <c r="D4543" s="29">
        <v>39.0</v>
      </c>
      <c r="E4543" s="28" t="s">
        <v>12238</v>
      </c>
      <c r="F4543" s="7" t="str">
        <f>IFERROR(__xludf.DUMMYFUNCTION("GOOGLETRANSLATE(B4543:B5064,""en"",""fr"")"),"atmosphère")</f>
        <v>atmosphère</v>
      </c>
    </row>
    <row r="4544" ht="19.5" customHeight="1">
      <c r="A4544" s="26" t="s">
        <v>12239</v>
      </c>
      <c r="B4544" s="27" t="s">
        <v>12240</v>
      </c>
      <c r="C4544" s="28" t="s">
        <v>178</v>
      </c>
      <c r="D4544" s="29">
        <v>39.0</v>
      </c>
      <c r="E4544" s="28" t="s">
        <v>12241</v>
      </c>
      <c r="F4544" s="7" t="str">
        <f>IFERROR(__xludf.DUMMYFUNCTION("GOOGLETRANSLATE(B4544:B5064,""en"",""fr"")"),"frontière")</f>
        <v>frontière</v>
      </c>
    </row>
    <row r="4545" ht="19.5" customHeight="1">
      <c r="A4545" s="26" t="s">
        <v>12242</v>
      </c>
      <c r="B4545" s="27" t="s">
        <v>12243</v>
      </c>
      <c r="C4545" s="28" t="s">
        <v>178</v>
      </c>
      <c r="D4545" s="29">
        <v>39.0</v>
      </c>
      <c r="E4545" s="28" t="s">
        <v>12244</v>
      </c>
      <c r="F4545" s="7" t="str">
        <f>IFERROR(__xludf.DUMMYFUNCTION("GOOGLETRANSLATE(B4545:B5064,""en"",""fr"")"),"papier carton")</f>
        <v>papier carton</v>
      </c>
    </row>
    <row r="4546" ht="19.5" customHeight="1">
      <c r="A4546" s="26" t="s">
        <v>12245</v>
      </c>
      <c r="B4546" s="27" t="s">
        <v>12246</v>
      </c>
      <c r="C4546" s="28" t="s">
        <v>32</v>
      </c>
      <c r="D4546" s="29">
        <v>39.0</v>
      </c>
      <c r="E4546" s="28" t="s">
        <v>12247</v>
      </c>
      <c r="F4546" s="7" t="str">
        <f>IFERROR(__xludf.DUMMYFUNCTION("GOOGLETRANSLATE(B4546:B5064,""en"",""fr"")"),"chérir")</f>
        <v>chérir</v>
      </c>
    </row>
    <row r="4547" ht="19.5" customHeight="1">
      <c r="A4547" s="26" t="s">
        <v>12248</v>
      </c>
      <c r="B4547" s="27" t="s">
        <v>12249</v>
      </c>
      <c r="C4547" s="28" t="s">
        <v>178</v>
      </c>
      <c r="D4547" s="29">
        <v>39.0</v>
      </c>
      <c r="E4547" s="28" t="s">
        <v>12250</v>
      </c>
      <c r="F4547" s="7" t="str">
        <f>IFERROR(__xludf.DUMMYFUNCTION("GOOGLETRANSLATE(B4547:B5064,""en"",""fr"")"),"civilisation")</f>
        <v>civilisation</v>
      </c>
    </row>
    <row r="4548" ht="19.5" customHeight="1">
      <c r="A4548" s="26" t="s">
        <v>12251</v>
      </c>
      <c r="B4548" s="27" t="s">
        <v>12252</v>
      </c>
      <c r="C4548" s="28" t="s">
        <v>178</v>
      </c>
      <c r="D4548" s="29">
        <v>39.0</v>
      </c>
      <c r="E4548" s="28" t="s">
        <v>12253</v>
      </c>
      <c r="F4548" s="7" t="str">
        <f>IFERROR(__xludf.DUMMYFUNCTION("GOOGLETRANSLATE(B4548:B5064,""en"",""fr"")"),"le commandant")</f>
        <v>le commandant</v>
      </c>
    </row>
    <row r="4549" ht="19.5" customHeight="1">
      <c r="A4549" s="26" t="s">
        <v>12254</v>
      </c>
      <c r="B4549" s="27" t="s">
        <v>12255</v>
      </c>
      <c r="C4549" s="28" t="s">
        <v>32</v>
      </c>
      <c r="D4549" s="29">
        <v>39.0</v>
      </c>
      <c r="E4549" s="28" t="s">
        <v>12256</v>
      </c>
      <c r="F4549" s="7" t="str">
        <f>IFERROR(__xludf.DUMMYFUNCTION("GOOGLETRANSLATE(B4549:B5064,""en"",""fr"")"),"conquérir")</f>
        <v>conquérir</v>
      </c>
    </row>
    <row r="4550" ht="19.5" customHeight="1">
      <c r="A4550" s="26" t="s">
        <v>12257</v>
      </c>
      <c r="B4550" s="27" t="s">
        <v>12258</v>
      </c>
      <c r="C4550" s="28" t="s">
        <v>178</v>
      </c>
      <c r="D4550" s="29">
        <v>39.0</v>
      </c>
      <c r="E4550" s="28" t="s">
        <v>12259</v>
      </c>
      <c r="F4550" s="7" t="str">
        <f>IFERROR(__xludf.DUMMYFUNCTION("GOOGLETRANSLATE(B4550:B5064,""en"",""fr"")"),"commodité")</f>
        <v>commodité</v>
      </c>
    </row>
    <row r="4551" ht="19.5" customHeight="1">
      <c r="A4551" s="26" t="s">
        <v>12260</v>
      </c>
      <c r="B4551" s="27" t="s">
        <v>2688</v>
      </c>
      <c r="C4551" s="28" t="s">
        <v>178</v>
      </c>
      <c r="D4551" s="29">
        <v>39.0</v>
      </c>
      <c r="E4551" s="28" t="s">
        <v>12261</v>
      </c>
      <c r="F4551" s="7" t="str">
        <f>IFERROR(__xludf.DUMMYFUNCTION("GOOGLETRANSLATE(B4551:B5064,""en"",""fr"")"),"cuisiner")</f>
        <v>cuisiner</v>
      </c>
    </row>
    <row r="4552" ht="19.5" customHeight="1">
      <c r="A4552" s="26" t="s">
        <v>12262</v>
      </c>
      <c r="B4552" s="27" t="s">
        <v>12263</v>
      </c>
      <c r="C4552" s="28" t="s">
        <v>32</v>
      </c>
      <c r="D4552" s="29">
        <v>39.0</v>
      </c>
      <c r="E4552" s="28" t="s">
        <v>12264</v>
      </c>
      <c r="F4552" s="7" t="str">
        <f>IFERROR(__xludf.DUMMYFUNCTION("GOOGLETRANSLATE(B4552:B5064,""en"",""fr"")"),"fourrer")</f>
        <v>fourrer</v>
      </c>
    </row>
    <row r="4553" ht="19.5" customHeight="1">
      <c r="A4553" s="26" t="s">
        <v>12265</v>
      </c>
      <c r="B4553" s="27" t="s">
        <v>12266</v>
      </c>
      <c r="C4553" s="28" t="s">
        <v>178</v>
      </c>
      <c r="D4553" s="29">
        <v>39.0</v>
      </c>
      <c r="E4553" s="28" t="s">
        <v>12267</v>
      </c>
      <c r="F4553" s="7" t="str">
        <f>IFERROR(__xludf.DUMMYFUNCTION("GOOGLETRANSLATE(B4553:B5064,""en"",""fr"")"),"date limite")</f>
        <v>date limite</v>
      </c>
    </row>
    <row r="4554" ht="19.5" customHeight="1">
      <c r="A4554" s="26" t="s">
        <v>12268</v>
      </c>
      <c r="B4554" s="27" t="s">
        <v>12269</v>
      </c>
      <c r="C4554" s="28" t="s">
        <v>178</v>
      </c>
      <c r="D4554" s="29">
        <v>39.0</v>
      </c>
      <c r="E4554" s="28" t="s">
        <v>12270</v>
      </c>
      <c r="F4554" s="7" t="str">
        <f>IFERROR(__xludf.DUMMYFUNCTION("GOOGLETRANSLATE(B4554:B5064,""en"",""fr"")"),"détecteur")</f>
        <v>détecteur</v>
      </c>
    </row>
    <row r="4555" ht="19.5" customHeight="1">
      <c r="A4555" s="26" t="s">
        <v>12271</v>
      </c>
      <c r="B4555" s="27" t="s">
        <v>12272</v>
      </c>
      <c r="C4555" s="28" t="s">
        <v>178</v>
      </c>
      <c r="D4555" s="29">
        <v>39.0</v>
      </c>
      <c r="E4555" s="28" t="s">
        <v>12273</v>
      </c>
      <c r="F4555" s="7" t="str">
        <f>IFERROR(__xludf.DUMMYFUNCTION("GOOGLETRANSLATE(B4555:B5064,""en"",""fr"")"),"la commode")</f>
        <v>la commode</v>
      </c>
    </row>
    <row r="4556" ht="19.5" customHeight="1">
      <c r="A4556" s="26" t="s">
        <v>12274</v>
      </c>
      <c r="B4556" s="27" t="s">
        <v>12275</v>
      </c>
      <c r="C4556" s="28" t="s">
        <v>134</v>
      </c>
      <c r="D4556" s="29">
        <v>39.0</v>
      </c>
      <c r="E4556" s="28" t="s">
        <v>12275</v>
      </c>
      <c r="F4556" s="7" t="str">
        <f>IFERROR(__xludf.DUMMYFUNCTION("GOOGLETRANSLATE(B4556:B5064,""en"",""fr"")"),"élégant")</f>
        <v>élégant</v>
      </c>
    </row>
    <row r="4557" ht="19.5" customHeight="1">
      <c r="A4557" s="26" t="s">
        <v>12276</v>
      </c>
      <c r="B4557" s="27" t="s">
        <v>12277</v>
      </c>
      <c r="C4557" s="28" t="s">
        <v>178</v>
      </c>
      <c r="D4557" s="29">
        <v>39.0</v>
      </c>
      <c r="E4557" s="28" t="s">
        <v>12278</v>
      </c>
      <c r="F4557" s="7" t="str">
        <f>IFERROR(__xludf.DUMMYFUNCTION("GOOGLETRANSLATE(B4557:B5064,""en"",""fr"")"),"Empire")</f>
        <v>Empire</v>
      </c>
    </row>
    <row r="4558" ht="19.5" customHeight="1">
      <c r="A4558" s="26" t="s">
        <v>12279</v>
      </c>
      <c r="B4558" s="27" t="s">
        <v>12280</v>
      </c>
      <c r="C4558" s="28" t="s">
        <v>134</v>
      </c>
      <c r="D4558" s="29">
        <v>39.0</v>
      </c>
      <c r="E4558" s="28" t="s">
        <v>12280</v>
      </c>
      <c r="F4558" s="7" t="str">
        <f>IFERROR(__xludf.DUMMYFUNCTION("GOOGLETRANSLATE(B4558:B5064,""en"",""fr"")"),"extraordinaire")</f>
        <v>extraordinaire</v>
      </c>
    </row>
    <row r="4559" ht="19.5" customHeight="1">
      <c r="A4559" s="26" t="s">
        <v>12281</v>
      </c>
      <c r="B4559" s="27" t="s">
        <v>12282</v>
      </c>
      <c r="C4559" s="28" t="s">
        <v>178</v>
      </c>
      <c r="D4559" s="29">
        <v>39.0</v>
      </c>
      <c r="E4559" s="28" t="s">
        <v>12283</v>
      </c>
      <c r="F4559" s="7" t="str">
        <f>IFERROR(__xludf.DUMMYFUNCTION("GOOGLETRANSLATE(B4559:B5064,""en"",""fr"")"),"petit fils")</f>
        <v>petit fils</v>
      </c>
    </row>
    <row r="4560" ht="19.5" customHeight="1">
      <c r="A4560" s="26" t="s">
        <v>12284</v>
      </c>
      <c r="B4560" s="27" t="s">
        <v>12285</v>
      </c>
      <c r="C4560" s="28" t="s">
        <v>134</v>
      </c>
      <c r="D4560" s="29">
        <v>39.0</v>
      </c>
      <c r="E4560" s="28" t="s">
        <v>12285</v>
      </c>
      <c r="F4560" s="7" t="str">
        <f>IFERROR(__xludf.DUMMYFUNCTION("GOOGLETRANSLATE(B4560:B5064,""en"",""fr"")"),"sans espoir")</f>
        <v>sans espoir</v>
      </c>
    </row>
    <row r="4561" ht="19.5" customHeight="1">
      <c r="A4561" s="26" t="s">
        <v>12286</v>
      </c>
      <c r="B4561" s="27" t="s">
        <v>12111</v>
      </c>
      <c r="C4561" s="28" t="s">
        <v>178</v>
      </c>
      <c r="D4561" s="29">
        <v>39.0</v>
      </c>
      <c r="E4561" s="28" t="s">
        <v>12287</v>
      </c>
      <c r="F4561" s="7" t="str">
        <f>IFERROR(__xludf.DUMMYFUNCTION("GOOGLETRANSLATE(B4561:B5064,""en"",""fr"")"),"randonnée")</f>
        <v>randonnée</v>
      </c>
    </row>
    <row r="4562" ht="19.5" customHeight="1">
      <c r="A4562" s="26" t="s">
        <v>12288</v>
      </c>
      <c r="B4562" s="27" t="s">
        <v>12289</v>
      </c>
      <c r="C4562" s="28" t="s">
        <v>134</v>
      </c>
      <c r="D4562" s="29">
        <v>39.0</v>
      </c>
      <c r="E4562" s="28" t="s">
        <v>12289</v>
      </c>
      <c r="F4562" s="7" t="str">
        <f>IFERROR(__xludf.DUMMYFUNCTION("GOOGLETRANSLATE(B4562:B5064,""en"",""fr"")"),"historique")</f>
        <v>historique</v>
      </c>
    </row>
    <row r="4563" ht="19.5" customHeight="1">
      <c r="A4563" s="26" t="s">
        <v>12290</v>
      </c>
      <c r="B4563" s="27" t="s">
        <v>5625</v>
      </c>
      <c r="C4563" s="28" t="s">
        <v>178</v>
      </c>
      <c r="D4563" s="29">
        <v>39.0</v>
      </c>
      <c r="E4563" s="28" t="s">
        <v>5625</v>
      </c>
      <c r="F4563" s="7" t="str">
        <f>IFERROR(__xludf.DUMMYFUNCTION("GOOGLETRANSLATE(B4563:B5064,""en"",""fr"")"),"sans-abri")</f>
        <v>sans-abri</v>
      </c>
    </row>
    <row r="4564" ht="19.5" customHeight="1">
      <c r="A4564" s="26" t="s">
        <v>12291</v>
      </c>
      <c r="B4564" s="27" t="s">
        <v>12292</v>
      </c>
      <c r="C4564" s="28" t="s">
        <v>178</v>
      </c>
      <c r="D4564" s="29">
        <v>39.0</v>
      </c>
      <c r="E4564" s="28" t="s">
        <v>12293</v>
      </c>
      <c r="F4564" s="7" t="str">
        <f>IFERROR(__xludf.DUMMYFUNCTION("GOOGLETRANSLATE(B4564:B5064,""en"",""fr"")"),"bombasse")</f>
        <v>bombasse</v>
      </c>
    </row>
    <row r="4565" ht="19.5" customHeight="1">
      <c r="A4565" s="26" t="s">
        <v>12294</v>
      </c>
      <c r="B4565" s="27" t="s">
        <v>12295</v>
      </c>
      <c r="C4565" s="28" t="s">
        <v>134</v>
      </c>
      <c r="D4565" s="29">
        <v>39.0</v>
      </c>
      <c r="E4565" s="28" t="s">
        <v>12295</v>
      </c>
      <c r="F4565" s="7" t="str">
        <f>IFERROR(__xludf.DUMMYFUNCTION("GOOGLETRANSLATE(B4565:B5064,""en"",""fr"")"),"identique")</f>
        <v>identique</v>
      </c>
    </row>
    <row r="4566" ht="19.5" customHeight="1">
      <c r="A4566" s="26" t="s">
        <v>12296</v>
      </c>
      <c r="B4566" s="27" t="s">
        <v>12297</v>
      </c>
      <c r="C4566" s="28" t="s">
        <v>32</v>
      </c>
      <c r="D4566" s="29">
        <v>39.0</v>
      </c>
      <c r="E4566" s="28" t="s">
        <v>12298</v>
      </c>
      <c r="F4566" s="7" t="str">
        <f>IFERROR(__xludf.DUMMYFUNCTION("GOOGLETRANSLATE(B4566:B5064,""en"",""fr"")"),"lancer")</f>
        <v>lancer</v>
      </c>
    </row>
    <row r="4567" ht="19.5" customHeight="1">
      <c r="A4567" s="26" t="s">
        <v>12299</v>
      </c>
      <c r="B4567" s="27" t="s">
        <v>12300</v>
      </c>
      <c r="C4567" s="28" t="s">
        <v>32</v>
      </c>
      <c r="D4567" s="29">
        <v>39.0</v>
      </c>
      <c r="E4567" s="28" t="s">
        <v>12301</v>
      </c>
      <c r="F4567" s="7" t="str">
        <f>IFERROR(__xludf.DUMMYFUNCTION("GOOGLETRANSLATE(B4567:B5064,""en"",""fr"")"),"enquêter")</f>
        <v>enquêter</v>
      </c>
    </row>
    <row r="4568" ht="19.5" customHeight="1">
      <c r="A4568" s="26" t="s">
        <v>12302</v>
      </c>
      <c r="B4568" s="27" t="s">
        <v>12303</v>
      </c>
      <c r="C4568" s="28" t="s">
        <v>32</v>
      </c>
      <c r="D4568" s="29">
        <v>39.0</v>
      </c>
      <c r="E4568" s="28" t="s">
        <v>12304</v>
      </c>
      <c r="F4568" s="7" t="str">
        <f>IFERROR(__xludf.DUMMYFUNCTION("GOOGLETRANSLATE(B4568:B5064,""en"",""fr"")"),"démanger")</f>
        <v>démanger</v>
      </c>
    </row>
    <row r="4569" ht="19.5" customHeight="1">
      <c r="A4569" s="26" t="s">
        <v>12305</v>
      </c>
      <c r="B4569" s="27" t="s">
        <v>12306</v>
      </c>
      <c r="C4569" s="28" t="s">
        <v>728</v>
      </c>
      <c r="D4569" s="29">
        <v>39.0</v>
      </c>
      <c r="E4569" s="28" t="s">
        <v>12306</v>
      </c>
      <c r="F4569" s="7" t="str">
        <f>IFERROR(__xludf.DUMMYFUNCTION("GOOGLETRANSLATE(B4569:B5064,""en"",""fr"")"),"Jell-o")</f>
        <v>Jell-o</v>
      </c>
    </row>
    <row r="4570" ht="19.5" customHeight="1">
      <c r="A4570" s="26" t="s">
        <v>12307</v>
      </c>
      <c r="B4570" s="27" t="s">
        <v>12308</v>
      </c>
      <c r="C4570" s="28" t="s">
        <v>134</v>
      </c>
      <c r="D4570" s="29">
        <v>39.0</v>
      </c>
      <c r="E4570" s="28" t="s">
        <v>12308</v>
      </c>
      <c r="F4570" s="7" t="str">
        <f>IFERROR(__xludf.DUMMYFUNCTION("GOOGLETRANSLATE(B4570:B5064,""en"",""fr"")"),"juvénile")</f>
        <v>juvénile</v>
      </c>
    </row>
    <row r="4571" ht="19.5" customHeight="1">
      <c r="A4571" s="26" t="s">
        <v>12309</v>
      </c>
      <c r="B4571" s="27" t="s">
        <v>7932</v>
      </c>
      <c r="C4571" s="28" t="s">
        <v>32</v>
      </c>
      <c r="D4571" s="29">
        <v>39.0</v>
      </c>
      <c r="E4571" s="28" t="s">
        <v>12310</v>
      </c>
      <c r="F4571" s="7" t="str">
        <f>IFERROR(__xludf.DUMMYFUNCTION("GOOGLETRANSLATE(B4571:B5064,""en"",""fr"")"),"manque")</f>
        <v>manque</v>
      </c>
    </row>
    <row r="4572" ht="19.5" customHeight="1">
      <c r="A4572" s="26" t="s">
        <v>12311</v>
      </c>
      <c r="B4572" s="27" t="s">
        <v>12312</v>
      </c>
      <c r="C4572" s="28" t="s">
        <v>728</v>
      </c>
      <c r="D4572" s="29">
        <v>39.0</v>
      </c>
      <c r="E4572" s="28" t="s">
        <v>12312</v>
      </c>
      <c r="F4572" s="7" t="str">
        <f>IFERROR(__xludf.DUMMYFUNCTION("GOOGLETRANSLATE(B4572:B5064,""en"",""fr"")"),"Latin")</f>
        <v>Latin</v>
      </c>
    </row>
    <row r="4573" ht="19.5" customHeight="1">
      <c r="A4573" s="26" t="s">
        <v>12313</v>
      </c>
      <c r="B4573" s="27" t="s">
        <v>12314</v>
      </c>
      <c r="C4573" s="28" t="s">
        <v>178</v>
      </c>
      <c r="D4573" s="29">
        <v>39.0</v>
      </c>
      <c r="E4573" s="28" t="s">
        <v>12314</v>
      </c>
      <c r="F4573" s="7" t="str">
        <f>IFERROR(__xludf.DUMMYFUNCTION("GOOGLETRANSLATE(B4573:B5064,""en"",""fr"")"),"bagage")</f>
        <v>bagage</v>
      </c>
    </row>
    <row r="4574" ht="19.5" customHeight="1">
      <c r="A4574" s="26" t="s">
        <v>12315</v>
      </c>
      <c r="B4574" s="27" t="s">
        <v>12316</v>
      </c>
      <c r="C4574" s="28" t="s">
        <v>178</v>
      </c>
      <c r="D4574" s="29">
        <v>39.0</v>
      </c>
      <c r="E4574" s="28" t="s">
        <v>12317</v>
      </c>
      <c r="F4574" s="7" t="str">
        <f>IFERROR(__xludf.DUMMYFUNCTION("GOOGLETRANSLATE(B4574:B5064,""en"",""fr"")"),"mannequin")</f>
        <v>mannequin</v>
      </c>
    </row>
    <row r="4575" ht="19.5" customHeight="1">
      <c r="A4575" s="26" t="s">
        <v>12318</v>
      </c>
      <c r="B4575" s="27" t="s">
        <v>12319</v>
      </c>
      <c r="C4575" s="28" t="s">
        <v>32</v>
      </c>
      <c r="D4575" s="29">
        <v>39.0</v>
      </c>
      <c r="E4575" s="28" t="s">
        <v>12320</v>
      </c>
      <c r="F4575" s="7" t="str">
        <f>IFERROR(__xludf.DUMMYFUNCTION("GOOGLETRANSLATE(B4575:B5064,""en"",""fr"")"),"motiver")</f>
        <v>motiver</v>
      </c>
    </row>
    <row r="4576" ht="19.5" customHeight="1">
      <c r="A4576" s="26" t="s">
        <v>12321</v>
      </c>
      <c r="B4576" s="27" t="s">
        <v>12322</v>
      </c>
      <c r="C4576" s="28" t="s">
        <v>178</v>
      </c>
      <c r="D4576" s="29">
        <v>39.0</v>
      </c>
      <c r="E4576" s="28" t="s">
        <v>12323</v>
      </c>
      <c r="F4576" s="7" t="str">
        <f>IFERROR(__xludf.DUMMYFUNCTION("GOOGLETRANSLATE(B4576:B5064,""en"",""fr"")"),"nièce")</f>
        <v>nièce</v>
      </c>
    </row>
    <row r="4577" ht="19.5" customHeight="1">
      <c r="A4577" s="26" t="s">
        <v>12324</v>
      </c>
      <c r="B4577" s="27" t="s">
        <v>12325</v>
      </c>
      <c r="C4577" s="28" t="s">
        <v>178</v>
      </c>
      <c r="D4577" s="29">
        <v>39.0</v>
      </c>
      <c r="E4577" s="28" t="s">
        <v>12326</v>
      </c>
      <c r="F4577" s="7" t="str">
        <f>IFERROR(__xludf.DUMMYFUNCTION("GOOGLETRANSLATE(B4577:B5064,""en"",""fr"")"),"passeport")</f>
        <v>passeport</v>
      </c>
    </row>
    <row r="4578" ht="19.5" customHeight="1">
      <c r="A4578" s="26" t="s">
        <v>12327</v>
      </c>
      <c r="B4578" s="27" t="s">
        <v>12328</v>
      </c>
      <c r="C4578" s="28" t="s">
        <v>178</v>
      </c>
      <c r="D4578" s="29">
        <v>39.0</v>
      </c>
      <c r="E4578" s="28" t="s">
        <v>12329</v>
      </c>
      <c r="F4578" s="7" t="str">
        <f>IFERROR(__xludf.DUMMYFUNCTION("GOOGLETRANSLATE(B4578:B5064,""en"",""fr"")"),"pharmacien")</f>
        <v>pharmacien</v>
      </c>
    </row>
    <row r="4579" ht="19.5" customHeight="1">
      <c r="A4579" s="26" t="s">
        <v>12330</v>
      </c>
      <c r="B4579" s="27" t="s">
        <v>12331</v>
      </c>
      <c r="C4579" s="28" t="s">
        <v>178</v>
      </c>
      <c r="D4579" s="29">
        <v>39.0</v>
      </c>
      <c r="E4579" s="28" t="s">
        <v>12332</v>
      </c>
      <c r="F4579" s="7" t="str">
        <f>IFERROR(__xludf.DUMMYFUNCTION("GOOGLETRANSLATE(B4579:B5064,""en"",""fr"")"),"lanceur")</f>
        <v>lanceur</v>
      </c>
    </row>
    <row r="4580" ht="19.5" customHeight="1">
      <c r="A4580" s="26" t="s">
        <v>12333</v>
      </c>
      <c r="B4580" s="27" t="s">
        <v>12334</v>
      </c>
      <c r="C4580" s="28" t="s">
        <v>178</v>
      </c>
      <c r="D4580" s="29">
        <v>39.0</v>
      </c>
      <c r="E4580" s="28" t="s">
        <v>12335</v>
      </c>
      <c r="F4580" s="7" t="str">
        <f>IFERROR(__xludf.DUMMYFUNCTION("GOOGLETRANSLATE(B4580:B5064,""en"",""fr"")"),"planétarium")</f>
        <v>planétarium</v>
      </c>
    </row>
    <row r="4581" ht="19.5" customHeight="1">
      <c r="A4581" s="26" t="s">
        <v>12336</v>
      </c>
      <c r="B4581" s="27" t="s">
        <v>12337</v>
      </c>
      <c r="C4581" s="28" t="s">
        <v>178</v>
      </c>
      <c r="D4581" s="29">
        <v>39.0</v>
      </c>
      <c r="E4581" s="28" t="s">
        <v>12338</v>
      </c>
      <c r="F4581" s="7" t="str">
        <f>IFERROR(__xludf.DUMMYFUNCTION("GOOGLETRANSLATE(B4581:B5064,""en"",""fr"")"),"empoisonnement")</f>
        <v>empoisonnement</v>
      </c>
    </row>
    <row r="4582" ht="19.5" customHeight="1">
      <c r="A4582" s="26" t="s">
        <v>12339</v>
      </c>
      <c r="B4582" s="27" t="s">
        <v>12340</v>
      </c>
      <c r="C4582" s="28" t="s">
        <v>178</v>
      </c>
      <c r="D4582" s="29">
        <v>39.0</v>
      </c>
      <c r="E4582" s="28" t="s">
        <v>12341</v>
      </c>
      <c r="F4582" s="7" t="str">
        <f>IFERROR(__xludf.DUMMYFUNCTION("GOOGLETRANSLATE(B4582:B5064,""en"",""fr"")"),"policier")</f>
        <v>policier</v>
      </c>
    </row>
    <row r="4583" ht="19.5" customHeight="1">
      <c r="A4583" s="26" t="s">
        <v>12342</v>
      </c>
      <c r="B4583" s="27" t="s">
        <v>12343</v>
      </c>
      <c r="C4583" s="28" t="s">
        <v>100</v>
      </c>
      <c r="D4583" s="29">
        <v>39.0</v>
      </c>
      <c r="E4583" s="28" t="s">
        <v>12343</v>
      </c>
      <c r="F4583" s="7" t="str">
        <f>IFERROR(__xludf.DUMMYFUNCTION("GOOGLETRANSLATE(B4583:B5064,""en"",""fr"")"),"précisément")</f>
        <v>précisément</v>
      </c>
    </row>
    <row r="4584" ht="19.5" customHeight="1">
      <c r="A4584" s="26" t="s">
        <v>12344</v>
      </c>
      <c r="B4584" s="27" t="s">
        <v>12345</v>
      </c>
      <c r="C4584" s="28" t="s">
        <v>178</v>
      </c>
      <c r="D4584" s="29">
        <v>39.0</v>
      </c>
      <c r="E4584" s="28" t="s">
        <v>12346</v>
      </c>
      <c r="F4584" s="7" t="str">
        <f>IFERROR(__xludf.DUMMYFUNCTION("GOOGLETRANSLATE(B4584:B5064,""en"",""fr"")"),"profil")</f>
        <v>profil</v>
      </c>
    </row>
    <row r="4585" ht="19.5" customHeight="1">
      <c r="A4585" s="26" t="s">
        <v>12347</v>
      </c>
      <c r="B4585" s="27" t="s">
        <v>12348</v>
      </c>
      <c r="C4585" s="28" t="s">
        <v>32</v>
      </c>
      <c r="D4585" s="29">
        <v>39.0</v>
      </c>
      <c r="E4585" s="28" t="s">
        <v>12349</v>
      </c>
      <c r="F4585" s="7" t="str">
        <f>IFERROR(__xludf.DUMMYFUNCTION("GOOGLETRANSLATE(B4585:B5064,""en"",""fr"")"),"reconsidérer")</f>
        <v>reconsidérer</v>
      </c>
    </row>
    <row r="4586" ht="19.5" customHeight="1">
      <c r="A4586" s="26" t="s">
        <v>12350</v>
      </c>
      <c r="B4586" s="27" t="s">
        <v>12351</v>
      </c>
      <c r="C4586" s="28" t="s">
        <v>178</v>
      </c>
      <c r="D4586" s="29">
        <v>39.0</v>
      </c>
      <c r="E4586" s="28" t="s">
        <v>12352</v>
      </c>
      <c r="F4586" s="7" t="str">
        <f>IFERROR(__xludf.DUMMYFUNCTION("GOOGLETRANSLATE(B4586:B5064,""en"",""fr"")"),"rituel")</f>
        <v>rituel</v>
      </c>
    </row>
    <row r="4587" ht="19.5" customHeight="1">
      <c r="A4587" s="26" t="s">
        <v>12353</v>
      </c>
      <c r="B4587" s="27" t="s">
        <v>12354</v>
      </c>
      <c r="C4587" s="28" t="s">
        <v>178</v>
      </c>
      <c r="D4587" s="29">
        <v>39.0</v>
      </c>
      <c r="E4587" s="28" t="s">
        <v>12355</v>
      </c>
      <c r="F4587" s="7" t="str">
        <f>IFERROR(__xludf.DUMMYFUNCTION("GOOGLETRANSLATE(B4587:B5064,""en"",""fr"")"),"vol")</f>
        <v>vol</v>
      </c>
    </row>
    <row r="4588" ht="19.5" customHeight="1">
      <c r="A4588" s="26" t="s">
        <v>12356</v>
      </c>
      <c r="B4588" s="27" t="s">
        <v>12357</v>
      </c>
      <c r="C4588" s="28" t="s">
        <v>178</v>
      </c>
      <c r="D4588" s="29">
        <v>39.0</v>
      </c>
      <c r="E4588" s="28" t="s">
        <v>12357</v>
      </c>
      <c r="F4588" s="7" t="str">
        <f>IFERROR(__xludf.DUMMYFUNCTION("GOOGLETRANSLATE(B4588:B5064,""en"",""fr"")"),"amour propre")</f>
        <v>amour propre</v>
      </c>
    </row>
    <row r="4589" ht="19.5" customHeight="1">
      <c r="A4589" s="26" t="s">
        <v>12358</v>
      </c>
      <c r="B4589" s="27" t="s">
        <v>12359</v>
      </c>
      <c r="C4589" s="28" t="s">
        <v>178</v>
      </c>
      <c r="D4589" s="29">
        <v>39.0</v>
      </c>
      <c r="E4589" s="28" t="s">
        <v>12359</v>
      </c>
      <c r="F4589" s="7" t="str">
        <f>IFERROR(__xludf.DUMMYFUNCTION("GOOGLETRANSLATE(B4589:B5064,""en"",""fr"")"),"sperme")</f>
        <v>sperme</v>
      </c>
    </row>
    <row r="4590" ht="19.5" customHeight="1">
      <c r="A4590" s="26" t="s">
        <v>12360</v>
      </c>
      <c r="B4590" s="27" t="s">
        <v>12361</v>
      </c>
      <c r="C4590" s="28" t="s">
        <v>178</v>
      </c>
      <c r="D4590" s="29">
        <v>39.0</v>
      </c>
      <c r="E4590" s="28" t="s">
        <v>12362</v>
      </c>
      <c r="F4590" s="7" t="str">
        <f>IFERROR(__xludf.DUMMYFUNCTION("GOOGLETRANSLATE(B4590:B5064,""en"",""fr"")"),"pack de six")</f>
        <v>pack de six</v>
      </c>
    </row>
    <row r="4591" ht="19.5" customHeight="1">
      <c r="A4591" s="26" t="s">
        <v>12363</v>
      </c>
      <c r="B4591" s="27" t="s">
        <v>12364</v>
      </c>
      <c r="C4591" s="28" t="s">
        <v>178</v>
      </c>
      <c r="D4591" s="29">
        <v>39.0</v>
      </c>
      <c r="E4591" s="28" t="s">
        <v>12365</v>
      </c>
      <c r="F4591" s="7" t="str">
        <f>IFERROR(__xludf.DUMMYFUNCTION("GOOGLETRANSLATE(B4591:B5064,""en"",""fr"")"),"traîneau")</f>
        <v>traîneau</v>
      </c>
    </row>
    <row r="4592" ht="19.5" customHeight="1">
      <c r="A4592" s="26" t="s">
        <v>12366</v>
      </c>
      <c r="B4592" s="27" t="s">
        <v>12367</v>
      </c>
      <c r="C4592" s="28" t="s">
        <v>134</v>
      </c>
      <c r="D4592" s="29">
        <v>39.0</v>
      </c>
      <c r="E4592" s="28" t="s">
        <v>12367</v>
      </c>
      <c r="F4592" s="7" t="str">
        <f>IFERROR(__xludf.DUMMYFUNCTION("GOOGLETRANSLATE(B4592:B5064,""en"",""fr"")"),"spontané")</f>
        <v>spontané</v>
      </c>
    </row>
    <row r="4593" ht="19.5" customHeight="1">
      <c r="A4593" s="26" t="s">
        <v>12368</v>
      </c>
      <c r="B4593" s="27" t="s">
        <v>12369</v>
      </c>
      <c r="C4593" s="28" t="s">
        <v>178</v>
      </c>
      <c r="D4593" s="29">
        <v>39.0</v>
      </c>
      <c r="E4593" s="28" t="s">
        <v>12370</v>
      </c>
      <c r="F4593" s="7" t="str">
        <f>IFERROR(__xludf.DUMMYFUNCTION("GOOGLETRANSLATE(B4593:B5064,""en"",""fr"")"),"stat")</f>
        <v>stat</v>
      </c>
    </row>
    <row r="4594" ht="19.5" customHeight="1">
      <c r="A4594" s="26" t="s">
        <v>12371</v>
      </c>
      <c r="B4594" s="27" t="s">
        <v>12372</v>
      </c>
      <c r="C4594" s="28" t="s">
        <v>134</v>
      </c>
      <c r="D4594" s="29">
        <v>39.0</v>
      </c>
      <c r="E4594" s="28" t="s">
        <v>12372</v>
      </c>
      <c r="F4594" s="7" t="str">
        <f>IFERROR(__xludf.DUMMYFUNCTION("GOOGLETRANSLATE(B4594:B5064,""en"",""fr"")"),"superbe")</f>
        <v>superbe</v>
      </c>
    </row>
    <row r="4595" ht="19.5" customHeight="1">
      <c r="A4595" s="26" t="s">
        <v>12373</v>
      </c>
      <c r="B4595" s="27" t="s">
        <v>12374</v>
      </c>
      <c r="C4595" s="28" t="s">
        <v>178</v>
      </c>
      <c r="D4595" s="29">
        <v>39.0</v>
      </c>
      <c r="E4595" s="28" t="s">
        <v>12375</v>
      </c>
      <c r="F4595" s="7" t="str">
        <f>IFERROR(__xludf.DUMMYFUNCTION("GOOGLETRANSLATE(B4595:B5064,""en"",""fr"")"),"souper")</f>
        <v>souper</v>
      </c>
    </row>
    <row r="4596" ht="19.5" customHeight="1">
      <c r="A4596" s="26" t="s">
        <v>12376</v>
      </c>
      <c r="B4596" s="27" t="s">
        <v>12377</v>
      </c>
      <c r="C4596" s="28" t="s">
        <v>178</v>
      </c>
      <c r="D4596" s="29">
        <v>39.0</v>
      </c>
      <c r="E4596" s="28" t="s">
        <v>12378</v>
      </c>
      <c r="F4596" s="7" t="str">
        <f>IFERROR(__xludf.DUMMYFUNCTION("GOOGLETRANSLATE(B4596:B5064,""en"",""fr"")"),"languette")</f>
        <v>languette</v>
      </c>
    </row>
    <row r="4597" ht="19.5" customHeight="1">
      <c r="A4597" s="26" t="s">
        <v>12379</v>
      </c>
      <c r="B4597" s="27" t="s">
        <v>12380</v>
      </c>
      <c r="C4597" s="28" t="s">
        <v>150</v>
      </c>
      <c r="D4597" s="29">
        <v>39.0</v>
      </c>
      <c r="E4597" s="28" t="s">
        <v>12380</v>
      </c>
      <c r="F4597" s="7" t="str">
        <f>IFERROR(__xludf.DUMMYFUNCTION("GOOGLETRANSLATE(B4597:B5064,""en"",""fr"")"),"trente quatre")</f>
        <v>trente quatre</v>
      </c>
    </row>
    <row r="4598" ht="19.5" customHeight="1">
      <c r="A4598" s="26" t="s">
        <v>12381</v>
      </c>
      <c r="B4598" s="27" t="s">
        <v>12382</v>
      </c>
      <c r="C4598" s="28" t="s">
        <v>150</v>
      </c>
      <c r="D4598" s="29">
        <v>39.0</v>
      </c>
      <c r="E4598" s="28" t="s">
        <v>12382</v>
      </c>
      <c r="F4598" s="7" t="str">
        <f>IFERROR(__xludf.DUMMYFUNCTION("GOOGLETRANSLATE(B4598:B5064,""en"",""fr"")"),"trente sept")</f>
        <v>trente sept</v>
      </c>
    </row>
    <row r="4599" ht="19.5" customHeight="1">
      <c r="A4599" s="26" t="s">
        <v>12383</v>
      </c>
      <c r="B4599" s="27" t="s">
        <v>3481</v>
      </c>
      <c r="C4599" s="28" t="s">
        <v>32</v>
      </c>
      <c r="D4599" s="29">
        <v>39.0</v>
      </c>
      <c r="E4599" s="28" t="s">
        <v>12384</v>
      </c>
      <c r="F4599" s="7" t="str">
        <f>IFERROR(__xludf.DUMMYFUNCTION("GOOGLETRANSLATE(B4599:B5064,""en"",""fr"")"),"griller")</f>
        <v>griller</v>
      </c>
    </row>
    <row r="4600" ht="19.5" customHeight="1">
      <c r="A4600" s="26" t="s">
        <v>12385</v>
      </c>
      <c r="B4600" s="27" t="s">
        <v>12386</v>
      </c>
      <c r="C4600" s="28" t="s">
        <v>32</v>
      </c>
      <c r="D4600" s="29">
        <v>39.0</v>
      </c>
      <c r="E4600" s="28" t="s">
        <v>12387</v>
      </c>
      <c r="F4600" s="7" t="str">
        <f>IFERROR(__xludf.DUMMYFUNCTION("GOOGLETRANSLATE(B4600:B5064,""en"",""fr"")"),"tolérer")</f>
        <v>tolérer</v>
      </c>
    </row>
    <row r="4601" ht="19.5" customHeight="1">
      <c r="A4601" s="26" t="s">
        <v>12388</v>
      </c>
      <c r="B4601" s="27" t="s">
        <v>12389</v>
      </c>
      <c r="C4601" s="28" t="s">
        <v>32</v>
      </c>
      <c r="D4601" s="29">
        <v>39.0</v>
      </c>
      <c r="E4601" s="28" t="s">
        <v>12390</v>
      </c>
      <c r="F4601" s="7" t="str">
        <f>IFERROR(__xludf.DUMMYFUNCTION("GOOGLETRANSLATE(B4601:B5064,""en"",""fr"")"),"traduire")</f>
        <v>traduire</v>
      </c>
    </row>
    <row r="4602" ht="19.5" customHeight="1">
      <c r="A4602" s="26" t="s">
        <v>12391</v>
      </c>
      <c r="B4602" s="27" t="s">
        <v>12392</v>
      </c>
      <c r="C4602" s="28" t="s">
        <v>178</v>
      </c>
      <c r="D4602" s="29">
        <v>39.0</v>
      </c>
      <c r="E4602" s="28" t="s">
        <v>12393</v>
      </c>
      <c r="F4602" s="7" t="str">
        <f>IFERROR(__xludf.DUMMYFUNCTION("GOOGLETRANSLATE(B4602:B5064,""en"",""fr"")"),"smoking")</f>
        <v>smoking</v>
      </c>
    </row>
    <row r="4603" ht="19.5" customHeight="1">
      <c r="A4603" s="26" t="s">
        <v>12394</v>
      </c>
      <c r="B4603" s="27" t="s">
        <v>12395</v>
      </c>
      <c r="C4603" s="28" t="s">
        <v>178</v>
      </c>
      <c r="D4603" s="29">
        <v>39.0</v>
      </c>
      <c r="E4603" s="28" t="s">
        <v>12396</v>
      </c>
      <c r="F4603" s="7" t="str">
        <f>IFERROR(__xludf.DUMMYFUNCTION("GOOGLETRANSLATE(B4603:B5064,""en"",""fr"")"),"baguette magique")</f>
        <v>baguette magique</v>
      </c>
    </row>
    <row r="4604" ht="19.5" customHeight="1">
      <c r="A4604" s="26" t="s">
        <v>12397</v>
      </c>
      <c r="B4604" s="27" t="s">
        <v>4536</v>
      </c>
      <c r="C4604" s="28" t="s">
        <v>178</v>
      </c>
      <c r="D4604" s="29">
        <v>39.0</v>
      </c>
      <c r="E4604" s="28" t="s">
        <v>12398</v>
      </c>
      <c r="F4604" s="7" t="str">
        <f>IFERROR(__xludf.DUMMYFUNCTION("GOOGLETRANSLATE(B4604:B5064,""en"",""fr"")"),"essuyer")</f>
        <v>essuyer</v>
      </c>
    </row>
    <row r="4605" ht="19.5" customHeight="1">
      <c r="A4605" s="26" t="s">
        <v>12399</v>
      </c>
      <c r="B4605" s="27" t="s">
        <v>12400</v>
      </c>
      <c r="C4605" s="28" t="s">
        <v>178</v>
      </c>
      <c r="D4605" s="29">
        <v>39.0</v>
      </c>
      <c r="E4605" s="28" t="s">
        <v>12401</v>
      </c>
      <c r="F4605" s="7" t="str">
        <f>IFERROR(__xludf.DUMMYFUNCTION("GOOGLETRANSLATE(B4605:B5064,""en"",""fr"")"),"dimension")</f>
        <v>dimension</v>
      </c>
    </row>
    <row r="4606" ht="19.5" customHeight="1">
      <c r="A4606" s="26" t="s">
        <v>12402</v>
      </c>
      <c r="B4606" s="27" t="s">
        <v>12403</v>
      </c>
      <c r="C4606" s="28" t="s">
        <v>134</v>
      </c>
      <c r="D4606" s="29">
        <v>39.0</v>
      </c>
      <c r="E4606" s="28" t="s">
        <v>12403</v>
      </c>
      <c r="F4606" s="7" t="str">
        <f>IFERROR(__xludf.DUMMYFUNCTION("GOOGLETRANSLATE(B4606:B5064,""en"",""fr"")"),"en série")</f>
        <v>en série</v>
      </c>
    </row>
    <row r="4607" ht="19.5" customHeight="1">
      <c r="A4607" s="26" t="s">
        <v>12404</v>
      </c>
      <c r="B4607" s="27" t="s">
        <v>12405</v>
      </c>
      <c r="C4607" s="28" t="s">
        <v>178</v>
      </c>
      <c r="D4607" s="29">
        <v>39.0</v>
      </c>
      <c r="E4607" s="28" t="s">
        <v>12406</v>
      </c>
      <c r="F4607" s="7" t="str">
        <f>IFERROR(__xludf.DUMMYFUNCTION("GOOGLETRANSLATE(B4607:B5064,""en"",""fr"")"),"sonner")</f>
        <v>sonner</v>
      </c>
    </row>
    <row r="4608" ht="19.5" customHeight="1">
      <c r="A4608" s="26" t="s">
        <v>12407</v>
      </c>
      <c r="B4608" s="27" t="s">
        <v>12408</v>
      </c>
      <c r="C4608" s="28" t="s">
        <v>178</v>
      </c>
      <c r="D4608" s="29">
        <v>38.0</v>
      </c>
      <c r="E4608" s="28" t="s">
        <v>12409</v>
      </c>
      <c r="F4608" s="7" t="str">
        <f>IFERROR(__xludf.DUMMYFUNCTION("GOOGLETRANSLATE(B4608:B5064,""en"",""fr"")"),"affection")</f>
        <v>affection</v>
      </c>
    </row>
    <row r="4609" ht="19.5" customHeight="1">
      <c r="A4609" s="26" t="s">
        <v>12410</v>
      </c>
      <c r="B4609" s="27" t="s">
        <v>12411</v>
      </c>
      <c r="C4609" s="28" t="s">
        <v>728</v>
      </c>
      <c r="D4609" s="29">
        <v>38.0</v>
      </c>
      <c r="E4609" s="28" t="s">
        <v>12412</v>
      </c>
      <c r="F4609" s="7" t="str">
        <f>IFERROR(__xludf.DUMMYFUNCTION("GOOGLETRANSLATE(B4609:B5064,""en"",""fr"")"),"Afro-américain")</f>
        <v>Afro-américain</v>
      </c>
    </row>
    <row r="4610" ht="19.5" customHeight="1">
      <c r="A4610" s="26" t="s">
        <v>12413</v>
      </c>
      <c r="B4610" s="27" t="s">
        <v>12414</v>
      </c>
      <c r="C4610" s="28" t="s">
        <v>32</v>
      </c>
      <c r="D4610" s="29">
        <v>38.0</v>
      </c>
      <c r="E4610" s="28" t="s">
        <v>12415</v>
      </c>
      <c r="F4610" s="7" t="str">
        <f>IFERROR(__xludf.DUMMYFUNCTION("GOOGLETRANSLATE(B4610:B5064,""en"",""fr"")"),"ancre")</f>
        <v>ancre</v>
      </c>
    </row>
    <row r="4611" ht="19.5" customHeight="1">
      <c r="A4611" s="26" t="s">
        <v>12416</v>
      </c>
      <c r="B4611" s="27" t="s">
        <v>12417</v>
      </c>
      <c r="C4611" s="28" t="s">
        <v>178</v>
      </c>
      <c r="D4611" s="29">
        <v>38.0</v>
      </c>
      <c r="E4611" s="28" t="s">
        <v>12417</v>
      </c>
      <c r="F4611" s="7" t="str">
        <f>IFERROR(__xludf.DUMMYFUNCTION("GOOGLETRANSLATE(B4611:B5064,""en"",""fr"")"),"anthropologie")</f>
        <v>anthropologie</v>
      </c>
    </row>
    <row r="4612" ht="19.5" customHeight="1">
      <c r="A4612" s="26" t="s">
        <v>12418</v>
      </c>
      <c r="B4612" s="27" t="s">
        <v>12419</v>
      </c>
      <c r="C4612" s="28" t="s">
        <v>178</v>
      </c>
      <c r="D4612" s="29">
        <v>38.0</v>
      </c>
      <c r="E4612" s="28" t="s">
        <v>12420</v>
      </c>
      <c r="F4612" s="7" t="str">
        <f>IFERROR(__xludf.DUMMYFUNCTION("GOOGLETRANSLATE(B4612:B5064,""en"",""fr"")"),"atome")</f>
        <v>atome</v>
      </c>
    </row>
    <row r="4613" ht="19.5" customHeight="1">
      <c r="A4613" s="26" t="s">
        <v>12421</v>
      </c>
      <c r="B4613" s="27" t="s">
        <v>12422</v>
      </c>
      <c r="C4613" s="28" t="s">
        <v>32</v>
      </c>
      <c r="D4613" s="29">
        <v>38.0</v>
      </c>
      <c r="E4613" s="28" t="s">
        <v>12423</v>
      </c>
      <c r="F4613" s="7" t="str">
        <f>IFERROR(__xludf.DUMMYFUNCTION("GOOGLETRANSLATE(B4613:B5064,""en"",""fr"")"),"auteur")</f>
        <v>auteur</v>
      </c>
    </row>
    <row r="4614" ht="19.5" customHeight="1">
      <c r="A4614" s="26" t="s">
        <v>12424</v>
      </c>
      <c r="B4614" s="27" t="s">
        <v>12425</v>
      </c>
      <c r="C4614" s="28" t="s">
        <v>32</v>
      </c>
      <c r="D4614" s="29">
        <v>38.0</v>
      </c>
      <c r="E4614" s="28" t="s">
        <v>12426</v>
      </c>
      <c r="F4614" s="7" t="str">
        <f>IFERROR(__xludf.DUMMYFUNCTION("GOOGLETRANSLATE(B4614:B5064,""en"",""fr"")"),"mélange")</f>
        <v>mélange</v>
      </c>
    </row>
    <row r="4615" ht="19.5" customHeight="1">
      <c r="A4615" s="26" t="s">
        <v>12427</v>
      </c>
      <c r="B4615" s="27" t="s">
        <v>12428</v>
      </c>
      <c r="C4615" s="28" t="s">
        <v>32</v>
      </c>
      <c r="D4615" s="29">
        <v>38.0</v>
      </c>
      <c r="E4615" s="28" t="s">
        <v>12429</v>
      </c>
      <c r="F4615" s="7" t="str">
        <f>IFERROR(__xludf.DUMMYFUNCTION("GOOGLETRANSLATE(B4615:B5064,""en"",""fr"")"),"clignoter")</f>
        <v>clignoter</v>
      </c>
    </row>
    <row r="4616" ht="19.5" customHeight="1">
      <c r="A4616" s="26" t="s">
        <v>12430</v>
      </c>
      <c r="B4616" s="27" t="s">
        <v>12431</v>
      </c>
      <c r="C4616" s="28" t="s">
        <v>178</v>
      </c>
      <c r="D4616" s="29">
        <v>38.0</v>
      </c>
      <c r="E4616" s="28" t="s">
        <v>12432</v>
      </c>
      <c r="F4616" s="7" t="str">
        <f>IFERROR(__xludf.DUMMYFUNCTION("GOOGLETRANSLATE(B4616:B5064,""en"",""fr"")"),"blond")</f>
        <v>blond</v>
      </c>
    </row>
    <row r="4617" ht="19.5" customHeight="1">
      <c r="A4617" s="26" t="s">
        <v>12433</v>
      </c>
      <c r="B4617" s="27" t="s">
        <v>12434</v>
      </c>
      <c r="C4617" s="28" t="s">
        <v>178</v>
      </c>
      <c r="D4617" s="29">
        <v>38.0</v>
      </c>
      <c r="E4617" s="28" t="s">
        <v>12434</v>
      </c>
      <c r="F4617" s="7" t="str">
        <f>IFERROR(__xludf.DUMMYFUNCTION("GOOGLETRANSLATE(B4617:B5064,""en"",""fr"")"),"freins")</f>
        <v>freins</v>
      </c>
    </row>
    <row r="4618" ht="19.5" customHeight="1">
      <c r="A4618" s="26" t="s">
        <v>12435</v>
      </c>
      <c r="B4618" s="27" t="s">
        <v>12436</v>
      </c>
      <c r="C4618" s="28" t="s">
        <v>32</v>
      </c>
      <c r="D4618" s="29">
        <v>38.0</v>
      </c>
      <c r="E4618" s="28" t="s">
        <v>12437</v>
      </c>
      <c r="F4618" s="7" t="str">
        <f>IFERROR(__xludf.DUMMYFUNCTION("GOOGLETRANSLATE(B4618:B5064,""en"",""fr"")"),"race")</f>
        <v>race</v>
      </c>
    </row>
    <row r="4619" ht="19.5" customHeight="1">
      <c r="A4619" s="26" t="s">
        <v>12438</v>
      </c>
      <c r="B4619" s="27" t="s">
        <v>12439</v>
      </c>
      <c r="C4619" s="28" t="s">
        <v>178</v>
      </c>
      <c r="D4619" s="29">
        <v>38.0</v>
      </c>
      <c r="E4619" s="28" t="s">
        <v>12440</v>
      </c>
      <c r="F4619" s="7" t="str">
        <f>IFERROR(__xludf.DUMMYFUNCTION("GOOGLETRANSLATE(B4619:B5064,""en"",""fr"")"),"brochure")</f>
        <v>brochure</v>
      </c>
    </row>
    <row r="4620" ht="19.5" customHeight="1">
      <c r="A4620" s="26" t="s">
        <v>12441</v>
      </c>
      <c r="B4620" s="27" t="s">
        <v>12442</v>
      </c>
      <c r="C4620" s="28" t="s">
        <v>178</v>
      </c>
      <c r="D4620" s="29">
        <v>38.0</v>
      </c>
      <c r="E4620" s="28" t="s">
        <v>12442</v>
      </c>
      <c r="F4620" s="7" t="str">
        <f>IFERROR(__xludf.DUMMYFUNCTION("GOOGLETRANSLATE(B4620:B5064,""en"",""fr"")"),"argile")</f>
        <v>argile</v>
      </c>
    </row>
    <row r="4621" ht="19.5" customHeight="1">
      <c r="A4621" s="26" t="s">
        <v>12443</v>
      </c>
      <c r="B4621" s="27" t="s">
        <v>8849</v>
      </c>
      <c r="C4621" s="28" t="s">
        <v>32</v>
      </c>
      <c r="D4621" s="29">
        <v>38.0</v>
      </c>
      <c r="E4621" s="28" t="s">
        <v>12444</v>
      </c>
      <c r="F4621" s="7" t="str">
        <f>IFERROR(__xludf.DUMMYFUNCTION("GOOGLETRANSLATE(B4621:B5064,""en"",""fr"")"),"pièce de monnaie")</f>
        <v>pièce de monnaie</v>
      </c>
    </row>
    <row r="4622" ht="19.5" customHeight="1">
      <c r="A4622" s="26" t="s">
        <v>12445</v>
      </c>
      <c r="B4622" s="27" t="s">
        <v>12446</v>
      </c>
      <c r="C4622" s="28" t="s">
        <v>178</v>
      </c>
      <c r="D4622" s="29">
        <v>38.0</v>
      </c>
      <c r="E4622" s="28" t="s">
        <v>12446</v>
      </c>
      <c r="F4622" s="7" t="str">
        <f>IFERROR(__xludf.DUMMYFUNCTION("GOOGLETRANSLATE(B4622:B5064,""en"",""fr"")"),"coït")</f>
        <v>coït</v>
      </c>
    </row>
    <row r="4623" ht="19.5" customHeight="1">
      <c r="A4623" s="26" t="s">
        <v>12447</v>
      </c>
      <c r="B4623" s="27" t="s">
        <v>12448</v>
      </c>
      <c r="C4623" s="28" t="s">
        <v>178</v>
      </c>
      <c r="D4623" s="29">
        <v>38.0</v>
      </c>
      <c r="E4623" s="28" t="s">
        <v>12449</v>
      </c>
      <c r="F4623" s="7" t="str">
        <f>IFERROR(__xludf.DUMMYFUNCTION("GOOGLETRANSLATE(B4623:B5064,""en"",""fr"")"),"correction")</f>
        <v>correction</v>
      </c>
    </row>
    <row r="4624" ht="19.5" customHeight="1">
      <c r="A4624" s="26" t="s">
        <v>12450</v>
      </c>
      <c r="B4624" s="27" t="s">
        <v>12451</v>
      </c>
      <c r="C4624" s="28" t="s">
        <v>134</v>
      </c>
      <c r="D4624" s="29">
        <v>38.0</v>
      </c>
      <c r="E4624" s="28" t="s">
        <v>12452</v>
      </c>
      <c r="F4624" s="7" t="str">
        <f>IFERROR(__xludf.DUMMYFUNCTION("GOOGLETRANSLATE(B4624:B5064,""en"",""fr"")"),"bouclé")</f>
        <v>bouclé</v>
      </c>
    </row>
    <row r="4625" ht="19.5" customHeight="1">
      <c r="A4625" s="26" t="s">
        <v>12453</v>
      </c>
      <c r="B4625" s="27" t="s">
        <v>12454</v>
      </c>
      <c r="C4625" s="28" t="s">
        <v>178</v>
      </c>
      <c r="D4625" s="29">
        <v>38.0</v>
      </c>
      <c r="E4625" s="28" t="s">
        <v>12454</v>
      </c>
      <c r="F4625" s="7" t="str">
        <f>IFERROR(__xludf.DUMMYFUNCTION("GOOGLETRANSLATE(B4625:B5064,""en"",""fr"")"),"garde à vue")</f>
        <v>garde à vue</v>
      </c>
    </row>
    <row r="4626" ht="19.5" customHeight="1">
      <c r="A4626" s="26" t="s">
        <v>12455</v>
      </c>
      <c r="B4626" s="27" t="s">
        <v>8634</v>
      </c>
      <c r="C4626" s="28" t="s">
        <v>134</v>
      </c>
      <c r="D4626" s="29">
        <v>38.0</v>
      </c>
      <c r="E4626" s="28" t="s">
        <v>12456</v>
      </c>
      <c r="F4626" s="7" t="str">
        <f>IFERROR(__xludf.DUMMYFUNCTION("GOOGLETRANSLATE(B4626:B5064,""en"",""fr"")"),"direct")</f>
        <v>direct</v>
      </c>
    </row>
    <row r="4627" ht="19.5" customHeight="1">
      <c r="A4627" s="26" t="s">
        <v>12457</v>
      </c>
      <c r="B4627" s="27" t="s">
        <v>12458</v>
      </c>
      <c r="C4627" s="28" t="s">
        <v>178</v>
      </c>
      <c r="D4627" s="29">
        <v>38.0</v>
      </c>
      <c r="E4627" s="28" t="s">
        <v>12459</v>
      </c>
      <c r="F4627" s="7" t="str">
        <f>IFERROR(__xludf.DUMMYFUNCTION("GOOGLETRANSLATE(B4627:B5064,""en"",""fr"")"),"diversité")</f>
        <v>diversité</v>
      </c>
    </row>
    <row r="4628" ht="19.5" customHeight="1">
      <c r="A4628" s="26" t="s">
        <v>12460</v>
      </c>
      <c r="B4628" s="27" t="s">
        <v>12461</v>
      </c>
      <c r="C4628" s="28" t="s">
        <v>32</v>
      </c>
      <c r="D4628" s="29">
        <v>38.0</v>
      </c>
      <c r="E4628" s="28" t="s">
        <v>12462</v>
      </c>
      <c r="F4628" s="7" t="str">
        <f>IFERROR(__xludf.DUMMYFUNCTION("GOOGLETRANSLATE(B4628:B5064,""en"",""fr"")"),"esquiver")</f>
        <v>esquiver</v>
      </c>
    </row>
    <row r="4629" ht="19.5" customHeight="1">
      <c r="A4629" s="26" t="s">
        <v>12463</v>
      </c>
      <c r="B4629" s="27" t="s">
        <v>12464</v>
      </c>
      <c r="C4629" s="28" t="s">
        <v>32</v>
      </c>
      <c r="D4629" s="29">
        <v>38.0</v>
      </c>
      <c r="E4629" s="28" t="s">
        <v>12465</v>
      </c>
      <c r="F4629" s="7" t="str">
        <f>IFERROR(__xludf.DUMMYFUNCTION("GOOGLETRANSLATE(B4629:B5064,""en"",""fr"")"),"vidange")</f>
        <v>vidange</v>
      </c>
    </row>
    <row r="4630" ht="19.5" customHeight="1">
      <c r="A4630" s="26" t="s">
        <v>12466</v>
      </c>
      <c r="B4630" s="27" t="s">
        <v>12467</v>
      </c>
      <c r="C4630" s="28" t="s">
        <v>32</v>
      </c>
      <c r="D4630" s="29">
        <v>38.0</v>
      </c>
      <c r="E4630" s="28" t="s">
        <v>12468</v>
      </c>
      <c r="F4630" s="7" t="str">
        <f>IFERROR(__xludf.DUMMYFUNCTION("GOOGLETRANSLATE(B4630:B5064,""en"",""fr"")"),"colorant")</f>
        <v>colorant</v>
      </c>
    </row>
    <row r="4631" ht="19.5" customHeight="1">
      <c r="A4631" s="26" t="s">
        <v>12469</v>
      </c>
      <c r="B4631" s="27" t="s">
        <v>12470</v>
      </c>
      <c r="C4631" s="28" t="s">
        <v>178</v>
      </c>
      <c r="D4631" s="29">
        <v>38.0</v>
      </c>
      <c r="E4631" s="28" t="s">
        <v>12471</v>
      </c>
      <c r="F4631" s="7" t="str">
        <f>IFERROR(__xludf.DUMMYFUNCTION("GOOGLETRANSLATE(B4631:B5064,""en"",""fr"")"),"dynamiter")</f>
        <v>dynamiter</v>
      </c>
    </row>
    <row r="4632" ht="19.5" customHeight="1">
      <c r="A4632" s="26" t="s">
        <v>12472</v>
      </c>
      <c r="B4632" s="27" t="s">
        <v>12473</v>
      </c>
      <c r="C4632" s="28" t="s">
        <v>178</v>
      </c>
      <c r="D4632" s="29">
        <v>38.0</v>
      </c>
      <c r="E4632" s="28" t="s">
        <v>12474</v>
      </c>
      <c r="F4632" s="7" t="str">
        <f>IFERROR(__xludf.DUMMYFUNCTION("GOOGLETRANSLATE(B4632:B5064,""en"",""fr"")"),"équation")</f>
        <v>équation</v>
      </c>
    </row>
    <row r="4633" ht="19.5" customHeight="1">
      <c r="A4633" s="26" t="s">
        <v>12475</v>
      </c>
      <c r="B4633" s="27" t="s">
        <v>12476</v>
      </c>
      <c r="C4633" s="28" t="s">
        <v>178</v>
      </c>
      <c r="D4633" s="29">
        <v>38.0</v>
      </c>
      <c r="E4633" s="28" t="s">
        <v>12477</v>
      </c>
      <c r="F4633" s="7" t="str">
        <f>IFERROR(__xludf.DUMMYFUNCTION("GOOGLETRANSLATE(B4633:B5064,""en"",""fr"")"),"course")</f>
        <v>course</v>
      </c>
    </row>
    <row r="4634" ht="19.5" customHeight="1">
      <c r="A4634" s="26" t="s">
        <v>12478</v>
      </c>
      <c r="B4634" s="27" t="s">
        <v>12479</v>
      </c>
      <c r="C4634" s="28" t="s">
        <v>134</v>
      </c>
      <c r="D4634" s="29">
        <v>38.0</v>
      </c>
      <c r="E4634" s="28" t="s">
        <v>12479</v>
      </c>
      <c r="F4634" s="7" t="str">
        <f>IFERROR(__xludf.DUMMYFUNCTION("GOOGLETRANSLATE(B4634:B5064,""en"",""fr"")"),"exclusif")</f>
        <v>exclusif</v>
      </c>
    </row>
    <row r="4635" ht="19.5" customHeight="1">
      <c r="A4635" s="26" t="s">
        <v>12480</v>
      </c>
      <c r="B4635" s="27" t="s">
        <v>12481</v>
      </c>
      <c r="C4635" s="28" t="s">
        <v>178</v>
      </c>
      <c r="D4635" s="29">
        <v>38.0</v>
      </c>
      <c r="E4635" s="28" t="s">
        <v>12482</v>
      </c>
      <c r="F4635" s="7" t="str">
        <f>IFERROR(__xludf.DUMMYFUNCTION("GOOGLETRANSLATE(B4635:B5064,""en"",""fr"")"),"Mi-temps")</f>
        <v>Mi-temps</v>
      </c>
    </row>
    <row r="4636" ht="19.5" customHeight="1">
      <c r="A4636" s="26" t="s">
        <v>12483</v>
      </c>
      <c r="B4636" s="27" t="s">
        <v>12484</v>
      </c>
      <c r="C4636" s="28" t="s">
        <v>178</v>
      </c>
      <c r="D4636" s="29">
        <v>38.0</v>
      </c>
      <c r="E4636" s="28" t="s">
        <v>12485</v>
      </c>
      <c r="F4636" s="7" t="str">
        <f>IFERROR(__xludf.DUMMYFUNCTION("GOOGLETRANSLATE(B4636:B5064,""en"",""fr"")"),"audience")</f>
        <v>audience</v>
      </c>
    </row>
    <row r="4637" ht="19.5" customHeight="1">
      <c r="A4637" s="26" t="s">
        <v>12486</v>
      </c>
      <c r="B4637" s="27" t="s">
        <v>12487</v>
      </c>
      <c r="C4637" s="28" t="s">
        <v>178</v>
      </c>
      <c r="D4637" s="29">
        <v>38.0</v>
      </c>
      <c r="E4637" s="28" t="s">
        <v>12488</v>
      </c>
      <c r="F4637" s="7" t="str">
        <f>IFERROR(__xludf.DUMMYFUNCTION("GOOGLETRANSLATE(B4637:B5064,""en"",""fr"")"),"cerceau")</f>
        <v>cerceau</v>
      </c>
    </row>
    <row r="4638" ht="19.5" customHeight="1">
      <c r="A4638" s="26" t="s">
        <v>12489</v>
      </c>
      <c r="B4638" s="27" t="s">
        <v>12490</v>
      </c>
      <c r="C4638" s="28" t="s">
        <v>178</v>
      </c>
      <c r="D4638" s="29">
        <v>38.0</v>
      </c>
      <c r="E4638" s="28" t="s">
        <v>12491</v>
      </c>
      <c r="F4638" s="7" t="str">
        <f>IFERROR(__xludf.DUMMYFUNCTION("GOOGLETRANSLATE(B4638:B5064,""en"",""fr"")"),"gros morceau")</f>
        <v>gros morceau</v>
      </c>
    </row>
    <row r="4639" ht="19.5" customHeight="1">
      <c r="A4639" s="26" t="s">
        <v>12492</v>
      </c>
      <c r="B4639" s="27" t="s">
        <v>12493</v>
      </c>
      <c r="C4639" s="28" t="s">
        <v>32</v>
      </c>
      <c r="D4639" s="29">
        <v>38.0</v>
      </c>
      <c r="E4639" s="28" t="s">
        <v>12494</v>
      </c>
      <c r="F4639" s="7" t="str">
        <f>IFERROR(__xludf.DUMMYFUNCTION("GOOGLETRANSLATE(B4639:B5064,""en"",""fr"")"),"envahir")</f>
        <v>envahir</v>
      </c>
    </row>
    <row r="4640" ht="19.5" customHeight="1">
      <c r="A4640" s="26" t="s">
        <v>12495</v>
      </c>
      <c r="B4640" s="27" t="s">
        <v>12496</v>
      </c>
      <c r="C4640" s="28" t="s">
        <v>178</v>
      </c>
      <c r="D4640" s="29">
        <v>38.0</v>
      </c>
      <c r="E4640" s="28" t="s">
        <v>12497</v>
      </c>
      <c r="F4640" s="7" t="str">
        <f>IFERROR(__xludf.DUMMYFUNCTION("GOOGLETRANSLATE(B4640:B5064,""en"",""fr"")"),"invasion")</f>
        <v>invasion</v>
      </c>
    </row>
    <row r="4641" ht="19.5" customHeight="1">
      <c r="A4641" s="26" t="s">
        <v>12498</v>
      </c>
      <c r="B4641" s="27" t="s">
        <v>12499</v>
      </c>
      <c r="C4641" s="28" t="s">
        <v>178</v>
      </c>
      <c r="D4641" s="29">
        <v>38.0</v>
      </c>
      <c r="E4641" s="28" t="s">
        <v>12500</v>
      </c>
      <c r="F4641" s="7" t="str">
        <f>IFERROR(__xludf.DUMMYFUNCTION("GOOGLETRANSLATE(B4641:B5064,""en"",""fr"")"),"jalousie")</f>
        <v>jalousie</v>
      </c>
    </row>
    <row r="4642" ht="19.5" customHeight="1">
      <c r="A4642" s="26" t="s">
        <v>12501</v>
      </c>
      <c r="B4642" s="27" t="s">
        <v>12502</v>
      </c>
      <c r="C4642" s="28" t="s">
        <v>32</v>
      </c>
      <c r="D4642" s="29">
        <v>38.0</v>
      </c>
      <c r="E4642" s="28" t="s">
        <v>12503</v>
      </c>
      <c r="F4642" s="7" t="str">
        <f>IFERROR(__xludf.DUMMYFUNCTION("GOOGLETRANSLATE(B4642:B5064,""en"",""fr"")"),"tinter")</f>
        <v>tinter</v>
      </c>
    </row>
    <row r="4643" ht="19.5" customHeight="1">
      <c r="A4643" s="26" t="s">
        <v>12504</v>
      </c>
      <c r="B4643" s="27" t="s">
        <v>12505</v>
      </c>
      <c r="C4643" s="28" t="s">
        <v>134</v>
      </c>
      <c r="D4643" s="29">
        <v>38.0</v>
      </c>
      <c r="E4643" s="28" t="s">
        <v>12506</v>
      </c>
      <c r="F4643" s="7" t="str">
        <f>IFERROR(__xludf.DUMMYFUNCTION("GOOGLETRANSLATE(B4643:B5064,""en"",""fr"")"),"judicieux")</f>
        <v>judicieux</v>
      </c>
    </row>
    <row r="4644" ht="19.5" customHeight="1">
      <c r="A4644" s="26" t="s">
        <v>12507</v>
      </c>
      <c r="B4644" s="27" t="s">
        <v>12508</v>
      </c>
      <c r="C4644" s="28" t="s">
        <v>178</v>
      </c>
      <c r="D4644" s="29">
        <v>38.0</v>
      </c>
      <c r="E4644" s="28" t="s">
        <v>12509</v>
      </c>
      <c r="F4644" s="7" t="str">
        <f>IFERROR(__xludf.DUMMYFUNCTION("GOOGLETRANSLATE(B4644:B5064,""en"",""fr"")"),"Royaume")</f>
        <v>Royaume</v>
      </c>
    </row>
    <row r="4645" ht="19.5" customHeight="1">
      <c r="A4645" s="26" t="s">
        <v>12510</v>
      </c>
      <c r="B4645" s="27" t="s">
        <v>6607</v>
      </c>
      <c r="C4645" s="28" t="s">
        <v>32</v>
      </c>
      <c r="D4645" s="29">
        <v>38.0</v>
      </c>
      <c r="E4645" s="28" t="s">
        <v>12511</v>
      </c>
      <c r="F4645" s="7" t="str">
        <f>IFERROR(__xludf.DUMMYFUNCTION("GOOGLETRANSLATE(B4645:B5064,""en"",""fr"")"),"étiquette")</f>
        <v>étiquette</v>
      </c>
    </row>
    <row r="4646" ht="19.5" customHeight="1">
      <c r="A4646" s="26" t="s">
        <v>12512</v>
      </c>
      <c r="B4646" s="27" t="s">
        <v>12513</v>
      </c>
      <c r="C4646" s="28" t="s">
        <v>178</v>
      </c>
      <c r="D4646" s="29">
        <v>38.0</v>
      </c>
      <c r="E4646" s="28" t="s">
        <v>12514</v>
      </c>
      <c r="F4646" s="7" t="str">
        <f>IFERROR(__xludf.DUMMYFUNCTION("GOOGLETRANSLATE(B4646:B5064,""en"",""fr"")"),"sucette")</f>
        <v>sucette</v>
      </c>
    </row>
    <row r="4647" ht="19.5" customHeight="1">
      <c r="A4647" s="26" t="s">
        <v>12515</v>
      </c>
      <c r="B4647" s="27" t="s">
        <v>12516</v>
      </c>
      <c r="C4647" s="28" t="s">
        <v>178</v>
      </c>
      <c r="D4647" s="29">
        <v>38.0</v>
      </c>
      <c r="E4647" s="28" t="s">
        <v>12517</v>
      </c>
      <c r="F4647" s="7" t="str">
        <f>IFERROR(__xludf.DUMMYFUNCTION("GOOGLETRANSLATE(B4647:B5064,""en"",""fr"")"),"couché")</f>
        <v>couché</v>
      </c>
    </row>
    <row r="4648" ht="19.5" customHeight="1">
      <c r="A4648" s="26" t="s">
        <v>12518</v>
      </c>
      <c r="B4648" s="27" t="s">
        <v>12519</v>
      </c>
      <c r="C4648" s="28" t="s">
        <v>32</v>
      </c>
      <c r="D4648" s="29">
        <v>38.0</v>
      </c>
      <c r="E4648" s="28" t="s">
        <v>12520</v>
      </c>
      <c r="F4648" s="7" t="str">
        <f>IFERROR(__xludf.DUMMYFUNCTION("GOOGLETRANSLATE(B4648:B5064,""en"",""fr"")"),"manipuler")</f>
        <v>manipuler</v>
      </c>
    </row>
    <row r="4649" ht="19.5" customHeight="1">
      <c r="A4649" s="26" t="s">
        <v>12521</v>
      </c>
      <c r="B4649" s="27" t="s">
        <v>12522</v>
      </c>
      <c r="C4649" s="28" t="s">
        <v>178</v>
      </c>
      <c r="D4649" s="29">
        <v>38.0</v>
      </c>
      <c r="E4649" s="28" t="s">
        <v>12523</v>
      </c>
      <c r="F4649" s="7" t="str">
        <f>IFERROR(__xludf.DUMMYFUNCTION("GOOGLETRANSLATE(B4649:B5064,""en"",""fr"")"),"max")</f>
        <v>max</v>
      </c>
    </row>
    <row r="4650" ht="19.5" customHeight="1">
      <c r="A4650" s="26" t="s">
        <v>12524</v>
      </c>
      <c r="B4650" s="27" t="s">
        <v>12525</v>
      </c>
      <c r="C4650" s="28" t="s">
        <v>178</v>
      </c>
      <c r="D4650" s="29">
        <v>38.0</v>
      </c>
      <c r="E4650" s="28" t="s">
        <v>12526</v>
      </c>
      <c r="F4650" s="7" t="str">
        <f>IFERROR(__xludf.DUMMYFUNCTION("GOOGLETRANSLATE(B4650:B5064,""en"",""fr"")"),"mécanicien")</f>
        <v>mécanicien</v>
      </c>
    </row>
    <row r="4651" ht="19.5" customHeight="1">
      <c r="A4651" s="26" t="s">
        <v>12527</v>
      </c>
      <c r="B4651" s="27" t="s">
        <v>12528</v>
      </c>
      <c r="C4651" s="28" t="s">
        <v>178</v>
      </c>
      <c r="D4651" s="29">
        <v>38.0</v>
      </c>
      <c r="E4651" s="28" t="s">
        <v>12529</v>
      </c>
      <c r="F4651" s="7" t="str">
        <f>IFERROR(__xludf.DUMMYFUNCTION("GOOGLETRANSLATE(B4651:B5064,""en"",""fr"")"),"mode")</f>
        <v>mode</v>
      </c>
    </row>
    <row r="4652" ht="19.5" customHeight="1">
      <c r="A4652" s="26" t="s">
        <v>12530</v>
      </c>
      <c r="B4652" s="27" t="s">
        <v>12531</v>
      </c>
      <c r="C4652" s="28" t="s">
        <v>32</v>
      </c>
      <c r="D4652" s="29">
        <v>38.0</v>
      </c>
      <c r="E4652" s="28" t="s">
        <v>12532</v>
      </c>
      <c r="F4652" s="7" t="str">
        <f>IFERROR(__xludf.DUMMYFUNCTION("GOOGLETRANSLATE(B4652:B5064,""en"",""fr"")"),"étroit")</f>
        <v>étroit</v>
      </c>
    </row>
    <row r="4653" ht="19.5" customHeight="1">
      <c r="A4653" s="26" t="s">
        <v>12533</v>
      </c>
      <c r="B4653" s="27" t="s">
        <v>12534</v>
      </c>
      <c r="C4653" s="28" t="s">
        <v>178</v>
      </c>
      <c r="D4653" s="29">
        <v>38.0</v>
      </c>
      <c r="E4653" s="28" t="s">
        <v>12535</v>
      </c>
      <c r="F4653" s="7" t="str">
        <f>IFERROR(__xludf.DUMMYFUNCTION("GOOGLETRANSLATE(B4653:B5064,""en"",""fr"")"),"serment")</f>
        <v>serment</v>
      </c>
    </row>
    <row r="4654" ht="19.5" customHeight="1">
      <c r="A4654" s="26" t="s">
        <v>12536</v>
      </c>
      <c r="B4654" s="27" t="s">
        <v>12537</v>
      </c>
      <c r="C4654" s="28" t="s">
        <v>178</v>
      </c>
      <c r="D4654" s="29">
        <v>38.0</v>
      </c>
      <c r="E4654" s="28" t="s">
        <v>12538</v>
      </c>
      <c r="F4654" s="7" t="str">
        <f>IFERROR(__xludf.DUMMYFUNCTION("GOOGLETRANSLATE(B4654:B5064,""en"",""fr"")"),"odeur")</f>
        <v>odeur</v>
      </c>
    </row>
    <row r="4655" ht="19.5" customHeight="1">
      <c r="A4655" s="26" t="s">
        <v>12539</v>
      </c>
      <c r="B4655" s="27" t="s">
        <v>12540</v>
      </c>
      <c r="C4655" s="28" t="s">
        <v>134</v>
      </c>
      <c r="D4655" s="29">
        <v>38.0</v>
      </c>
      <c r="E4655" s="28" t="s">
        <v>12540</v>
      </c>
      <c r="F4655" s="7" t="str">
        <f>IFERROR(__xludf.DUMMYFUNCTION("GOOGLETRANSLATE(B4655:B5064,""en"",""fr"")"),"remarquable")</f>
        <v>remarquable</v>
      </c>
    </row>
    <row r="4656" ht="19.5" customHeight="1">
      <c r="A4656" s="26" t="s">
        <v>12541</v>
      </c>
      <c r="B4656" s="27" t="s">
        <v>12542</v>
      </c>
      <c r="C4656" s="28" t="s">
        <v>178</v>
      </c>
      <c r="D4656" s="29">
        <v>38.0</v>
      </c>
      <c r="E4656" s="28" t="s">
        <v>12543</v>
      </c>
      <c r="F4656" s="7" t="str">
        <f>IFERROR(__xludf.DUMMYFUNCTION("GOOGLETRANSLATE(B4656:B5064,""en"",""fr"")"),"hibou")</f>
        <v>hibou</v>
      </c>
    </row>
    <row r="4657" ht="19.5" customHeight="1">
      <c r="A4657" s="26" t="s">
        <v>12544</v>
      </c>
      <c r="B4657" s="27" t="s">
        <v>12545</v>
      </c>
      <c r="C4657" s="28" t="s">
        <v>178</v>
      </c>
      <c r="D4657" s="29">
        <v>38.0</v>
      </c>
      <c r="E4657" s="28" t="s">
        <v>12546</v>
      </c>
      <c r="F4657" s="7" t="str">
        <f>IFERROR(__xludf.DUMMYFUNCTION("GOOGLETRANSLATE(B4657:B5064,""en"",""fr"")"),"le pape")</f>
        <v>le pape</v>
      </c>
    </row>
    <row r="4658" ht="19.5" customHeight="1">
      <c r="A4658" s="26" t="s">
        <v>12547</v>
      </c>
      <c r="B4658" s="27" t="s">
        <v>12548</v>
      </c>
      <c r="C4658" s="28" t="s">
        <v>178</v>
      </c>
      <c r="D4658" s="29">
        <v>38.0</v>
      </c>
      <c r="E4658" s="28" t="s">
        <v>12549</v>
      </c>
      <c r="F4658" s="7" t="str">
        <f>IFERROR(__xludf.DUMMYFUNCTION("GOOGLETRANSLATE(B4658:B5064,""en"",""fr"")"),"poursuite")</f>
        <v>poursuite</v>
      </c>
    </row>
    <row r="4659" ht="19.5" customHeight="1">
      <c r="A4659" s="26" t="s">
        <v>12550</v>
      </c>
      <c r="B4659" s="27" t="s">
        <v>12551</v>
      </c>
      <c r="C4659" s="28" t="s">
        <v>32</v>
      </c>
      <c r="D4659" s="29">
        <v>38.0</v>
      </c>
      <c r="E4659" s="28" t="s">
        <v>12552</v>
      </c>
      <c r="F4659" s="7" t="str">
        <f>IFERROR(__xludf.DUMMYFUNCTION("GOOGLETRANSLATE(B4659:B5064,""en"",""fr"")"),"compter sur")</f>
        <v>compter sur</v>
      </c>
    </row>
    <row r="4660" ht="19.5" customHeight="1">
      <c r="A4660" s="26" t="s">
        <v>12553</v>
      </c>
      <c r="B4660" s="27" t="s">
        <v>12554</v>
      </c>
      <c r="C4660" s="28" t="s">
        <v>178</v>
      </c>
      <c r="D4660" s="29">
        <v>38.0</v>
      </c>
      <c r="E4660" s="28" t="s">
        <v>12555</v>
      </c>
      <c r="F4660" s="7" t="str">
        <f>IFERROR(__xludf.DUMMYFUNCTION("GOOGLETRANSLATE(B4660:B5064,""en"",""fr"")"),"réputation")</f>
        <v>réputation</v>
      </c>
    </row>
    <row r="4661" ht="19.5" customHeight="1">
      <c r="A4661" s="26" t="s">
        <v>12556</v>
      </c>
      <c r="B4661" s="27" t="s">
        <v>12557</v>
      </c>
      <c r="C4661" s="28" t="s">
        <v>32</v>
      </c>
      <c r="D4661" s="29">
        <v>38.0</v>
      </c>
      <c r="E4661" s="28" t="s">
        <v>12558</v>
      </c>
      <c r="F4661" s="7" t="str">
        <f>IFERROR(__xludf.DUMMYFUNCTION("GOOGLETRANSLATE(B4661:B5064,""en"",""fr"")"),"restaurer")</f>
        <v>restaurer</v>
      </c>
    </row>
    <row r="4662" ht="19.5" customHeight="1">
      <c r="A4662" s="26" t="s">
        <v>12559</v>
      </c>
      <c r="B4662" s="27" t="s">
        <v>12560</v>
      </c>
      <c r="C4662" s="28" t="s">
        <v>32</v>
      </c>
      <c r="D4662" s="29">
        <v>38.0</v>
      </c>
      <c r="E4662" s="28" t="s">
        <v>12561</v>
      </c>
      <c r="F4662" s="7" t="str">
        <f>IFERROR(__xludf.DUMMYFUNCTION("GOOGLETRANSLATE(B4662:B5064,""en"",""fr"")"),"rime")</f>
        <v>rime</v>
      </c>
    </row>
    <row r="4663" ht="19.5" customHeight="1">
      <c r="A4663" s="26" t="s">
        <v>12562</v>
      </c>
      <c r="B4663" s="27" t="s">
        <v>12563</v>
      </c>
      <c r="C4663" s="28" t="s">
        <v>178</v>
      </c>
      <c r="D4663" s="29">
        <v>38.0</v>
      </c>
      <c r="E4663" s="28" t="s">
        <v>12564</v>
      </c>
      <c r="F4663" s="7" t="str">
        <f>IFERROR(__xludf.DUMMYFUNCTION("GOOGLETRANSLATE(B4663:B5064,""en"",""fr"")"),"rhum")</f>
        <v>rhum</v>
      </c>
    </row>
    <row r="4664" ht="19.5" customHeight="1">
      <c r="A4664" s="26" t="s">
        <v>12565</v>
      </c>
      <c r="B4664" s="27" t="s">
        <v>12566</v>
      </c>
      <c r="C4664" s="28" t="s">
        <v>178</v>
      </c>
      <c r="D4664" s="29">
        <v>38.0</v>
      </c>
      <c r="E4664" s="28" t="s">
        <v>12567</v>
      </c>
      <c r="F4664" s="7" t="str">
        <f>IFERROR(__xludf.DUMMYFUNCTION("GOOGLETRANSLATE(B4664:B5064,""en"",""fr"")"),"scoop")</f>
        <v>scoop</v>
      </c>
    </row>
    <row r="4665" ht="19.5" customHeight="1">
      <c r="A4665" s="26" t="s">
        <v>12568</v>
      </c>
      <c r="B4665" s="27" t="s">
        <v>1606</v>
      </c>
      <c r="C4665" s="28" t="s">
        <v>178</v>
      </c>
      <c r="D4665" s="29">
        <v>38.0</v>
      </c>
      <c r="E4665" s="28" t="s">
        <v>12569</v>
      </c>
      <c r="F4665" s="7" t="str">
        <f>IFERROR(__xludf.DUMMYFUNCTION("GOOGLETRANSLATE(B4665:B5064,""en"",""fr"")"),"vis")</f>
        <v>vis</v>
      </c>
    </row>
    <row r="4666" ht="19.5" customHeight="1">
      <c r="A4666" s="26" t="s">
        <v>12570</v>
      </c>
      <c r="B4666" s="27" t="s">
        <v>12571</v>
      </c>
      <c r="C4666" s="28" t="s">
        <v>178</v>
      </c>
      <c r="D4666" s="29">
        <v>38.0</v>
      </c>
      <c r="E4666" s="28" t="s">
        <v>12572</v>
      </c>
      <c r="F4666" s="7" t="str">
        <f>IFERROR(__xludf.DUMMYFUNCTION("GOOGLETRANSLATE(B4666:B5064,""en"",""fr"")"),"scrotum")</f>
        <v>scrotum</v>
      </c>
    </row>
    <row r="4667" ht="19.5" customHeight="1">
      <c r="A4667" s="26" t="s">
        <v>12573</v>
      </c>
      <c r="B4667" s="27" t="s">
        <v>12574</v>
      </c>
      <c r="C4667" s="28" t="s">
        <v>178</v>
      </c>
      <c r="D4667" s="29">
        <v>38.0</v>
      </c>
      <c r="E4667" s="28" t="s">
        <v>12575</v>
      </c>
      <c r="F4667" s="7" t="str">
        <f>IFERROR(__xludf.DUMMYFUNCTION("GOOGLETRANSLATE(B4667:B5064,""en"",""fr"")"),"divulgacher")</f>
        <v>divulgacher</v>
      </c>
    </row>
    <row r="4668" ht="19.5" customHeight="1">
      <c r="A4668" s="26" t="s">
        <v>12576</v>
      </c>
      <c r="B4668" s="27" t="s">
        <v>12577</v>
      </c>
      <c r="C4668" s="28" t="s">
        <v>178</v>
      </c>
      <c r="D4668" s="29">
        <v>38.0</v>
      </c>
      <c r="E4668" s="28" t="s">
        <v>12578</v>
      </c>
      <c r="F4668" s="7" t="str">
        <f>IFERROR(__xludf.DUMMYFUNCTION("GOOGLETRANSLATE(B4668:B5064,""en"",""fr"")"),"superstar")</f>
        <v>superstar</v>
      </c>
    </row>
    <row r="4669" ht="19.5" customHeight="1">
      <c r="A4669" s="26" t="s">
        <v>12579</v>
      </c>
      <c r="B4669" s="27" t="s">
        <v>12580</v>
      </c>
      <c r="C4669" s="28" t="s">
        <v>178</v>
      </c>
      <c r="D4669" s="29">
        <v>38.0</v>
      </c>
      <c r="E4669" s="28" t="s">
        <v>12581</v>
      </c>
      <c r="F4669" s="7" t="str">
        <f>IFERROR(__xludf.DUMMYFUNCTION("GOOGLETRANSLATE(B4669:B5064,""en"",""fr"")"),"surface")</f>
        <v>surface</v>
      </c>
    </row>
    <row r="4670" ht="19.5" customHeight="1">
      <c r="A4670" s="26" t="s">
        <v>12582</v>
      </c>
      <c r="B4670" s="27" t="s">
        <v>12583</v>
      </c>
      <c r="C4670" s="28" t="s">
        <v>178</v>
      </c>
      <c r="D4670" s="29">
        <v>38.0</v>
      </c>
      <c r="E4670" s="28" t="s">
        <v>12583</v>
      </c>
      <c r="F4670" s="7" t="str">
        <f>IFERROR(__xludf.DUMMYFUNCTION("GOOGLETRANSLATE(B4670:B5064,""en"",""fr"")"),"les adolescents")</f>
        <v>les adolescents</v>
      </c>
    </row>
    <row r="4671" ht="19.5" customHeight="1">
      <c r="A4671" s="26" t="s">
        <v>12584</v>
      </c>
      <c r="B4671" s="27" t="s">
        <v>12585</v>
      </c>
      <c r="C4671" s="28" t="s">
        <v>32</v>
      </c>
      <c r="D4671" s="29">
        <v>38.0</v>
      </c>
      <c r="E4671" s="28" t="s">
        <v>12586</v>
      </c>
      <c r="F4671" s="7" t="str">
        <f>IFERROR(__xludf.DUMMYFUNCTION("GOOGLETRANSLATE(B4671:B5064,""en"",""fr"")"),"tweeter")</f>
        <v>tweeter</v>
      </c>
    </row>
    <row r="4672" ht="19.5" customHeight="1">
      <c r="A4672" s="26" t="s">
        <v>12587</v>
      </c>
      <c r="B4672" s="27" t="s">
        <v>12588</v>
      </c>
      <c r="C4672" s="28" t="s">
        <v>150</v>
      </c>
      <c r="D4672" s="29">
        <v>38.0</v>
      </c>
      <c r="E4672" s="28" t="s">
        <v>12588</v>
      </c>
      <c r="F4672" s="7" t="str">
        <f>IFERROR(__xludf.DUMMYFUNCTION("GOOGLETRANSLATE(B4672:B5064,""en"",""fr"")"),"deux mille")</f>
        <v>deux mille</v>
      </c>
    </row>
    <row r="4673" ht="19.5" customHeight="1">
      <c r="A4673" s="26" t="s">
        <v>12589</v>
      </c>
      <c r="B4673" s="27" t="s">
        <v>12590</v>
      </c>
      <c r="C4673" s="28" t="s">
        <v>134</v>
      </c>
      <c r="D4673" s="29">
        <v>38.0</v>
      </c>
      <c r="E4673" s="28" t="s">
        <v>12590</v>
      </c>
      <c r="F4673" s="7" t="str">
        <f>IFERROR(__xludf.DUMMYFUNCTION("GOOGLETRANSLATE(B4673:B5064,""en"",""fr"")"),"à l'abri")</f>
        <v>à l'abri</v>
      </c>
    </row>
    <row r="4674" ht="19.5" customHeight="1">
      <c r="A4674" s="26" t="s">
        <v>12591</v>
      </c>
      <c r="B4674" s="27" t="s">
        <v>12592</v>
      </c>
      <c r="C4674" s="28" t="s">
        <v>178</v>
      </c>
      <c r="D4674" s="29">
        <v>38.0</v>
      </c>
      <c r="E4674" s="28" t="s">
        <v>12593</v>
      </c>
      <c r="F4674" s="7" t="str">
        <f>IFERROR(__xludf.DUMMYFUNCTION("GOOGLETRANSLATE(B4674:B5064,""en"",""fr"")"),"vétéran")</f>
        <v>vétéran</v>
      </c>
    </row>
    <row r="4675" ht="19.5" customHeight="1">
      <c r="A4675" s="26" t="s">
        <v>12594</v>
      </c>
      <c r="B4675" s="27" t="s">
        <v>12595</v>
      </c>
      <c r="C4675" s="28" t="s">
        <v>178</v>
      </c>
      <c r="D4675" s="29">
        <v>38.0</v>
      </c>
      <c r="E4675" s="28" t="s">
        <v>12596</v>
      </c>
      <c r="F4675" s="7" t="str">
        <f>IFERROR(__xludf.DUMMYFUNCTION("GOOGLETRANSLATE(B4675:B5064,""en"",""fr"")"),"téléspectateur")</f>
        <v>téléspectateur</v>
      </c>
    </row>
    <row r="4676" ht="19.5" customHeight="1">
      <c r="A4676" s="26" t="s">
        <v>12597</v>
      </c>
      <c r="B4676" s="27" t="s">
        <v>10302</v>
      </c>
      <c r="C4676" s="28" t="s">
        <v>32</v>
      </c>
      <c r="D4676" s="29">
        <v>38.0</v>
      </c>
      <c r="E4676" s="28" t="s">
        <v>12598</v>
      </c>
      <c r="F4676" s="7" t="str">
        <f>IFERROR(__xludf.DUMMYFUNCTION("GOOGLETRANSLATE(B4676:B5064,""en"",""fr"")"),"la cire")</f>
        <v>la cire</v>
      </c>
    </row>
    <row r="4677" ht="19.5" customHeight="1">
      <c r="A4677" s="26" t="s">
        <v>12599</v>
      </c>
      <c r="B4677" s="27" t="s">
        <v>12600</v>
      </c>
      <c r="C4677" s="28" t="s">
        <v>32</v>
      </c>
      <c r="D4677" s="29">
        <v>38.0</v>
      </c>
      <c r="E4677" s="28" t="s">
        <v>12601</v>
      </c>
      <c r="F4677" s="7" t="str">
        <f>IFERROR(__xludf.DUMMYFUNCTION("GOOGLETRANSLATE(B4677:B5064,""en"",""fr"")"),"gémissement")</f>
        <v>gémissement</v>
      </c>
    </row>
    <row r="4678" ht="19.5" customHeight="1">
      <c r="A4678" s="26" t="s">
        <v>12602</v>
      </c>
      <c r="B4678" s="27" t="s">
        <v>12603</v>
      </c>
      <c r="C4678" s="28" t="s">
        <v>178</v>
      </c>
      <c r="D4678" s="29">
        <v>38.0</v>
      </c>
      <c r="E4678" s="28" t="s">
        <v>12604</v>
      </c>
      <c r="F4678" s="7" t="str">
        <f>IFERROR(__xludf.DUMMYFUNCTION("GOOGLETRANSLATE(B4678:B5064,""en"",""fr"")"),"pare-brise")</f>
        <v>pare-brise</v>
      </c>
    </row>
    <row r="4679" ht="19.5" customHeight="1">
      <c r="A4679" s="26" t="s">
        <v>12605</v>
      </c>
      <c r="B4679" s="27" t="s">
        <v>12606</v>
      </c>
      <c r="C4679" s="28" t="s">
        <v>178</v>
      </c>
      <c r="D4679" s="29">
        <v>38.0</v>
      </c>
      <c r="E4679" s="28" t="s">
        <v>12607</v>
      </c>
      <c r="F4679" s="7" t="str">
        <f>IFERROR(__xludf.DUMMYFUNCTION("GOOGLETRANSLATE(B4679:B5064,""en"",""fr"")"),"appât")</f>
        <v>appât</v>
      </c>
    </row>
    <row r="4680" ht="19.5" customHeight="1">
      <c r="A4680" s="26" t="s">
        <v>12608</v>
      </c>
      <c r="B4680" s="27" t="s">
        <v>12609</v>
      </c>
      <c r="C4680" s="28" t="s">
        <v>134</v>
      </c>
      <c r="D4680" s="29">
        <v>38.0</v>
      </c>
      <c r="E4680" s="28" t="s">
        <v>12609</v>
      </c>
      <c r="F4680" s="7" t="str">
        <f>IFERROR(__xludf.DUMMYFUNCTION("GOOGLETRANSLATE(B4680:B5064,""en"",""fr"")"),"épique")</f>
        <v>épique</v>
      </c>
    </row>
    <row r="4681" ht="19.5" customHeight="1">
      <c r="A4681" s="26" t="s">
        <v>12610</v>
      </c>
      <c r="B4681" s="27" t="s">
        <v>12611</v>
      </c>
      <c r="C4681" s="28" t="s">
        <v>134</v>
      </c>
      <c r="D4681" s="29">
        <v>38.0</v>
      </c>
      <c r="E4681" s="28" t="s">
        <v>12611</v>
      </c>
      <c r="F4681" s="7" t="str">
        <f>IFERROR(__xludf.DUMMYFUNCTION("GOOGLETRANSLATE(B4681:B5064,""en"",""fr"")"),"fonctionnement")</f>
        <v>fonctionnement</v>
      </c>
    </row>
    <row r="4682" ht="19.5" customHeight="1">
      <c r="A4682" s="26" t="s">
        <v>12612</v>
      </c>
      <c r="B4682" s="27" t="s">
        <v>12613</v>
      </c>
      <c r="C4682" s="28" t="s">
        <v>178</v>
      </c>
      <c r="D4682" s="29">
        <v>38.0</v>
      </c>
      <c r="E4682" s="28" t="s">
        <v>12614</v>
      </c>
      <c r="F4682" s="7" t="str">
        <f>IFERROR(__xludf.DUMMYFUNCTION("GOOGLETRANSLATE(B4682:B5064,""en"",""fr"")"),"pelle")</f>
        <v>pelle</v>
      </c>
    </row>
    <row r="4683" ht="19.5" customHeight="1">
      <c r="A4683" s="26" t="s">
        <v>12615</v>
      </c>
      <c r="B4683" s="27" t="s">
        <v>12616</v>
      </c>
      <c r="C4683" s="28" t="s">
        <v>32</v>
      </c>
      <c r="D4683" s="29">
        <v>37.0</v>
      </c>
      <c r="E4683" s="28" t="s">
        <v>12617</v>
      </c>
      <c r="F4683" s="7" t="str">
        <f>IFERROR(__xludf.DUMMYFUNCTION("GOOGLETRANSLATE(B4683:B5064,""en"",""fr"")"),"exécuter")</f>
        <v>exécuter</v>
      </c>
    </row>
    <row r="4684" ht="19.5" customHeight="1">
      <c r="A4684" s="26" t="s">
        <v>12618</v>
      </c>
      <c r="B4684" s="27" t="s">
        <v>5724</v>
      </c>
      <c r="C4684" s="28" t="s">
        <v>32</v>
      </c>
      <c r="D4684" s="29">
        <v>37.0</v>
      </c>
      <c r="E4684" s="28" t="s">
        <v>12619</v>
      </c>
      <c r="F4684" s="7" t="str">
        <f>IFERROR(__xludf.DUMMYFUNCTION("GOOGLETRANSLATE(B4684:B5064,""en"",""fr"")"),"expérience")</f>
        <v>expérience</v>
      </c>
    </row>
    <row r="4685" ht="19.5" customHeight="1">
      <c r="A4685" s="26" t="s">
        <v>12620</v>
      </c>
      <c r="B4685" s="27" t="s">
        <v>12621</v>
      </c>
      <c r="C4685" s="28" t="s">
        <v>178</v>
      </c>
      <c r="D4685" s="29">
        <v>37.0</v>
      </c>
      <c r="E4685" s="28" t="s">
        <v>12622</v>
      </c>
      <c r="F4685" s="7" t="str">
        <f>IFERROR(__xludf.DUMMYFUNCTION("GOOGLETRANSLATE(B4685:B5064,""en"",""fr"")"),"cheminée")</f>
        <v>cheminée</v>
      </c>
    </row>
    <row r="4686" ht="19.5" customHeight="1">
      <c r="A4686" s="26" t="s">
        <v>12623</v>
      </c>
      <c r="B4686" s="27" t="s">
        <v>12624</v>
      </c>
      <c r="C4686" s="28" t="s">
        <v>32</v>
      </c>
      <c r="D4686" s="29">
        <v>37.0</v>
      </c>
      <c r="E4686" s="28" t="s">
        <v>12625</v>
      </c>
      <c r="F4686" s="7" t="str">
        <f>IFERROR(__xludf.DUMMYFUNCTION("GOOGLETRANSLATE(B4686:B5064,""en"",""fr"")"),"fuir")</f>
        <v>fuir</v>
      </c>
    </row>
    <row r="4687" ht="19.5" customHeight="1">
      <c r="A4687" s="26" t="s">
        <v>12626</v>
      </c>
      <c r="B4687" s="27" t="s">
        <v>12627</v>
      </c>
      <c r="C4687" s="28" t="s">
        <v>178</v>
      </c>
      <c r="D4687" s="29">
        <v>37.0</v>
      </c>
      <c r="E4687" s="28" t="s">
        <v>12628</v>
      </c>
      <c r="F4687" s="7" t="str">
        <f>IFERROR(__xludf.DUMMYFUNCTION("GOOGLETRANSLATE(B4687:B5064,""en"",""fr"")"),"inondation")</f>
        <v>inondation</v>
      </c>
    </row>
    <row r="4688" ht="19.5" customHeight="1">
      <c r="A4688" s="26" t="s">
        <v>12629</v>
      </c>
      <c r="B4688" s="27" t="s">
        <v>12630</v>
      </c>
      <c r="C4688" s="28" t="s">
        <v>178</v>
      </c>
      <c r="D4688" s="29">
        <v>37.0</v>
      </c>
      <c r="E4688" s="28" t="s">
        <v>12631</v>
      </c>
      <c r="F4688" s="7" t="str">
        <f>IFERROR(__xludf.DUMMYFUNCTION("GOOGLETRANSLATE(B4688:B5064,""en"",""fr"")"),"demi-heure")</f>
        <v>demi-heure</v>
      </c>
    </row>
    <row r="4689" ht="19.5" customHeight="1">
      <c r="A4689" s="26" t="s">
        <v>12632</v>
      </c>
      <c r="B4689" s="27" t="s">
        <v>12633</v>
      </c>
      <c r="C4689" s="28" t="s">
        <v>178</v>
      </c>
      <c r="D4689" s="29">
        <v>37.0</v>
      </c>
      <c r="E4689" s="28" t="s">
        <v>12634</v>
      </c>
      <c r="F4689" s="7" t="str">
        <f>IFERROR(__xludf.DUMMYFUNCTION("GOOGLETRANSLATE(B4689:B5064,""en"",""fr"")"),"patrimoine")</f>
        <v>patrimoine</v>
      </c>
    </row>
    <row r="4690" ht="19.5" customHeight="1">
      <c r="A4690" s="26" t="s">
        <v>12635</v>
      </c>
      <c r="B4690" s="27" t="s">
        <v>12636</v>
      </c>
      <c r="C4690" s="28" t="s">
        <v>178</v>
      </c>
      <c r="D4690" s="29">
        <v>37.0</v>
      </c>
      <c r="E4690" s="28" t="s">
        <v>12637</v>
      </c>
      <c r="F4690" s="7" t="str">
        <f>IFERROR(__xludf.DUMMYFUNCTION("GOOGLETRANSLATE(B4690:B5064,""en"",""fr"")"),"femme au foyer")</f>
        <v>femme au foyer</v>
      </c>
    </row>
    <row r="4691" ht="19.5" customHeight="1">
      <c r="A4691" s="26" t="s">
        <v>12638</v>
      </c>
      <c r="B4691" s="27" t="s">
        <v>12639</v>
      </c>
      <c r="C4691" s="28" t="s">
        <v>178</v>
      </c>
      <c r="D4691" s="29">
        <v>37.0</v>
      </c>
      <c r="E4691" s="28" t="s">
        <v>12640</v>
      </c>
      <c r="F4691" s="7" t="str">
        <f>IFERROR(__xludf.DUMMYFUNCTION("GOOGLETRANSLATE(B4691:B5064,""en"",""fr"")"),"instructeur")</f>
        <v>instructeur</v>
      </c>
    </row>
    <row r="4692" ht="19.5" customHeight="1">
      <c r="A4692" s="26" t="s">
        <v>12641</v>
      </c>
      <c r="B4692" s="27" t="s">
        <v>12642</v>
      </c>
      <c r="C4692" s="28" t="s">
        <v>178</v>
      </c>
      <c r="D4692" s="29">
        <v>37.0</v>
      </c>
      <c r="E4692" s="28" t="s">
        <v>12643</v>
      </c>
      <c r="F4692" s="7" t="str">
        <f>IFERROR(__xludf.DUMMYFUNCTION("GOOGLETRANSLATE(B4692:B5064,""en"",""fr"")"),"laissé pour compte")</f>
        <v>laissé pour compte</v>
      </c>
    </row>
    <row r="4693" ht="19.5" customHeight="1">
      <c r="A4693" s="26" t="s">
        <v>12644</v>
      </c>
      <c r="B4693" s="27" t="s">
        <v>12645</v>
      </c>
      <c r="C4693" s="28" t="s">
        <v>178</v>
      </c>
      <c r="D4693" s="29">
        <v>37.0</v>
      </c>
      <c r="E4693" s="28" t="s">
        <v>12646</v>
      </c>
      <c r="F4693" s="7" t="str">
        <f>IFERROR(__xludf.DUMMYFUNCTION("GOOGLETRANSLATE(B4693:B5064,""en"",""fr"")"),"lieutenant")</f>
        <v>lieutenant</v>
      </c>
    </row>
    <row r="4694" ht="19.5" customHeight="1">
      <c r="A4694" s="26" t="s">
        <v>12647</v>
      </c>
      <c r="B4694" s="27" t="s">
        <v>12648</v>
      </c>
      <c r="C4694" s="28" t="s">
        <v>134</v>
      </c>
      <c r="D4694" s="29">
        <v>37.0</v>
      </c>
      <c r="E4694" s="28" t="s">
        <v>12648</v>
      </c>
      <c r="F4694" s="7" t="str">
        <f>IFERROR(__xludf.DUMMYFUNCTION("GOOGLETRANSLATE(B4694:B5064,""en"",""fr"")"),"aimable")</f>
        <v>aimable</v>
      </c>
    </row>
    <row r="4695" ht="19.5" customHeight="1">
      <c r="A4695" s="26" t="s">
        <v>12649</v>
      </c>
      <c r="B4695" s="27" t="s">
        <v>12650</v>
      </c>
      <c r="C4695" s="28" t="s">
        <v>178</v>
      </c>
      <c r="D4695" s="29">
        <v>37.0</v>
      </c>
      <c r="E4695" s="28" t="s">
        <v>12651</v>
      </c>
      <c r="F4695" s="7" t="str">
        <f>IFERROR(__xludf.DUMMYFUNCTION("GOOGLETRANSLATE(B4695:B5064,""en"",""fr"")"),"Mayonnaise")</f>
        <v>Mayonnaise</v>
      </c>
    </row>
    <row r="4696" ht="19.5" customHeight="1">
      <c r="A4696" s="26" t="s">
        <v>12652</v>
      </c>
      <c r="B4696" s="27" t="s">
        <v>12653</v>
      </c>
      <c r="C4696" s="28" t="s">
        <v>178</v>
      </c>
      <c r="D4696" s="29">
        <v>37.0</v>
      </c>
      <c r="E4696" s="28" t="s">
        <v>12654</v>
      </c>
      <c r="F4696" s="7" t="str">
        <f>IFERROR(__xludf.DUMMYFUNCTION("GOOGLETRANSLATE(B4696:B5064,""en"",""fr"")"),"microphone")</f>
        <v>microphone</v>
      </c>
    </row>
    <row r="4697" ht="19.5" customHeight="1">
      <c r="A4697" s="26" t="s">
        <v>12655</v>
      </c>
      <c r="B4697" s="27" t="s">
        <v>12656</v>
      </c>
      <c r="C4697" s="28" t="s">
        <v>178</v>
      </c>
      <c r="D4697" s="29">
        <v>37.0</v>
      </c>
      <c r="E4697" s="28" t="s">
        <v>12656</v>
      </c>
      <c r="F4697" s="7" t="str">
        <f>IFERROR(__xludf.DUMMYFUNCTION("GOOGLETRANSLATE(B4697:B5064,""en"",""fr"")"),"nudité")</f>
        <v>nudité</v>
      </c>
    </row>
    <row r="4698" ht="19.5" customHeight="1">
      <c r="A4698" s="26" t="s">
        <v>12657</v>
      </c>
      <c r="B4698" s="27" t="s">
        <v>12658</v>
      </c>
      <c r="C4698" s="28" t="s">
        <v>178</v>
      </c>
      <c r="D4698" s="29">
        <v>37.0</v>
      </c>
      <c r="E4698" s="28" t="s">
        <v>12659</v>
      </c>
      <c r="F4698" s="7" t="str">
        <f>IFERROR(__xludf.DUMMYFUNCTION("GOOGLETRANSLATE(B4698:B5064,""en"",""fr"")"),"obligation")</f>
        <v>obligation</v>
      </c>
    </row>
    <row r="4699" ht="19.5" customHeight="1">
      <c r="A4699" s="26" t="s">
        <v>12660</v>
      </c>
      <c r="B4699" s="27" t="s">
        <v>12661</v>
      </c>
      <c r="C4699" s="28" t="s">
        <v>178</v>
      </c>
      <c r="D4699" s="29">
        <v>37.0</v>
      </c>
      <c r="E4699" s="28" t="s">
        <v>12662</v>
      </c>
      <c r="F4699" s="7" t="str">
        <f>IFERROR(__xludf.DUMMYFUNCTION("GOOGLETRANSLATE(B4699:B5064,""en"",""fr"")"),"obsession")</f>
        <v>obsession</v>
      </c>
    </row>
    <row r="4700" ht="19.5" customHeight="1">
      <c r="A4700" s="26" t="s">
        <v>12663</v>
      </c>
      <c r="B4700" s="27" t="s">
        <v>12664</v>
      </c>
      <c r="C4700" s="28" t="s">
        <v>178</v>
      </c>
      <c r="D4700" s="29">
        <v>37.0</v>
      </c>
      <c r="E4700" s="28" t="s">
        <v>12665</v>
      </c>
      <c r="F4700" s="7" t="str">
        <f>IFERROR(__xludf.DUMMYFUNCTION("GOOGLETRANSLATE(B4700:B5064,""en"",""fr"")"),"patrouille")</f>
        <v>patrouille</v>
      </c>
    </row>
    <row r="4701" ht="19.5" customHeight="1">
      <c r="A4701" s="26" t="s">
        <v>12666</v>
      </c>
      <c r="B4701" s="27" t="s">
        <v>12667</v>
      </c>
      <c r="C4701" s="28" t="s">
        <v>134</v>
      </c>
      <c r="D4701" s="29">
        <v>37.0</v>
      </c>
      <c r="E4701" s="28" t="s">
        <v>12668</v>
      </c>
      <c r="F4701" s="7" t="str">
        <f>IFERROR(__xludf.DUMMYFUNCTION("GOOGLETRANSLATE(B4701:B5064,""en"",""fr"")"),"salé")</f>
        <v>salé</v>
      </c>
    </row>
    <row r="4702" ht="19.5" customHeight="1">
      <c r="A4702" s="26" t="s">
        <v>12669</v>
      </c>
      <c r="B4702" s="27" t="s">
        <v>12670</v>
      </c>
      <c r="C4702" s="28" t="s">
        <v>178</v>
      </c>
      <c r="D4702" s="29">
        <v>37.0</v>
      </c>
      <c r="E4702" s="28" t="s">
        <v>12671</v>
      </c>
      <c r="F4702" s="7" t="str">
        <f>IFERROR(__xludf.DUMMYFUNCTION("GOOGLETRANSLATE(B4702:B5064,""en"",""fr"")"),"schnapps")</f>
        <v>schnapps</v>
      </c>
    </row>
    <row r="4703" ht="19.5" customHeight="1">
      <c r="A4703" s="26" t="s">
        <v>12672</v>
      </c>
      <c r="B4703" s="27" t="s">
        <v>12673</v>
      </c>
      <c r="C4703" s="28" t="s">
        <v>178</v>
      </c>
      <c r="D4703" s="29">
        <v>37.0</v>
      </c>
      <c r="E4703" s="28" t="s">
        <v>12674</v>
      </c>
      <c r="F4703" s="7" t="str">
        <f>IFERROR(__xludf.DUMMYFUNCTION("GOOGLETRANSLATE(B4703:B5064,""en"",""fr"")"),"installation")</f>
        <v>installation</v>
      </c>
    </row>
    <row r="4704" ht="19.5" customHeight="1">
      <c r="A4704" s="26" t="s">
        <v>12675</v>
      </c>
      <c r="B4704" s="27" t="s">
        <v>12676</v>
      </c>
      <c r="C4704" s="28" t="s">
        <v>100</v>
      </c>
      <c r="D4704" s="29">
        <v>37.0</v>
      </c>
      <c r="E4704" s="28" t="s">
        <v>12676</v>
      </c>
      <c r="F4704" s="7" t="str">
        <f>IFERROR(__xludf.DUMMYFUNCTION("GOOGLETRANSLATE(B4704:B5064,""en"",""fr"")"),"prochainement")</f>
        <v>prochainement</v>
      </c>
    </row>
    <row r="4705" ht="19.5" customHeight="1">
      <c r="A4705" s="26" t="s">
        <v>12677</v>
      </c>
      <c r="B4705" s="27" t="s">
        <v>12678</v>
      </c>
      <c r="C4705" s="28" t="s">
        <v>134</v>
      </c>
      <c r="D4705" s="29">
        <v>37.0</v>
      </c>
      <c r="E4705" s="28" t="s">
        <v>12679</v>
      </c>
      <c r="F4705" s="7" t="str">
        <f>IFERROR(__xludf.DUMMYFUNCTION("GOOGLETRANSLATE(B4705:B5064,""en"",""fr"")"),"aigre")</f>
        <v>aigre</v>
      </c>
    </row>
    <row r="4706" ht="19.5" customHeight="1">
      <c r="A4706" s="26" t="s">
        <v>12680</v>
      </c>
      <c r="B4706" s="27" t="s">
        <v>12681</v>
      </c>
      <c r="C4706" s="28" t="s">
        <v>134</v>
      </c>
      <c r="D4706" s="29">
        <v>37.0</v>
      </c>
      <c r="E4706" s="28" t="s">
        <v>12681</v>
      </c>
      <c r="F4706" s="7" t="str">
        <f>IFERROR(__xludf.DUMMYFUNCTION("GOOGLETRANSLATE(B4706:B5064,""en"",""fr"")"),"spectaculaire")</f>
        <v>spectaculaire</v>
      </c>
    </row>
    <row r="4707" ht="19.5" customHeight="1">
      <c r="A4707" s="26" t="s">
        <v>12682</v>
      </c>
      <c r="B4707" s="27" t="s">
        <v>12683</v>
      </c>
      <c r="C4707" s="28" t="s">
        <v>178</v>
      </c>
      <c r="D4707" s="29">
        <v>37.0</v>
      </c>
      <c r="E4707" s="28" t="s">
        <v>12684</v>
      </c>
      <c r="F4707" s="7" t="str">
        <f>IFERROR(__xludf.DUMMYFUNCTION("GOOGLETRANSLATE(B4707:B5064,""en"",""fr"")"),"stéroïde")</f>
        <v>stéroïde</v>
      </c>
    </row>
    <row r="4708" ht="19.5" customHeight="1">
      <c r="A4708" s="26" t="s">
        <v>12685</v>
      </c>
      <c r="B4708" s="27" t="s">
        <v>12686</v>
      </c>
      <c r="C4708" s="28" t="s">
        <v>32</v>
      </c>
      <c r="D4708" s="29">
        <v>37.0</v>
      </c>
      <c r="E4708" s="28" t="s">
        <v>12687</v>
      </c>
      <c r="F4708" s="7" t="str">
        <f>IFERROR(__xludf.DUMMYFUNCTION("GOOGLETRANSLATE(B4708:B5064,""en"",""fr"")"),"piétiner")</f>
        <v>piétiner</v>
      </c>
    </row>
    <row r="4709" ht="19.5" customHeight="1">
      <c r="A4709" s="26" t="s">
        <v>12688</v>
      </c>
      <c r="B4709" s="27" t="s">
        <v>12689</v>
      </c>
      <c r="C4709" s="28" t="s">
        <v>178</v>
      </c>
      <c r="D4709" s="29">
        <v>37.0</v>
      </c>
      <c r="E4709" s="28" t="s">
        <v>12690</v>
      </c>
      <c r="F4709" s="7" t="str">
        <f>IFERROR(__xludf.DUMMYFUNCTION("GOOGLETRANSLATE(B4709:B5064,""en"",""fr"")"),"survie")</f>
        <v>survie</v>
      </c>
    </row>
    <row r="4710" ht="19.5" customHeight="1">
      <c r="A4710" s="26" t="s">
        <v>12691</v>
      </c>
      <c r="B4710" s="27" t="s">
        <v>12692</v>
      </c>
      <c r="C4710" s="28" t="s">
        <v>178</v>
      </c>
      <c r="D4710" s="29">
        <v>37.0</v>
      </c>
      <c r="E4710" s="28" t="s">
        <v>12693</v>
      </c>
      <c r="F4710" s="7" t="str">
        <f>IFERROR(__xludf.DUMMYFUNCTION("GOOGLETRANSLATE(B4710:B5064,""en"",""fr"")"),"sweat-shirt")</f>
        <v>sweat-shirt</v>
      </c>
    </row>
    <row r="4711" ht="19.5" customHeight="1">
      <c r="A4711" s="26" t="s">
        <v>12694</v>
      </c>
      <c r="B4711" s="27" t="s">
        <v>9664</v>
      </c>
      <c r="C4711" s="28" t="s">
        <v>134</v>
      </c>
      <c r="D4711" s="29">
        <v>37.0</v>
      </c>
      <c r="E4711" s="28" t="s">
        <v>9664</v>
      </c>
      <c r="F4711" s="7" t="str">
        <f>IFERROR(__xludf.DUMMYFUNCTION("GOOGLETRANSLATE(B4711:B5064,""en"",""fr"")"),"gonfler")</f>
        <v>gonfler</v>
      </c>
    </row>
    <row r="4712" ht="19.5" customHeight="1">
      <c r="A4712" s="26" t="s">
        <v>12695</v>
      </c>
      <c r="B4712" s="27" t="s">
        <v>12696</v>
      </c>
      <c r="C4712" s="28" t="s">
        <v>36</v>
      </c>
      <c r="D4712" s="29">
        <v>37.0</v>
      </c>
      <c r="E4712" s="28" t="s">
        <v>12696</v>
      </c>
      <c r="F4712" s="7" t="str">
        <f>IFERROR(__xludf.DUMMYFUNCTION("GOOGLETRANSLATE(B4712:B5064,""en"",""fr"")"),"les leurs")</f>
        <v>les leurs</v>
      </c>
    </row>
    <row r="4713" ht="19.5" customHeight="1">
      <c r="A4713" s="26" t="s">
        <v>12697</v>
      </c>
      <c r="B4713" s="27" t="s">
        <v>12698</v>
      </c>
      <c r="C4713" s="28" t="s">
        <v>178</v>
      </c>
      <c r="D4713" s="29">
        <v>37.0</v>
      </c>
      <c r="E4713" s="28" t="s">
        <v>12699</v>
      </c>
      <c r="F4713" s="7" t="str">
        <f>IFERROR(__xludf.DUMMYFUNCTION("GOOGLETRANSLATE(B4713:B5064,""en"",""fr"")"),"traitre")</f>
        <v>traitre</v>
      </c>
    </row>
    <row r="4714" ht="19.5" customHeight="1">
      <c r="A4714" s="26" t="s">
        <v>12700</v>
      </c>
      <c r="B4714" s="27" t="s">
        <v>12701</v>
      </c>
      <c r="C4714" s="28" t="s">
        <v>134</v>
      </c>
      <c r="D4714" s="29">
        <v>37.0</v>
      </c>
      <c r="E4714" s="28" t="s">
        <v>12701</v>
      </c>
      <c r="F4714" s="7" t="str">
        <f>IFERROR(__xludf.DUMMYFUNCTION("GOOGLETRANSLATE(B4714:B5064,""en"",""fr"")"),"crispé")</f>
        <v>crispé</v>
      </c>
    </row>
    <row r="4715" ht="19.5" customHeight="1">
      <c r="A4715" s="26" t="s">
        <v>12702</v>
      </c>
      <c r="B4715" s="27" t="s">
        <v>292</v>
      </c>
      <c r="C4715" s="28" t="s">
        <v>178</v>
      </c>
      <c r="D4715" s="29">
        <v>37.0</v>
      </c>
      <c r="E4715" s="28" t="s">
        <v>12703</v>
      </c>
      <c r="F4715" s="7" t="str">
        <f>IFERROR(__xludf.DUMMYFUNCTION("GOOGLETRANSLATE(B4715:B5064,""en"",""fr"")"),"attendez")</f>
        <v>attendez</v>
      </c>
    </row>
    <row r="4716" ht="19.5" customHeight="1">
      <c r="A4716" s="26" t="s">
        <v>12704</v>
      </c>
      <c r="B4716" s="27" t="s">
        <v>12705</v>
      </c>
      <c r="C4716" s="28" t="s">
        <v>178</v>
      </c>
      <c r="D4716" s="29">
        <v>37.0</v>
      </c>
      <c r="E4716" s="28" t="s">
        <v>12706</v>
      </c>
      <c r="F4716" s="7" t="str">
        <f>IFERROR(__xludf.DUMMYFUNCTION("GOOGLETRANSLATE(B4716:B5064,""en"",""fr"")"),"arrivée")</f>
        <v>arrivée</v>
      </c>
    </row>
    <row r="4717" ht="19.5" customHeight="1">
      <c r="A4717" s="26" t="s">
        <v>12707</v>
      </c>
      <c r="B4717" s="27" t="s">
        <v>10811</v>
      </c>
      <c r="C4717" s="28" t="s">
        <v>32</v>
      </c>
      <c r="D4717" s="29">
        <v>37.0</v>
      </c>
      <c r="E4717" s="28" t="s">
        <v>12708</v>
      </c>
      <c r="F4717" s="7" t="str">
        <f>IFERROR(__xludf.DUMMYFUNCTION("GOOGLETRANSLATE(B4717:B5064,""en"",""fr"")"),"un autographe")</f>
        <v>un autographe</v>
      </c>
    </row>
    <row r="4718" ht="19.5" customHeight="1">
      <c r="A4718" s="26" t="s">
        <v>12709</v>
      </c>
      <c r="B4718" s="27" t="s">
        <v>12710</v>
      </c>
      <c r="C4718" s="28" t="s">
        <v>32</v>
      </c>
      <c r="D4718" s="29">
        <v>37.0</v>
      </c>
      <c r="E4718" s="28" t="s">
        <v>12711</v>
      </c>
      <c r="F4718" s="7" t="str">
        <f>IFERROR(__xludf.DUMMYFUNCTION("GOOGLETRANSLATE(B4718:B5064,""en"",""fr"")"),"garder les enfants")</f>
        <v>garder les enfants</v>
      </c>
    </row>
    <row r="4719" ht="19.5" customHeight="1">
      <c r="A4719" s="26" t="s">
        <v>12712</v>
      </c>
      <c r="B4719" s="27" t="s">
        <v>12713</v>
      </c>
      <c r="C4719" s="28" t="s">
        <v>100</v>
      </c>
      <c r="D4719" s="29">
        <v>37.0</v>
      </c>
      <c r="E4719" s="28" t="s">
        <v>12713</v>
      </c>
      <c r="F4719" s="7" t="str">
        <f>IFERROR(__xludf.DUMMYFUNCTION("GOOGLETRANSLATE(B4719:B5064,""en"",""fr"")"),"dans les coulisses")</f>
        <v>dans les coulisses</v>
      </c>
    </row>
    <row r="4720" ht="19.5" customHeight="1">
      <c r="A4720" s="26" t="s">
        <v>12714</v>
      </c>
      <c r="B4720" s="27" t="s">
        <v>5893</v>
      </c>
      <c r="C4720" s="28" t="s">
        <v>178</v>
      </c>
      <c r="D4720" s="29">
        <v>37.0</v>
      </c>
      <c r="E4720" s="28" t="s">
        <v>12715</v>
      </c>
      <c r="F4720" s="7" t="str">
        <f>IFERROR(__xludf.DUMMYFUNCTION("GOOGLETRANSLATE(B4720:B5064,""en"",""fr"")"),"lier")</f>
        <v>lier</v>
      </c>
    </row>
    <row r="4721" ht="19.5" customHeight="1">
      <c r="A4721" s="26" t="s">
        <v>12716</v>
      </c>
      <c r="B4721" s="27" t="s">
        <v>12717</v>
      </c>
      <c r="C4721" s="28" t="s">
        <v>178</v>
      </c>
      <c r="D4721" s="29">
        <v>37.0</v>
      </c>
      <c r="E4721" s="28" t="s">
        <v>12718</v>
      </c>
      <c r="F4721" s="7" t="str">
        <f>IFERROR(__xludf.DUMMYFUNCTION("GOOGLETRANSLATE(B4721:B5064,""en"",""fr"")"),"boogie")</f>
        <v>boogie</v>
      </c>
    </row>
    <row r="4722" ht="19.5" customHeight="1">
      <c r="A4722" s="26" t="s">
        <v>12719</v>
      </c>
      <c r="B4722" s="27" t="s">
        <v>12720</v>
      </c>
      <c r="C4722" s="28" t="s">
        <v>178</v>
      </c>
      <c r="D4722" s="29">
        <v>37.0</v>
      </c>
      <c r="E4722" s="28" t="s">
        <v>12721</v>
      </c>
      <c r="F4722" s="7" t="str">
        <f>IFERROR(__xludf.DUMMYFUNCTION("GOOGLETRANSLATE(B4722:B5064,""en"",""fr"")"),"busboy")</f>
        <v>busboy</v>
      </c>
    </row>
    <row r="4723" ht="19.5" customHeight="1">
      <c r="A4723" s="26" t="s">
        <v>12722</v>
      </c>
      <c r="B4723" s="27" t="s">
        <v>12723</v>
      </c>
      <c r="C4723" s="28" t="s">
        <v>178</v>
      </c>
      <c r="D4723" s="29">
        <v>37.0</v>
      </c>
      <c r="E4723" s="28" t="s">
        <v>12723</v>
      </c>
      <c r="F4723" s="7" t="str">
        <f>IFERROR(__xludf.DUMMYFUNCTION("GOOGLETRANSLATE(B4723:B5064,""en"",""fr"")"),"fesses")</f>
        <v>fesses</v>
      </c>
    </row>
    <row r="4724" ht="19.5" customHeight="1">
      <c r="A4724" s="26" t="s">
        <v>12724</v>
      </c>
      <c r="B4724" s="27" t="s">
        <v>12725</v>
      </c>
      <c r="C4724" s="28" t="s">
        <v>178</v>
      </c>
      <c r="D4724" s="29">
        <v>37.0</v>
      </c>
      <c r="E4724" s="28" t="s">
        <v>12726</v>
      </c>
      <c r="F4724" s="7" t="str">
        <f>IFERROR(__xludf.DUMMYFUNCTION("GOOGLETRANSLATE(B4724:B5064,""en"",""fr"")"),"chameau")</f>
        <v>chameau</v>
      </c>
    </row>
    <row r="4725" ht="19.5" customHeight="1">
      <c r="A4725" s="26" t="s">
        <v>12727</v>
      </c>
      <c r="B4725" s="27" t="s">
        <v>12728</v>
      </c>
      <c r="C4725" s="28" t="s">
        <v>178</v>
      </c>
      <c r="D4725" s="29">
        <v>37.0</v>
      </c>
      <c r="E4725" s="28" t="s">
        <v>12728</v>
      </c>
      <c r="F4725" s="7" t="str">
        <f>IFERROR(__xludf.DUMMYFUNCTION("GOOGLETRANSLATE(B4725:B5064,""en"",""fr"")"),"bétail")</f>
        <v>bétail</v>
      </c>
    </row>
    <row r="4726" ht="19.5" customHeight="1">
      <c r="A4726" s="26" t="s">
        <v>12729</v>
      </c>
      <c r="B4726" s="27" t="s">
        <v>12730</v>
      </c>
      <c r="C4726" s="28" t="s">
        <v>178</v>
      </c>
      <c r="D4726" s="29">
        <v>37.0</v>
      </c>
      <c r="E4726" s="28" t="s">
        <v>12731</v>
      </c>
      <c r="F4726" s="7" t="str">
        <f>IFERROR(__xludf.DUMMYFUNCTION("GOOGLETRANSLATE(B4726:B5064,""en"",""fr"")"),"craie")</f>
        <v>craie</v>
      </c>
    </row>
    <row r="4727" ht="19.5" customHeight="1">
      <c r="A4727" s="26" t="s">
        <v>12732</v>
      </c>
      <c r="B4727" s="27" t="s">
        <v>12733</v>
      </c>
      <c r="C4727" s="28" t="s">
        <v>178</v>
      </c>
      <c r="D4727" s="29">
        <v>37.0</v>
      </c>
      <c r="E4727" s="28" t="s">
        <v>12734</v>
      </c>
      <c r="F4727" s="7" t="str">
        <f>IFERROR(__xludf.DUMMYFUNCTION("GOOGLETRANSLATE(B4727:B5064,""en"",""fr"")"),"tricheur")</f>
        <v>tricheur</v>
      </c>
    </row>
    <row r="4728" ht="19.5" customHeight="1">
      <c r="A4728" s="26" t="s">
        <v>12735</v>
      </c>
      <c r="B4728" s="27" t="s">
        <v>12736</v>
      </c>
      <c r="C4728" s="28" t="s">
        <v>178</v>
      </c>
      <c r="D4728" s="29">
        <v>37.0</v>
      </c>
      <c r="E4728" s="28" t="s">
        <v>12737</v>
      </c>
      <c r="F4728" s="7" t="str">
        <f>IFERROR(__xludf.DUMMYFUNCTION("GOOGLETRANSLATE(B4728:B5064,""en"",""fr"")"),"cloner")</f>
        <v>cloner</v>
      </c>
    </row>
    <row r="4729" ht="19.5" customHeight="1">
      <c r="A4729" s="26" t="s">
        <v>12738</v>
      </c>
      <c r="B4729" s="27" t="s">
        <v>12739</v>
      </c>
      <c r="C4729" s="28" t="s">
        <v>178</v>
      </c>
      <c r="D4729" s="29">
        <v>37.0</v>
      </c>
      <c r="E4729" s="28" t="s">
        <v>12740</v>
      </c>
      <c r="F4729" s="7" t="str">
        <f>IFERROR(__xludf.DUMMYFUNCTION("GOOGLETRANSLATE(B4729:B5064,""en"",""fr"")"),"cobra")</f>
        <v>cobra</v>
      </c>
    </row>
    <row r="4730" ht="19.5" customHeight="1">
      <c r="A4730" s="26" t="s">
        <v>12741</v>
      </c>
      <c r="B4730" s="27" t="s">
        <v>12742</v>
      </c>
      <c r="C4730" s="28" t="s">
        <v>178</v>
      </c>
      <c r="D4730" s="29">
        <v>37.0</v>
      </c>
      <c r="E4730" s="28" t="s">
        <v>12743</v>
      </c>
      <c r="F4730" s="7" t="str">
        <f>IFERROR(__xludf.DUMMYFUNCTION("GOOGLETRANSLATE(B4730:B5064,""en"",""fr"")"),"contribution")</f>
        <v>contribution</v>
      </c>
    </row>
    <row r="4731" ht="19.5" customHeight="1">
      <c r="A4731" s="26" t="s">
        <v>12744</v>
      </c>
      <c r="B4731" s="27" t="s">
        <v>8519</v>
      </c>
      <c r="C4731" s="28" t="s">
        <v>32</v>
      </c>
      <c r="D4731" s="29">
        <v>37.0</v>
      </c>
      <c r="E4731" s="28" t="s">
        <v>12745</v>
      </c>
      <c r="F4731" s="7" t="str">
        <f>IFERROR(__xludf.DUMMYFUNCTION("GOOGLETRANSLATE(B4731:B5064,""en"",""fr"")"),"toux")</f>
        <v>toux</v>
      </c>
    </row>
    <row r="4732" ht="19.5" customHeight="1">
      <c r="A4732" s="26" t="s">
        <v>12746</v>
      </c>
      <c r="B4732" s="27" t="s">
        <v>12747</v>
      </c>
      <c r="C4732" s="28" t="s">
        <v>32</v>
      </c>
      <c r="D4732" s="29">
        <v>37.0</v>
      </c>
      <c r="E4732" s="28" t="s">
        <v>12748</v>
      </c>
      <c r="F4732" s="7" t="str">
        <f>IFERROR(__xludf.DUMMYFUNCTION("GOOGLETRANSLATE(B4732:B5064,""en"",""fr"")"),"consacrer")</f>
        <v>consacrer</v>
      </c>
    </row>
    <row r="4733" ht="19.5" customHeight="1">
      <c r="A4733" s="26" t="s">
        <v>12749</v>
      </c>
      <c r="B4733" s="27" t="s">
        <v>7806</v>
      </c>
      <c r="C4733" s="28" t="s">
        <v>32</v>
      </c>
      <c r="D4733" s="29">
        <v>37.0</v>
      </c>
      <c r="E4733" s="28" t="s">
        <v>12750</v>
      </c>
      <c r="F4733" s="7" t="str">
        <f>IFERROR(__xludf.DUMMYFUNCTION("GOOGLETRANSLATE(B4733:B5064,""en"",""fr"")"),"tremper")</f>
        <v>tremper</v>
      </c>
    </row>
    <row r="4734" ht="19.5" customHeight="1">
      <c r="A4734" s="26" t="s">
        <v>12751</v>
      </c>
      <c r="B4734" s="27" t="s">
        <v>12752</v>
      </c>
      <c r="C4734" s="28" t="s">
        <v>32</v>
      </c>
      <c r="D4734" s="29">
        <v>37.0</v>
      </c>
      <c r="E4734" s="28" t="s">
        <v>12753</v>
      </c>
      <c r="F4734" s="7" t="str">
        <f>IFERROR(__xludf.DUMMYFUNCTION("GOOGLETRANSLATE(B4734:B5064,""en"",""fr"")"),"griffonnage")</f>
        <v>griffonnage</v>
      </c>
    </row>
    <row r="4735" ht="19.5" customHeight="1">
      <c r="A4735" s="26" t="s">
        <v>12754</v>
      </c>
      <c r="B4735" s="27" t="s">
        <v>12755</v>
      </c>
      <c r="C4735" s="28" t="s">
        <v>32</v>
      </c>
      <c r="D4735" s="29">
        <v>37.0</v>
      </c>
      <c r="E4735" s="28" t="s">
        <v>12756</v>
      </c>
      <c r="F4735" s="7" t="str">
        <f>IFERROR(__xludf.DUMMYFUNCTION("GOOGLETRANSLATE(B4735:B5064,""en"",""fr"")"),"facilité")</f>
        <v>facilité</v>
      </c>
    </row>
    <row r="4736" ht="19.5" customHeight="1">
      <c r="A4736" s="26" t="s">
        <v>12757</v>
      </c>
      <c r="B4736" s="27" t="s">
        <v>12758</v>
      </c>
      <c r="C4736" s="28" t="s">
        <v>178</v>
      </c>
      <c r="D4736" s="29">
        <v>37.0</v>
      </c>
      <c r="E4736" s="28" t="s">
        <v>12759</v>
      </c>
      <c r="F4736" s="7" t="str">
        <f>IFERROR(__xludf.DUMMYFUNCTION("GOOGLETRANSLATE(B4736:B5064,""en"",""fr"")"),"érection")</f>
        <v>érection</v>
      </c>
    </row>
    <row r="4737" ht="19.5" customHeight="1">
      <c r="A4737" s="26" t="s">
        <v>12760</v>
      </c>
      <c r="B4737" s="27" t="s">
        <v>8380</v>
      </c>
      <c r="C4737" s="28" t="s">
        <v>32</v>
      </c>
      <c r="D4737" s="29">
        <v>37.0</v>
      </c>
      <c r="E4737" s="28" t="s">
        <v>12761</v>
      </c>
      <c r="F4737" s="7" t="str">
        <f>IFERROR(__xludf.DUMMYFUNCTION("GOOGLETRANSLATE(B4737:B5064,""en"",""fr"")"),"nuire")</f>
        <v>nuire</v>
      </c>
    </row>
    <row r="4738" ht="19.5" customHeight="1">
      <c r="A4738" s="26" t="s">
        <v>12762</v>
      </c>
      <c r="B4738" s="27" t="s">
        <v>12763</v>
      </c>
      <c r="C4738" s="28" t="s">
        <v>134</v>
      </c>
      <c r="D4738" s="29">
        <v>37.0</v>
      </c>
      <c r="E4738" s="28" t="s">
        <v>12763</v>
      </c>
      <c r="F4738" s="7" t="str">
        <f>IFERROR(__xludf.DUMMYFUNCTION("GOOGLETRANSLATE(B4738:B5064,""en"",""fr"")"),"idéal")</f>
        <v>idéal</v>
      </c>
    </row>
    <row r="4739" ht="19.5" customHeight="1">
      <c r="A4739" s="26" t="s">
        <v>12764</v>
      </c>
      <c r="B4739" s="27" t="s">
        <v>12765</v>
      </c>
      <c r="C4739" s="28" t="s">
        <v>178</v>
      </c>
      <c r="D4739" s="29">
        <v>37.0</v>
      </c>
      <c r="E4739" s="28" t="s">
        <v>12766</v>
      </c>
      <c r="F4739" s="7" t="str">
        <f>IFERROR(__xludf.DUMMYFUNCTION("GOOGLETRANSLATE(B4739:B5064,""en"",""fr"")"),"location")</f>
        <v>location</v>
      </c>
    </row>
    <row r="4740" ht="19.5" customHeight="1">
      <c r="A4740" s="26" t="s">
        <v>12767</v>
      </c>
      <c r="B4740" s="27" t="s">
        <v>12768</v>
      </c>
      <c r="C4740" s="28" t="s">
        <v>134</v>
      </c>
      <c r="D4740" s="29">
        <v>36.0</v>
      </c>
      <c r="E4740" s="28" t="s">
        <v>12768</v>
      </c>
      <c r="F4740" s="7" t="str">
        <f>IFERROR(__xludf.DUMMYFUNCTION("GOOGLETRANSLATE(B4740:B5064,""en"",""fr"")"),"légendaire")</f>
        <v>légendaire</v>
      </c>
    </row>
    <row r="4741" ht="19.5" customHeight="1">
      <c r="A4741" s="26" t="s">
        <v>12769</v>
      </c>
      <c r="B4741" s="27" t="s">
        <v>12770</v>
      </c>
      <c r="C4741" s="28" t="s">
        <v>134</v>
      </c>
      <c r="D4741" s="29">
        <v>36.0</v>
      </c>
      <c r="E4741" s="28" t="s">
        <v>12771</v>
      </c>
      <c r="F4741" s="7" t="str">
        <f>IFERROR(__xludf.DUMMYFUNCTION("GOOGLETRANSLATE(B4741:B5064,""en"",""fr"")"),"absurde")</f>
        <v>absurde</v>
      </c>
    </row>
    <row r="4742" ht="19.5" customHeight="1">
      <c r="A4742" s="26" t="s">
        <v>12772</v>
      </c>
      <c r="B4742" s="27" t="s">
        <v>12773</v>
      </c>
      <c r="C4742" s="28" t="s">
        <v>134</v>
      </c>
      <c r="D4742" s="29">
        <v>36.0</v>
      </c>
      <c r="E4742" s="28" t="s">
        <v>12773</v>
      </c>
      <c r="F4742" s="7" t="str">
        <f>IFERROR(__xludf.DUMMYFUNCTION("GOOGLETRANSLATE(B4742:B5064,""en"",""fr"")"),"supplémentaire")</f>
        <v>supplémentaire</v>
      </c>
    </row>
    <row r="4743" ht="19.5" customHeight="1">
      <c r="A4743" s="26" t="s">
        <v>12774</v>
      </c>
      <c r="B4743" s="27" t="s">
        <v>12775</v>
      </c>
      <c r="C4743" s="28" t="s">
        <v>32</v>
      </c>
      <c r="D4743" s="29">
        <v>36.0</v>
      </c>
      <c r="E4743" s="28" t="s">
        <v>12776</v>
      </c>
      <c r="F4743" s="7" t="str">
        <f>IFERROR(__xludf.DUMMYFUNCTION("GOOGLETRANSLATE(B4743:B5064,""en"",""fr"")"),"afficher")</f>
        <v>afficher</v>
      </c>
    </row>
    <row r="4744" ht="19.5" customHeight="1">
      <c r="A4744" s="26" t="s">
        <v>12777</v>
      </c>
      <c r="B4744" s="27" t="s">
        <v>12778</v>
      </c>
      <c r="C4744" s="28" t="s">
        <v>178</v>
      </c>
      <c r="D4744" s="29">
        <v>36.0</v>
      </c>
      <c r="E4744" s="28" t="s">
        <v>12779</v>
      </c>
      <c r="F4744" s="7" t="str">
        <f>IFERROR(__xludf.DUMMYFUNCTION("GOOGLETRANSLATE(B4744:B5064,""en"",""fr"")"),"apéritif")</f>
        <v>apéritif</v>
      </c>
    </row>
    <row r="4745" ht="19.5" customHeight="1">
      <c r="A4745" s="26" t="s">
        <v>12780</v>
      </c>
      <c r="B4745" s="27" t="s">
        <v>12781</v>
      </c>
      <c r="C4745" s="28" t="s">
        <v>178</v>
      </c>
      <c r="D4745" s="29">
        <v>36.0</v>
      </c>
      <c r="E4745" s="28" t="s">
        <v>12782</v>
      </c>
      <c r="F4745" s="7" t="str">
        <f>IFERROR(__xludf.DUMMYFUNCTION("GOOGLETRANSLATE(B4745:B5064,""en"",""fr"")"),"attirance")</f>
        <v>attirance</v>
      </c>
    </row>
    <row r="4746" ht="19.5" customHeight="1">
      <c r="A4746" s="26" t="s">
        <v>12783</v>
      </c>
      <c r="B4746" s="27" t="s">
        <v>1435</v>
      </c>
      <c r="C4746" s="28" t="s">
        <v>178</v>
      </c>
      <c r="D4746" s="29">
        <v>36.0</v>
      </c>
      <c r="E4746" s="28" t="s">
        <v>12784</v>
      </c>
      <c r="F4746" s="7" t="str">
        <f>IFERROR(__xludf.DUMMYFUNCTION("GOOGLETRANSLATE(B4746:B5064,""en"",""fr"")"),"souffler")</f>
        <v>souffler</v>
      </c>
    </row>
    <row r="4747" ht="19.5" customHeight="1">
      <c r="A4747" s="26" t="s">
        <v>12785</v>
      </c>
      <c r="B4747" s="27" t="s">
        <v>12786</v>
      </c>
      <c r="C4747" s="28" t="s">
        <v>178</v>
      </c>
      <c r="D4747" s="29">
        <v>36.0</v>
      </c>
      <c r="E4747" s="28" t="s">
        <v>12787</v>
      </c>
      <c r="F4747" s="7" t="str">
        <f>IFERROR(__xludf.DUMMYFUNCTION("GOOGLETRANSLATE(B4747:B5064,""en"",""fr"")"),"brique")</f>
        <v>brique</v>
      </c>
    </row>
    <row r="4748" ht="19.5" customHeight="1">
      <c r="A4748" s="26" t="s">
        <v>12788</v>
      </c>
      <c r="B4748" s="27" t="s">
        <v>12789</v>
      </c>
      <c r="C4748" s="28" t="s">
        <v>134</v>
      </c>
      <c r="D4748" s="29">
        <v>36.0</v>
      </c>
      <c r="E4748" s="28" t="s">
        <v>12789</v>
      </c>
      <c r="F4748" s="7" t="str">
        <f>IFERROR(__xludf.DUMMYFUNCTION("GOOGLETRANSLATE(B4748:B5064,""en"",""fr"")"),"en conserve")</f>
        <v>en conserve</v>
      </c>
    </row>
    <row r="4749" ht="19.5" customHeight="1">
      <c r="A4749" s="26" t="s">
        <v>12790</v>
      </c>
      <c r="B4749" s="27" t="s">
        <v>12791</v>
      </c>
      <c r="C4749" s="28" t="s">
        <v>178</v>
      </c>
      <c r="D4749" s="29">
        <v>36.0</v>
      </c>
      <c r="E4749" s="28" t="s">
        <v>12792</v>
      </c>
      <c r="F4749" s="7" t="str">
        <f>IFERROR(__xludf.DUMMYFUNCTION("GOOGLETRANSLATE(B4749:B5064,""en"",""fr"")"),"traiteur")</f>
        <v>traiteur</v>
      </c>
    </row>
    <row r="4750" ht="19.5" customHeight="1">
      <c r="A4750" s="26" t="s">
        <v>12793</v>
      </c>
      <c r="B4750" s="27" t="s">
        <v>3216</v>
      </c>
      <c r="C4750" s="28" t="s">
        <v>134</v>
      </c>
      <c r="D4750" s="29">
        <v>36.0</v>
      </c>
      <c r="E4750" s="28" t="s">
        <v>3216</v>
      </c>
      <c r="F4750" s="7" t="str">
        <f>IFERROR(__xludf.DUMMYFUNCTION("GOOGLETRANSLATE(B4750:B5064,""en"",""fr"")"),"centre")</f>
        <v>centre</v>
      </c>
    </row>
    <row r="4751" ht="19.5" customHeight="1">
      <c r="A4751" s="26" t="s">
        <v>12794</v>
      </c>
      <c r="B4751" s="27" t="s">
        <v>12795</v>
      </c>
      <c r="C4751" s="28" t="s">
        <v>134</v>
      </c>
      <c r="D4751" s="29">
        <v>36.0</v>
      </c>
      <c r="E4751" s="28" t="s">
        <v>12796</v>
      </c>
      <c r="F4751" s="7" t="str">
        <f>IFERROR(__xludf.DUMMYFUNCTION("GOOGLETRANSLATE(B4751:B5064,""en"",""fr"")"),"froid")</f>
        <v>froid</v>
      </c>
    </row>
    <row r="4752" ht="19.5" customHeight="1">
      <c r="A4752" s="26" t="s">
        <v>12797</v>
      </c>
      <c r="B4752" s="27" t="s">
        <v>12798</v>
      </c>
      <c r="C4752" s="28" t="s">
        <v>178</v>
      </c>
      <c r="D4752" s="29">
        <v>36.0</v>
      </c>
      <c r="E4752" s="28" t="s">
        <v>12799</v>
      </c>
      <c r="F4752" s="7" t="str">
        <f>IFERROR(__xludf.DUMMYFUNCTION("GOOGLETRANSLATE(B4752:B5064,""en"",""fr"")"),"camarade de classe")</f>
        <v>camarade de classe</v>
      </c>
    </row>
    <row r="4753" ht="19.5" customHeight="1">
      <c r="A4753" s="26" t="s">
        <v>12800</v>
      </c>
      <c r="B4753" s="27" t="s">
        <v>12801</v>
      </c>
      <c r="C4753" s="28" t="s">
        <v>32</v>
      </c>
      <c r="D4753" s="29">
        <v>36.0</v>
      </c>
      <c r="E4753" s="28" t="s">
        <v>12802</v>
      </c>
      <c r="F4753" s="7" t="str">
        <f>IFERROR(__xludf.DUMMYFUNCTION("GOOGLETRANSLATE(B4753:B5064,""en"",""fr"")"),"conclure")</f>
        <v>conclure</v>
      </c>
    </row>
    <row r="4754" ht="19.5" customHeight="1">
      <c r="A4754" s="26" t="s">
        <v>12803</v>
      </c>
      <c r="B4754" s="27" t="s">
        <v>12804</v>
      </c>
      <c r="C4754" s="28" t="s">
        <v>32</v>
      </c>
      <c r="D4754" s="29">
        <v>36.0</v>
      </c>
      <c r="E4754" s="28" t="s">
        <v>12805</v>
      </c>
      <c r="F4754" s="7" t="str">
        <f>IFERROR(__xludf.DUMMYFUNCTION("GOOGLETRANSLATE(B4754:B5064,""en"",""fr"")"),"consulter")</f>
        <v>consulter</v>
      </c>
    </row>
    <row r="4755" ht="19.5" customHeight="1">
      <c r="A4755" s="26" t="s">
        <v>12806</v>
      </c>
      <c r="B4755" s="27" t="s">
        <v>12807</v>
      </c>
      <c r="C4755" s="28" t="s">
        <v>100</v>
      </c>
      <c r="D4755" s="29">
        <v>36.0</v>
      </c>
      <c r="E4755" s="28" t="s">
        <v>12807</v>
      </c>
      <c r="F4755" s="7" t="str">
        <f>IFERROR(__xludf.DUMMYFUNCTION("GOOGLETRANSLATE(B4755:B5064,""en"",""fr"")"),"correctement")</f>
        <v>correctement</v>
      </c>
    </row>
    <row r="4756" ht="19.5" customHeight="1">
      <c r="A4756" s="26" t="s">
        <v>12808</v>
      </c>
      <c r="B4756" s="27" t="s">
        <v>12809</v>
      </c>
      <c r="C4756" s="28" t="s">
        <v>134</v>
      </c>
      <c r="D4756" s="29">
        <v>36.0</v>
      </c>
      <c r="E4756" s="28" t="s">
        <v>12810</v>
      </c>
      <c r="F4756" s="7" t="str">
        <f>IFERROR(__xludf.DUMMYFUNCTION("GOOGLETRANSLATE(B4756:B5064,""en"",""fr"")"),"confortable")</f>
        <v>confortable</v>
      </c>
    </row>
    <row r="4757" ht="19.5" customHeight="1">
      <c r="A4757" s="26" t="s">
        <v>12811</v>
      </c>
      <c r="B4757" s="27" t="s">
        <v>12812</v>
      </c>
      <c r="C4757" s="28" t="s">
        <v>178</v>
      </c>
      <c r="D4757" s="29">
        <v>36.0</v>
      </c>
      <c r="E4757" s="28" t="s">
        <v>12813</v>
      </c>
      <c r="F4757" s="7" t="str">
        <f>IFERROR(__xludf.DUMMYFUNCTION("GOOGLETRANSLATE(B4757:B5064,""en"",""fr"")"),"curiosité")</f>
        <v>curiosité</v>
      </c>
    </row>
    <row r="4758" ht="19.5" customHeight="1">
      <c r="A4758" s="26" t="s">
        <v>12814</v>
      </c>
      <c r="B4758" s="27" t="s">
        <v>12815</v>
      </c>
      <c r="C4758" s="28" t="s">
        <v>178</v>
      </c>
      <c r="D4758" s="29">
        <v>36.0</v>
      </c>
      <c r="E4758" s="28" t="s">
        <v>12816</v>
      </c>
      <c r="F4758" s="7" t="str">
        <f>IFERROR(__xludf.DUMMYFUNCTION("GOOGLETRANSLATE(B4758:B5064,""en"",""fr"")"),"dortoir")</f>
        <v>dortoir</v>
      </c>
    </row>
    <row r="4759" ht="19.5" customHeight="1">
      <c r="A4759" s="26" t="s">
        <v>12817</v>
      </c>
      <c r="B4759" s="27" t="s">
        <v>12818</v>
      </c>
      <c r="C4759" s="28" t="s">
        <v>32</v>
      </c>
      <c r="D4759" s="29">
        <v>36.0</v>
      </c>
      <c r="E4759" s="28" t="s">
        <v>12819</v>
      </c>
      <c r="F4759" s="7" t="str">
        <f>IFERROR(__xludf.DUMMYFUNCTION("GOOGLETRANSLATE(B4759:B5064,""en"",""fr"")"),"éduquer")</f>
        <v>éduquer</v>
      </c>
    </row>
    <row r="4760" ht="19.5" customHeight="1">
      <c r="A4760" s="26" t="s">
        <v>12820</v>
      </c>
      <c r="B4760" s="27" t="s">
        <v>12821</v>
      </c>
      <c r="C4760" s="28" t="s">
        <v>134</v>
      </c>
      <c r="D4760" s="29">
        <v>36.0</v>
      </c>
      <c r="E4760" s="28" t="s">
        <v>12821</v>
      </c>
      <c r="F4760" s="7" t="str">
        <f>IFERROR(__xludf.DUMMYFUNCTION("GOOGLETRANSLATE(B4760:B5064,""en"",""fr"")"),"éducatif")</f>
        <v>éducatif</v>
      </c>
    </row>
    <row r="4761" ht="19.5" customHeight="1">
      <c r="A4761" s="26" t="s">
        <v>12822</v>
      </c>
      <c r="B4761" s="27" t="s">
        <v>12823</v>
      </c>
      <c r="C4761" s="28" t="s">
        <v>178</v>
      </c>
      <c r="D4761" s="29">
        <v>36.0</v>
      </c>
      <c r="E4761" s="28" t="s">
        <v>12824</v>
      </c>
      <c r="F4761" s="7" t="str">
        <f>IFERROR(__xludf.DUMMYFUNCTION("GOOGLETRANSLATE(B4761:B5064,""en"",""fr"")"),"enthousiasme")</f>
        <v>enthousiasme</v>
      </c>
    </row>
    <row r="4762" ht="19.5" customHeight="1">
      <c r="A4762" s="26" t="s">
        <v>12825</v>
      </c>
      <c r="B4762" s="27" t="s">
        <v>12826</v>
      </c>
      <c r="C4762" s="28" t="s">
        <v>178</v>
      </c>
      <c r="D4762" s="29">
        <v>36.0</v>
      </c>
      <c r="E4762" s="28" t="s">
        <v>12826</v>
      </c>
      <c r="F4762" s="7" t="str">
        <f>IFERROR(__xludf.DUMMYFUNCTION("GOOGLETRANSLATE(B4762:B5064,""en"",""fr"")"),"saleté")</f>
        <v>saleté</v>
      </c>
    </row>
    <row r="4763" ht="19.5" customHeight="1">
      <c r="A4763" s="26" t="s">
        <v>12827</v>
      </c>
      <c r="B4763" s="27" t="s">
        <v>12828</v>
      </c>
      <c r="C4763" s="28" t="s">
        <v>178</v>
      </c>
      <c r="D4763" s="29">
        <v>36.0</v>
      </c>
      <c r="E4763" s="28" t="s">
        <v>12828</v>
      </c>
      <c r="F4763" s="7" t="str">
        <f>IFERROR(__xludf.DUMMYFUNCTION("GOOGLETRANSLATE(B4763:B5064,""en"",""fr"")"),"aptitude")</f>
        <v>aptitude</v>
      </c>
    </row>
    <row r="4764" ht="19.5" customHeight="1">
      <c r="A4764" s="26" t="s">
        <v>12829</v>
      </c>
      <c r="B4764" s="27" t="s">
        <v>12830</v>
      </c>
      <c r="C4764" s="28" t="s">
        <v>178</v>
      </c>
      <c r="D4764" s="29">
        <v>36.0</v>
      </c>
      <c r="E4764" s="28" t="s">
        <v>12830</v>
      </c>
      <c r="F4764" s="7" t="str">
        <f>IFERROR(__xludf.DUMMYFUNCTION("GOOGLETRANSLATE(B4764:B5064,""en"",""fr"")"),"le pardon")</f>
        <v>le pardon</v>
      </c>
    </row>
    <row r="4765" ht="19.5" customHeight="1">
      <c r="A4765" s="26" t="s">
        <v>12831</v>
      </c>
      <c r="B4765" s="27" t="s">
        <v>12832</v>
      </c>
      <c r="C4765" s="28" t="s">
        <v>178</v>
      </c>
      <c r="D4765" s="29">
        <v>36.0</v>
      </c>
      <c r="E4765" s="28" t="s">
        <v>12833</v>
      </c>
      <c r="F4765" s="7" t="str">
        <f>IFERROR(__xludf.DUMMYFUNCTION("GOOGLETRANSLATE(B4765:B5064,""en"",""fr"")"),"faute")</f>
        <v>faute</v>
      </c>
    </row>
    <row r="4766" ht="19.5" customHeight="1">
      <c r="A4766" s="26" t="s">
        <v>12834</v>
      </c>
      <c r="B4766" s="27" t="s">
        <v>12835</v>
      </c>
      <c r="C4766" s="28" t="s">
        <v>178</v>
      </c>
      <c r="D4766" s="29">
        <v>36.0</v>
      </c>
      <c r="E4766" s="28" t="s">
        <v>12835</v>
      </c>
      <c r="F4766" s="7" t="str">
        <f>IFERROR(__xludf.DUMMYFUNCTION("GOOGLETRANSLATE(B4766:B5064,""en"",""fr"")"),"organes génitaux")</f>
        <v>organes génitaux</v>
      </c>
    </row>
    <row r="4767" ht="19.5" customHeight="1">
      <c r="A4767" s="26" t="s">
        <v>12836</v>
      </c>
      <c r="B4767" s="27" t="s">
        <v>12837</v>
      </c>
      <c r="C4767" s="28" t="s">
        <v>134</v>
      </c>
      <c r="D4767" s="29">
        <v>36.0</v>
      </c>
      <c r="E4767" s="28" t="s">
        <v>12837</v>
      </c>
      <c r="F4767" s="7" t="str">
        <f>IFERROR(__xludf.DUMMYFUNCTION("GOOGLETRANSLATE(B4767:B5064,""en"",""fr"")"),"putain")</f>
        <v>putain</v>
      </c>
    </row>
    <row r="4768" ht="19.5" customHeight="1">
      <c r="A4768" s="26" t="s">
        <v>12838</v>
      </c>
      <c r="B4768" s="27" t="s">
        <v>484</v>
      </c>
      <c r="C4768" s="28" t="s">
        <v>178</v>
      </c>
      <c r="D4768" s="29">
        <v>36.0</v>
      </c>
      <c r="E4768" s="28" t="s">
        <v>12839</v>
      </c>
      <c r="F4768" s="7" t="str">
        <f>IFERROR(__xludf.DUMMYFUNCTION("GOOGLETRANSLATE(B4768:B5064,""en"",""fr"")"),"deviner")</f>
        <v>deviner</v>
      </c>
    </row>
    <row r="4769" ht="19.5" customHeight="1">
      <c r="A4769" s="26" t="s">
        <v>12840</v>
      </c>
      <c r="B4769" s="27" t="s">
        <v>12841</v>
      </c>
      <c r="C4769" s="28" t="s">
        <v>178</v>
      </c>
      <c r="D4769" s="29">
        <v>36.0</v>
      </c>
      <c r="E4769" s="28" t="s">
        <v>12842</v>
      </c>
      <c r="F4769" s="7" t="str">
        <f>IFERROR(__xludf.DUMMYFUNCTION("GOOGLETRANSLATE(B4769:B5064,""en"",""fr"")"),"gouttière")</f>
        <v>gouttière</v>
      </c>
    </row>
    <row r="4770" ht="19.5" customHeight="1">
      <c r="A4770" s="26" t="s">
        <v>12843</v>
      </c>
      <c r="B4770" s="27" t="s">
        <v>12844</v>
      </c>
      <c r="C4770" s="28" t="s">
        <v>178</v>
      </c>
      <c r="D4770" s="29">
        <v>36.0</v>
      </c>
      <c r="E4770" s="28" t="s">
        <v>12844</v>
      </c>
      <c r="F4770" s="7" t="str">
        <f>IFERROR(__xludf.DUMMYFUNCTION("GOOGLETRANSLATE(B4770:B5064,""en"",""fr"")"),"héroïne")</f>
        <v>héroïne</v>
      </c>
    </row>
    <row r="4771" ht="19.5" customHeight="1">
      <c r="A4771" s="26" t="s">
        <v>12845</v>
      </c>
      <c r="B4771" s="27" t="s">
        <v>12846</v>
      </c>
      <c r="C4771" s="28" t="s">
        <v>100</v>
      </c>
      <c r="D4771" s="29">
        <v>36.0</v>
      </c>
      <c r="E4771" s="28" t="s">
        <v>12846</v>
      </c>
      <c r="F4771" s="7" t="str">
        <f>IFERROR(__xludf.DUMMYFUNCTION("GOOGLETRANSLATE(B4771:B5064,""en"",""fr"")"),"horriblement")</f>
        <v>horriblement</v>
      </c>
    </row>
    <row r="4772" ht="19.5" customHeight="1">
      <c r="A4772" s="26" t="s">
        <v>12847</v>
      </c>
      <c r="B4772" s="27" t="s">
        <v>12848</v>
      </c>
      <c r="C4772" s="28" t="s">
        <v>178</v>
      </c>
      <c r="D4772" s="29">
        <v>36.0</v>
      </c>
      <c r="E4772" s="28" t="s">
        <v>12849</v>
      </c>
      <c r="F4772" s="7" t="str">
        <f>IFERROR(__xludf.DUMMYFUNCTION("GOOGLETRANSLATE(B4772:B5064,""en"",""fr"")"),"ménage")</f>
        <v>ménage</v>
      </c>
    </row>
    <row r="4773" ht="19.5" customHeight="1">
      <c r="A4773" s="26" t="s">
        <v>12850</v>
      </c>
      <c r="B4773" s="27" t="s">
        <v>12851</v>
      </c>
      <c r="C4773" s="28" t="s">
        <v>4654</v>
      </c>
      <c r="D4773" s="29">
        <v>36.0</v>
      </c>
      <c r="E4773" s="28" t="s">
        <v>12851</v>
      </c>
      <c r="F4773" s="7" t="str">
        <f>IFERROR(__xludf.DUMMYFUNCTION("GOOGLETRANSLATE(B4773:B5064,""en"",""fr"")"),"HEURE")</f>
        <v>HEURE</v>
      </c>
    </row>
    <row r="4774" ht="19.5" customHeight="1">
      <c r="A4774" s="26" t="s">
        <v>12852</v>
      </c>
      <c r="B4774" s="27" t="s">
        <v>12853</v>
      </c>
      <c r="C4774" s="28" t="s">
        <v>134</v>
      </c>
      <c r="D4774" s="29">
        <v>36.0</v>
      </c>
      <c r="E4774" s="28" t="s">
        <v>12853</v>
      </c>
      <c r="F4774" s="7" t="str">
        <f>IFERROR(__xludf.DUMMYFUNCTION("GOOGLETRANSLATE(B4774:B5064,""en"",""fr"")"),"infini")</f>
        <v>infini</v>
      </c>
    </row>
    <row r="4775" ht="19.5" customHeight="1">
      <c r="A4775" s="26" t="s">
        <v>12854</v>
      </c>
      <c r="B4775" s="27" t="s">
        <v>12855</v>
      </c>
      <c r="C4775" s="28" t="s">
        <v>32</v>
      </c>
      <c r="D4775" s="29">
        <v>36.0</v>
      </c>
      <c r="E4775" s="28" t="s">
        <v>12856</v>
      </c>
      <c r="F4775" s="7" t="str">
        <f>IFERROR(__xludf.DUMMYFUNCTION("GOOGLETRANSLATE(B4775:B5064,""en"",""fr"")"),"injecter")</f>
        <v>injecter</v>
      </c>
    </row>
    <row r="4776" ht="19.5" customHeight="1">
      <c r="A4776" s="26" t="s">
        <v>12857</v>
      </c>
      <c r="B4776" s="27" t="s">
        <v>12858</v>
      </c>
      <c r="C4776" s="28" t="s">
        <v>178</v>
      </c>
      <c r="D4776" s="29">
        <v>36.0</v>
      </c>
      <c r="E4776" s="28" t="s">
        <v>12859</v>
      </c>
      <c r="F4776" s="7" t="str">
        <f>IFERROR(__xludf.DUMMYFUNCTION("GOOGLETRANSLATE(B4776:B5064,""en"",""fr"")"),"feuille")</f>
        <v>feuille</v>
      </c>
    </row>
    <row r="4777" ht="19.5" customHeight="1">
      <c r="A4777" s="26" t="s">
        <v>12860</v>
      </c>
      <c r="B4777" s="27" t="s">
        <v>12861</v>
      </c>
      <c r="C4777" s="28" t="s">
        <v>32</v>
      </c>
      <c r="D4777" s="29">
        <v>36.0</v>
      </c>
      <c r="E4777" s="28" t="s">
        <v>12862</v>
      </c>
      <c r="F4777" s="7" t="str">
        <f>IFERROR(__xludf.DUMMYFUNCTION("GOOGLETRANSLATE(B4777:B5064,""en"",""fr"")"),"saut")</f>
        <v>saut</v>
      </c>
    </row>
    <row r="4778" ht="19.5" customHeight="1">
      <c r="A4778" s="26" t="s">
        <v>12863</v>
      </c>
      <c r="B4778" s="27" t="s">
        <v>12861</v>
      </c>
      <c r="C4778" s="28" t="s">
        <v>178</v>
      </c>
      <c r="D4778" s="29">
        <v>36.0</v>
      </c>
      <c r="E4778" s="28" t="s">
        <v>12864</v>
      </c>
      <c r="F4778" s="7" t="str">
        <f>IFERROR(__xludf.DUMMYFUNCTION("GOOGLETRANSLATE(B4778:B5064,""en"",""fr"")"),"saut")</f>
        <v>saut</v>
      </c>
    </row>
    <row r="4779" ht="19.5" customHeight="1">
      <c r="A4779" s="26" t="s">
        <v>12865</v>
      </c>
      <c r="B4779" s="27" t="s">
        <v>12866</v>
      </c>
      <c r="C4779" s="28" t="s">
        <v>178</v>
      </c>
      <c r="D4779" s="29">
        <v>36.0</v>
      </c>
      <c r="E4779" s="28" t="s">
        <v>12867</v>
      </c>
      <c r="F4779" s="7" t="str">
        <f>IFERROR(__xludf.DUMMYFUNCTION("GOOGLETRANSLATE(B4779:B5064,""en"",""fr"")"),"lien")</f>
        <v>lien</v>
      </c>
    </row>
    <row r="4780" ht="19.5" customHeight="1">
      <c r="A4780" s="26" t="s">
        <v>12868</v>
      </c>
      <c r="B4780" s="27" t="s">
        <v>12869</v>
      </c>
      <c r="C4780" s="28" t="s">
        <v>134</v>
      </c>
      <c r="D4780" s="29">
        <v>36.0</v>
      </c>
      <c r="E4780" s="28" t="s">
        <v>12869</v>
      </c>
      <c r="F4780" s="7" t="str">
        <f>IFERROR(__xludf.DUMMYFUNCTION("GOOGLETRANSLATE(B4780:B5064,""en"",""fr"")"),"aimant")</f>
        <v>aimant</v>
      </c>
    </row>
    <row r="4781" ht="19.5" customHeight="1">
      <c r="A4781" s="26" t="s">
        <v>12870</v>
      </c>
      <c r="B4781" s="27" t="s">
        <v>12871</v>
      </c>
      <c r="C4781" s="28" t="s">
        <v>134</v>
      </c>
      <c r="D4781" s="29">
        <v>36.0</v>
      </c>
      <c r="E4781" s="28" t="s">
        <v>12872</v>
      </c>
      <c r="F4781" s="7" t="str">
        <f>IFERROR(__xludf.DUMMYFUNCTION("GOOGLETRANSLATE(B4781:B5064,""en"",""fr"")"),"viril")</f>
        <v>viril</v>
      </c>
    </row>
    <row r="4782" ht="19.5" customHeight="1">
      <c r="A4782" s="26" t="s">
        <v>12873</v>
      </c>
      <c r="B4782" s="27" t="s">
        <v>861</v>
      </c>
      <c r="C4782" s="28" t="s">
        <v>134</v>
      </c>
      <c r="D4782" s="29">
        <v>36.0</v>
      </c>
      <c r="E4782" s="28" t="s">
        <v>861</v>
      </c>
      <c r="F4782" s="7" t="str">
        <f>IFERROR(__xludf.DUMMYFUNCTION("GOOGLETRANSLATE(B4782:B5064,""en"",""fr"")"),"beaucoup")</f>
        <v>beaucoup</v>
      </c>
    </row>
    <row r="4783" ht="19.5" customHeight="1">
      <c r="A4783" s="26" t="s">
        <v>12874</v>
      </c>
      <c r="B4783" s="27" t="s">
        <v>12875</v>
      </c>
      <c r="C4783" s="28" t="s">
        <v>178</v>
      </c>
      <c r="D4783" s="29">
        <v>36.0</v>
      </c>
      <c r="E4783" s="28" t="s">
        <v>12876</v>
      </c>
      <c r="F4783" s="7" t="str">
        <f>IFERROR(__xludf.DUMMYFUNCTION("GOOGLETRANSLATE(B4783:B5064,""en"",""fr"")"),"chef-d'œuvre")</f>
        <v>chef-d'œuvre</v>
      </c>
    </row>
    <row r="4784" ht="19.5" customHeight="1">
      <c r="A4784" s="26" t="s">
        <v>12877</v>
      </c>
      <c r="B4784" s="27" t="s">
        <v>12878</v>
      </c>
      <c r="C4784" s="28" t="s">
        <v>134</v>
      </c>
      <c r="D4784" s="29">
        <v>36.0</v>
      </c>
      <c r="E4784" s="28" t="s">
        <v>12878</v>
      </c>
      <c r="F4784" s="7" t="str">
        <f>IFERROR(__xludf.DUMMYFUNCTION("GOOGLETRANSLATE(B4784:B5064,""en"",""fr"")"),"odieux")</f>
        <v>odieux</v>
      </c>
    </row>
    <row r="4785" ht="19.5" customHeight="1">
      <c r="A4785" s="26" t="s">
        <v>12879</v>
      </c>
      <c r="B4785" s="27" t="s">
        <v>12880</v>
      </c>
      <c r="C4785" s="28" t="s">
        <v>728</v>
      </c>
      <c r="D4785" s="29">
        <v>36.0</v>
      </c>
      <c r="E4785" s="28" t="s">
        <v>12880</v>
      </c>
      <c r="F4785" s="7" t="str">
        <f>IFERROR(__xludf.DUMMYFUNCTION("GOOGLETRANSLATE(B4785:B5064,""en"",""fr"")"),"olympique")</f>
        <v>olympique</v>
      </c>
    </row>
    <row r="4786" ht="19.5" customHeight="1">
      <c r="A4786" s="26" t="s">
        <v>12881</v>
      </c>
      <c r="B4786" s="27" t="s">
        <v>12882</v>
      </c>
      <c r="C4786" s="28" t="s">
        <v>178</v>
      </c>
      <c r="D4786" s="29">
        <v>36.0</v>
      </c>
      <c r="E4786" s="28" t="s">
        <v>12883</v>
      </c>
      <c r="F4786" s="7" t="str">
        <f>IFERROR(__xludf.DUMMYFUNCTION("GOOGLETRANSLATE(B4786:B5064,""en"",""fr"")"),"ouvreur")</f>
        <v>ouvreur</v>
      </c>
    </row>
    <row r="4787" ht="19.5" customHeight="1">
      <c r="A4787" s="26" t="s">
        <v>12884</v>
      </c>
      <c r="B4787" s="27" t="s">
        <v>12885</v>
      </c>
      <c r="C4787" s="28" t="s">
        <v>178</v>
      </c>
      <c r="D4787" s="29">
        <v>36.0</v>
      </c>
      <c r="E4787" s="28" t="s">
        <v>12886</v>
      </c>
      <c r="F4787" s="7" t="str">
        <f>IFERROR(__xludf.DUMMYFUNCTION("GOOGLETRANSLATE(B4787:B5064,""en"",""fr"")"),"orientation")</f>
        <v>orientation</v>
      </c>
    </row>
    <row r="4788" ht="19.5" customHeight="1">
      <c r="A4788" s="26" t="s">
        <v>12887</v>
      </c>
      <c r="B4788" s="27" t="s">
        <v>12888</v>
      </c>
      <c r="C4788" s="28" t="s">
        <v>178</v>
      </c>
      <c r="D4788" s="29">
        <v>36.0</v>
      </c>
      <c r="E4788" s="28" t="s">
        <v>12889</v>
      </c>
      <c r="F4788" s="7" t="str">
        <f>IFERROR(__xludf.DUMMYFUNCTION("GOOGLETRANSLATE(B4788:B5064,""en"",""fr"")"),"origine")</f>
        <v>origine</v>
      </c>
    </row>
    <row r="4789" ht="19.5" customHeight="1">
      <c r="A4789" s="26" t="s">
        <v>12890</v>
      </c>
      <c r="B4789" s="27" t="s">
        <v>12891</v>
      </c>
      <c r="C4789" s="28" t="s">
        <v>178</v>
      </c>
      <c r="D4789" s="29">
        <v>36.0</v>
      </c>
      <c r="E4789" s="28" t="s">
        <v>12892</v>
      </c>
      <c r="F4789" s="7" t="str">
        <f>IFERROR(__xludf.DUMMYFUNCTION("GOOGLETRANSLATE(B4789:B5064,""en"",""fr"")"),"orphelin")</f>
        <v>orphelin</v>
      </c>
    </row>
    <row r="4790" ht="19.5" customHeight="1">
      <c r="A4790" s="26" t="s">
        <v>12893</v>
      </c>
      <c r="B4790" s="27" t="s">
        <v>12894</v>
      </c>
      <c r="C4790" s="28" t="s">
        <v>178</v>
      </c>
      <c r="D4790" s="29">
        <v>36.0</v>
      </c>
      <c r="E4790" s="28" t="s">
        <v>12895</v>
      </c>
      <c r="F4790" s="7" t="str">
        <f>IFERROR(__xludf.DUMMYFUNCTION("GOOGLETRANSLATE(B4790:B5064,""en"",""fr"")"),"peine")</f>
        <v>peine</v>
      </c>
    </row>
    <row r="4791" ht="19.5" customHeight="1">
      <c r="A4791" s="26" t="s">
        <v>12896</v>
      </c>
      <c r="B4791" s="27" t="s">
        <v>12897</v>
      </c>
      <c r="C4791" s="28" t="s">
        <v>178</v>
      </c>
      <c r="D4791" s="29">
        <v>36.0</v>
      </c>
      <c r="E4791" s="28" t="s">
        <v>12898</v>
      </c>
      <c r="F4791" s="7" t="str">
        <f>IFERROR(__xludf.DUMMYFUNCTION("GOOGLETRANSLATE(B4791:B5064,""en"",""fr"")"),"résidence")</f>
        <v>résidence</v>
      </c>
    </row>
    <row r="4792" ht="19.5" customHeight="1">
      <c r="A4792" s="26" t="s">
        <v>12899</v>
      </c>
      <c r="B4792" s="27" t="s">
        <v>12146</v>
      </c>
      <c r="C4792" s="28" t="s">
        <v>32</v>
      </c>
      <c r="D4792" s="29">
        <v>36.0</v>
      </c>
      <c r="E4792" s="28" t="s">
        <v>12900</v>
      </c>
      <c r="F4792" s="7" t="str">
        <f>IFERROR(__xludf.DUMMYFUNCTION("GOOGLETRANSLATE(B4792:B5064,""en"",""fr"")"),"inverse")</f>
        <v>inverse</v>
      </c>
    </row>
    <row r="4793" ht="19.5" customHeight="1">
      <c r="A4793" s="26" t="s">
        <v>12901</v>
      </c>
      <c r="B4793" s="27" t="s">
        <v>12902</v>
      </c>
      <c r="C4793" s="28" t="s">
        <v>134</v>
      </c>
      <c r="D4793" s="29">
        <v>36.0</v>
      </c>
      <c r="E4793" s="28" t="s">
        <v>12903</v>
      </c>
      <c r="F4793" s="7" t="str">
        <f>IFERROR(__xludf.DUMMYFUNCTION("GOOGLETRANSLATE(B4793:B5064,""en"",""fr"")"),"peu profond")</f>
        <v>peu profond</v>
      </c>
    </row>
    <row r="4794" ht="19.5" customHeight="1">
      <c r="A4794" s="26" t="s">
        <v>12904</v>
      </c>
      <c r="B4794" s="27" t="s">
        <v>12905</v>
      </c>
      <c r="C4794" s="28" t="s">
        <v>178</v>
      </c>
      <c r="D4794" s="29">
        <v>36.0</v>
      </c>
      <c r="E4794" s="28" t="s">
        <v>12906</v>
      </c>
      <c r="F4794" s="7" t="str">
        <f>IFERROR(__xludf.DUMMYFUNCTION("GOOGLETRANSLATE(B4794:B5064,""en"",""fr"")"),"expédition")</f>
        <v>expédition</v>
      </c>
    </row>
    <row r="4795" ht="19.5" customHeight="1">
      <c r="A4795" s="26" t="s">
        <v>12907</v>
      </c>
      <c r="B4795" s="27" t="s">
        <v>12908</v>
      </c>
      <c r="C4795" s="28" t="s">
        <v>178</v>
      </c>
      <c r="D4795" s="29">
        <v>36.0</v>
      </c>
      <c r="E4795" s="28" t="s">
        <v>12909</v>
      </c>
      <c r="F4795" s="7" t="str">
        <f>IFERROR(__xludf.DUMMYFUNCTION("GOOGLETRANSLATE(B4795:B5064,""en"",""fr"")"),"sirène")</f>
        <v>sirène</v>
      </c>
    </row>
    <row r="4796" ht="19.5" customHeight="1">
      <c r="A4796" s="26" t="s">
        <v>12910</v>
      </c>
      <c r="B4796" s="27" t="s">
        <v>12911</v>
      </c>
      <c r="C4796" s="28" t="s">
        <v>32</v>
      </c>
      <c r="D4796" s="29">
        <v>36.0</v>
      </c>
      <c r="E4796" s="28" t="s">
        <v>12912</v>
      </c>
      <c r="F4796" s="7" t="str">
        <f>IFERROR(__xludf.DUMMYFUNCTION("GOOGLETRANSLATE(B4796:B5064,""en"",""fr"")"),"apaiser")</f>
        <v>apaiser</v>
      </c>
    </row>
    <row r="4797" ht="19.5" customHeight="1">
      <c r="A4797" s="26" t="s">
        <v>12913</v>
      </c>
      <c r="B4797" s="27" t="s">
        <v>12914</v>
      </c>
      <c r="C4797" s="28" t="s">
        <v>32</v>
      </c>
      <c r="D4797" s="29">
        <v>36.0</v>
      </c>
      <c r="E4797" s="28" t="s">
        <v>12915</v>
      </c>
      <c r="F4797" s="7" t="str">
        <f>IFERROR(__xludf.DUMMYFUNCTION("GOOGLETRANSLATE(B4797:B5064,""en"",""fr"")"),"donner une fessée à")</f>
        <v>donner une fessée à</v>
      </c>
    </row>
    <row r="4798" ht="19.5" customHeight="1">
      <c r="A4798" s="26" t="s">
        <v>12916</v>
      </c>
      <c r="B4798" s="27" t="s">
        <v>12917</v>
      </c>
      <c r="C4798" s="28" t="s">
        <v>134</v>
      </c>
      <c r="D4798" s="29">
        <v>36.0</v>
      </c>
      <c r="E4798" s="28" t="s">
        <v>12918</v>
      </c>
      <c r="F4798" s="7" t="str">
        <f>IFERROR(__xludf.DUMMYFUNCTION("GOOGLETRANSLATE(B4798:B5064,""en"",""fr"")"),"strict")</f>
        <v>strict</v>
      </c>
    </row>
    <row r="4799" ht="19.5" customHeight="1">
      <c r="A4799" s="26" t="s">
        <v>12919</v>
      </c>
      <c r="B4799" s="27" t="s">
        <v>12920</v>
      </c>
      <c r="C4799" s="28" t="s">
        <v>100</v>
      </c>
      <c r="D4799" s="29">
        <v>36.0</v>
      </c>
      <c r="E4799" s="28" t="s">
        <v>12920</v>
      </c>
      <c r="F4799" s="7" t="str">
        <f>IFERROR(__xludf.DUMMYFUNCTION("GOOGLETRANSLATE(B4799:B5064,""en"",""fr"")"),"fortement")</f>
        <v>fortement</v>
      </c>
    </row>
    <row r="4800" ht="19.5" customHeight="1">
      <c r="A4800" s="26" t="s">
        <v>12921</v>
      </c>
      <c r="B4800" s="27" t="s">
        <v>12922</v>
      </c>
      <c r="C4800" s="28" t="s">
        <v>178</v>
      </c>
      <c r="D4800" s="29">
        <v>36.0</v>
      </c>
      <c r="E4800" s="28" t="s">
        <v>12923</v>
      </c>
      <c r="F4800" s="7" t="str">
        <f>IFERROR(__xludf.DUMMYFUNCTION("GOOGLETRANSLATE(B4800:B5064,""en"",""fr"")"),"superpuissance")</f>
        <v>superpuissance</v>
      </c>
    </row>
    <row r="4801" ht="19.5" customHeight="1">
      <c r="A4801" s="26" t="s">
        <v>12924</v>
      </c>
      <c r="B4801" s="27" t="s">
        <v>12925</v>
      </c>
      <c r="C4801" s="28" t="s">
        <v>178</v>
      </c>
      <c r="D4801" s="29">
        <v>36.0</v>
      </c>
      <c r="E4801" s="28" t="s">
        <v>12926</v>
      </c>
      <c r="F4801" s="7" t="str">
        <f>IFERROR(__xludf.DUMMYFUNCTION("GOOGLETRANSLATE(B4801:B5064,""en"",""fr"")"),"violon")</f>
        <v>violon</v>
      </c>
    </row>
    <row r="4802" ht="19.5" customHeight="1">
      <c r="A4802" s="26" t="s">
        <v>12927</v>
      </c>
      <c r="B4802" s="27" t="s">
        <v>8568</v>
      </c>
      <c r="C4802" s="28" t="s">
        <v>134</v>
      </c>
      <c r="D4802" s="29">
        <v>36.0</v>
      </c>
      <c r="E4802" s="28" t="s">
        <v>8568</v>
      </c>
      <c r="F4802" s="7" t="str">
        <f>IFERROR(__xludf.DUMMYFUNCTION("GOOGLETRANSLATE(B4802:B5064,""en"",""fr"")"),"bénévole")</f>
        <v>bénévole</v>
      </c>
    </row>
    <row r="4803" ht="19.5" customHeight="1">
      <c r="A4803" s="26" t="s">
        <v>12928</v>
      </c>
      <c r="B4803" s="27" t="s">
        <v>12929</v>
      </c>
      <c r="C4803" s="28" t="s">
        <v>178</v>
      </c>
      <c r="D4803" s="29">
        <v>36.0</v>
      </c>
      <c r="E4803" s="28" t="s">
        <v>12930</v>
      </c>
      <c r="F4803" s="7" t="str">
        <f>IFERROR(__xludf.DUMMYFUNCTION("GOOGLETRANSLATE(B4803:B5064,""en"",""fr"")"),"réveillez-vous")</f>
        <v>réveillez-vous</v>
      </c>
    </row>
    <row r="4804" ht="19.5" customHeight="1">
      <c r="A4804" s="26" t="s">
        <v>12931</v>
      </c>
      <c r="B4804" s="27" t="s">
        <v>12932</v>
      </c>
      <c r="C4804" s="28" t="s">
        <v>134</v>
      </c>
      <c r="D4804" s="29">
        <v>36.0</v>
      </c>
      <c r="E4804" s="28" t="s">
        <v>12932</v>
      </c>
      <c r="F4804" s="7" t="str">
        <f>IFERROR(__xludf.DUMMYFUNCTION("GOOGLETRANSLATE(B4804:B5064,""en"",""fr"")"),"masse")</f>
        <v>masse</v>
      </c>
    </row>
    <row r="4805" ht="19.5" customHeight="1">
      <c r="A4805" s="26" t="s">
        <v>12933</v>
      </c>
      <c r="B4805" s="27" t="s">
        <v>12934</v>
      </c>
      <c r="C4805" s="28" t="s">
        <v>178</v>
      </c>
      <c r="D4805" s="29">
        <v>36.0</v>
      </c>
      <c r="E4805" s="28" t="s">
        <v>12935</v>
      </c>
      <c r="F4805" s="7" t="str">
        <f>IFERROR(__xludf.DUMMYFUNCTION("GOOGLETRANSLATE(B4805:B5064,""en"",""fr"")"),"parfum")</f>
        <v>parfum</v>
      </c>
    </row>
    <row r="4806" ht="19.5" customHeight="1">
      <c r="A4806" s="26" t="s">
        <v>12936</v>
      </c>
      <c r="B4806" s="27" t="s">
        <v>12937</v>
      </c>
      <c r="C4806" s="28" t="s">
        <v>178</v>
      </c>
      <c r="D4806" s="29">
        <v>36.0</v>
      </c>
      <c r="E4806" s="28" t="s">
        <v>12938</v>
      </c>
      <c r="F4806" s="7" t="str">
        <f>IFERROR(__xludf.DUMMYFUNCTION("GOOGLETRANSLATE(B4806:B5064,""en"",""fr"")"),"poignée")</f>
        <v>poignée</v>
      </c>
    </row>
    <row r="4807" ht="19.5" customHeight="1">
      <c r="A4807" s="26" t="s">
        <v>12939</v>
      </c>
      <c r="B4807" s="27" t="s">
        <v>12940</v>
      </c>
      <c r="C4807" s="28" t="s">
        <v>178</v>
      </c>
      <c r="D4807" s="29">
        <v>35.0</v>
      </c>
      <c r="E4807" s="28" t="s">
        <v>12941</v>
      </c>
      <c r="F4807" s="7" t="str">
        <f>IFERROR(__xludf.DUMMYFUNCTION("GOOGLETRANSLATE(B4807:B5064,""en"",""fr"")"),"enregistreur")</f>
        <v>enregistreur</v>
      </c>
    </row>
    <row r="4808" ht="19.5" customHeight="1">
      <c r="A4808" s="26" t="s">
        <v>12942</v>
      </c>
      <c r="B4808" s="27" t="s">
        <v>12943</v>
      </c>
      <c r="C4808" s="28" t="s">
        <v>178</v>
      </c>
      <c r="D4808" s="29">
        <v>35.0</v>
      </c>
      <c r="E4808" s="28" t="s">
        <v>12944</v>
      </c>
      <c r="F4808" s="7" t="str">
        <f>IFERROR(__xludf.DUMMYFUNCTION("GOOGLETRANSLATE(B4808:B5064,""en"",""fr"")"),"acceptation")</f>
        <v>acceptation</v>
      </c>
    </row>
    <row r="4809" ht="19.5" customHeight="1">
      <c r="A4809" s="26" t="s">
        <v>12945</v>
      </c>
      <c r="B4809" s="27" t="s">
        <v>12946</v>
      </c>
      <c r="C4809" s="28" t="s">
        <v>178</v>
      </c>
      <c r="D4809" s="29">
        <v>35.0</v>
      </c>
      <c r="E4809" s="28" t="s">
        <v>12947</v>
      </c>
      <c r="F4809" s="7" t="str">
        <f>IFERROR(__xludf.DUMMYFUNCTION("GOOGLETRANSLATE(B4809:B5064,""en"",""fr"")"),"connaissance")</f>
        <v>connaissance</v>
      </c>
    </row>
    <row r="4810" ht="19.5" customHeight="1">
      <c r="A4810" s="26" t="s">
        <v>12948</v>
      </c>
      <c r="B4810" s="27" t="s">
        <v>12949</v>
      </c>
      <c r="C4810" s="28" t="s">
        <v>32</v>
      </c>
      <c r="D4810" s="29">
        <v>35.0</v>
      </c>
      <c r="E4810" s="28" t="s">
        <v>12950</v>
      </c>
      <c r="F4810" s="7" t="str">
        <f>IFERROR(__xludf.DUMMYFUNCTION("GOOGLETRANSLATE(B4810:B5064,""en"",""fr"")"),"acquérir")</f>
        <v>acquérir</v>
      </c>
    </row>
    <row r="4811" ht="19.5" customHeight="1">
      <c r="A4811" s="26" t="s">
        <v>12951</v>
      </c>
      <c r="B4811" s="27" t="s">
        <v>12952</v>
      </c>
      <c r="C4811" s="28" t="s">
        <v>85</v>
      </c>
      <c r="D4811" s="29">
        <v>35.0</v>
      </c>
      <c r="E4811" s="28" t="s">
        <v>12952</v>
      </c>
      <c r="F4811" s="7" t="str">
        <f>IFERROR(__xludf.DUMMYFUNCTION("GOOGLETRANSLATE(B4811:B5064,""en"",""fr"")"),"bien")</f>
        <v>bien</v>
      </c>
    </row>
    <row r="4812" ht="19.5" customHeight="1">
      <c r="A4812" s="26" t="s">
        <v>12953</v>
      </c>
      <c r="B4812" s="27" t="s">
        <v>12954</v>
      </c>
      <c r="C4812" s="28" t="s">
        <v>178</v>
      </c>
      <c r="D4812" s="29">
        <v>35.0</v>
      </c>
      <c r="E4812" s="28" t="s">
        <v>12955</v>
      </c>
      <c r="F4812" s="7" t="str">
        <f>IFERROR(__xludf.DUMMYFUNCTION("GOOGLETRANSLATE(B4812:B5064,""en"",""fr"")"),"alternative")</f>
        <v>alternative</v>
      </c>
    </row>
    <row r="4813" ht="19.5" customHeight="1">
      <c r="A4813" s="26" t="s">
        <v>12956</v>
      </c>
      <c r="B4813" s="27" t="s">
        <v>12957</v>
      </c>
      <c r="C4813" s="28" t="s">
        <v>134</v>
      </c>
      <c r="D4813" s="29">
        <v>35.0</v>
      </c>
      <c r="E4813" s="28" t="s">
        <v>12957</v>
      </c>
      <c r="F4813" s="7" t="str">
        <f>IFERROR(__xludf.DUMMYFUNCTION("GOOGLETRANSLATE(B4813:B5064,""en"",""fr"")"),"anxieux")</f>
        <v>anxieux</v>
      </c>
    </row>
    <row r="4814" ht="19.5" customHeight="1">
      <c r="A4814" s="26" t="s">
        <v>12958</v>
      </c>
      <c r="B4814" s="27" t="s">
        <v>12959</v>
      </c>
      <c r="C4814" s="28" t="s">
        <v>32</v>
      </c>
      <c r="D4814" s="29">
        <v>35.0</v>
      </c>
      <c r="E4814" s="28" t="s">
        <v>12960</v>
      </c>
      <c r="F4814" s="7" t="str">
        <f>IFERROR(__xludf.DUMMYFUNCTION("GOOGLETRANSLATE(B4814:B5064,""en"",""fr"")"),"applaudir")</f>
        <v>applaudir</v>
      </c>
    </row>
    <row r="4815" ht="19.5" customHeight="1">
      <c r="A4815" s="26" t="s">
        <v>12961</v>
      </c>
      <c r="B4815" s="27" t="s">
        <v>12962</v>
      </c>
      <c r="C4815" s="28" t="s">
        <v>178</v>
      </c>
      <c r="D4815" s="29">
        <v>35.0</v>
      </c>
      <c r="E4815" s="28" t="s">
        <v>12962</v>
      </c>
      <c r="F4815" s="7" t="str">
        <f>IFERROR(__xludf.DUMMYFUNCTION("GOOGLETRANSLATE(B4815:B5064,""en"",""fr"")"),"balivernes")</f>
        <v>balivernes</v>
      </c>
    </row>
    <row r="4816" ht="19.5" customHeight="1">
      <c r="A4816" s="26" t="s">
        <v>12963</v>
      </c>
      <c r="B4816" s="27" t="s">
        <v>12964</v>
      </c>
      <c r="C4816" s="28" t="s">
        <v>178</v>
      </c>
      <c r="D4816" s="29">
        <v>35.0</v>
      </c>
      <c r="E4816" s="28" t="s">
        <v>12965</v>
      </c>
      <c r="F4816" s="7" t="str">
        <f>IFERROR(__xludf.DUMMYFUNCTION("GOOGLETRANSLATE(B4816:B5064,""en"",""fr"")"),"capacité")</f>
        <v>capacité</v>
      </c>
    </row>
    <row r="4817" ht="19.5" customHeight="1">
      <c r="A4817" s="26" t="s">
        <v>12966</v>
      </c>
      <c r="B4817" s="27" t="s">
        <v>12967</v>
      </c>
      <c r="C4817" s="28" t="s">
        <v>134</v>
      </c>
      <c r="D4817" s="29">
        <v>35.0</v>
      </c>
      <c r="E4817" s="28" t="s">
        <v>12967</v>
      </c>
      <c r="F4817" s="7" t="str">
        <f>IFERROR(__xludf.DUMMYFUNCTION("GOOGLETRANSLATE(B4817:B5064,""en"",""fr"")"),"puéril")</f>
        <v>puéril</v>
      </c>
    </row>
    <row r="4818" ht="19.5" customHeight="1">
      <c r="A4818" s="26" t="s">
        <v>12968</v>
      </c>
      <c r="B4818" s="27" t="s">
        <v>4583</v>
      </c>
      <c r="C4818" s="28" t="s">
        <v>32</v>
      </c>
      <c r="D4818" s="29">
        <v>35.0</v>
      </c>
      <c r="E4818" s="28" t="s">
        <v>12969</v>
      </c>
      <c r="F4818" s="7" t="str">
        <f>IFERROR(__xludf.DUMMYFUNCTION("GOOGLETRANSLATE(B4818:B5064,""en"",""fr"")"),"cercle")</f>
        <v>cercle</v>
      </c>
    </row>
    <row r="4819" ht="19.5" customHeight="1">
      <c r="A4819" s="26" t="s">
        <v>12970</v>
      </c>
      <c r="B4819" s="27" t="s">
        <v>12971</v>
      </c>
      <c r="C4819" s="28" t="s">
        <v>178</v>
      </c>
      <c r="D4819" s="29">
        <v>35.0</v>
      </c>
      <c r="E4819" s="28" t="s">
        <v>12972</v>
      </c>
      <c r="F4819" s="7" t="str">
        <f>IFERROR(__xludf.DUMMYFUNCTION("GOOGLETRANSLATE(B4819:B5064,""en"",""fr"")"),"Cola")</f>
        <v>Cola</v>
      </c>
    </row>
    <row r="4820" ht="19.5" customHeight="1">
      <c r="A4820" s="26" t="s">
        <v>12973</v>
      </c>
      <c r="B4820" s="27" t="s">
        <v>6534</v>
      </c>
      <c r="C4820" s="28" t="s">
        <v>32</v>
      </c>
      <c r="D4820" s="29">
        <v>35.0</v>
      </c>
      <c r="E4820" s="28" t="s">
        <v>12974</v>
      </c>
      <c r="F4820" s="7" t="str">
        <f>IFERROR(__xludf.DUMMYFUNCTION("GOOGLETRANSLATE(B4820:B5064,""en"",""fr"")"),"commentaire")</f>
        <v>commentaire</v>
      </c>
    </row>
    <row r="4821" ht="19.5" customHeight="1">
      <c r="A4821" s="26" t="s">
        <v>12975</v>
      </c>
      <c r="B4821" s="27" t="s">
        <v>12976</v>
      </c>
      <c r="C4821" s="28" t="s">
        <v>32</v>
      </c>
      <c r="D4821" s="29">
        <v>35.0</v>
      </c>
      <c r="E4821" s="28" t="s">
        <v>12977</v>
      </c>
      <c r="F4821" s="7" t="str">
        <f>IFERROR(__xludf.DUMMYFUNCTION("GOOGLETRANSLATE(B4821:B5064,""en"",""fr"")"),"détecter")</f>
        <v>détecter</v>
      </c>
    </row>
    <row r="4822" ht="19.5" customHeight="1">
      <c r="A4822" s="26" t="s">
        <v>12978</v>
      </c>
      <c r="B4822" s="27" t="s">
        <v>10000</v>
      </c>
      <c r="C4822" s="28" t="s">
        <v>32</v>
      </c>
      <c r="D4822" s="29">
        <v>35.0</v>
      </c>
      <c r="E4822" s="28" t="s">
        <v>12979</v>
      </c>
      <c r="F4822" s="7" t="str">
        <f>IFERROR(__xludf.DUMMYFUNCTION("GOOGLETRANSLATE(B4822:B5064,""en"",""fr"")"),"égal")</f>
        <v>égal</v>
      </c>
    </row>
    <row r="4823" ht="19.5" customHeight="1">
      <c r="A4823" s="26" t="s">
        <v>12980</v>
      </c>
      <c r="B4823" s="27" t="s">
        <v>12981</v>
      </c>
      <c r="C4823" s="28" t="s">
        <v>134</v>
      </c>
      <c r="D4823" s="29">
        <v>35.0</v>
      </c>
      <c r="E4823" s="28" t="s">
        <v>12981</v>
      </c>
      <c r="F4823" s="7" t="str">
        <f>IFERROR(__xludf.DUMMYFUNCTION("GOOGLETRANSLATE(B4823:B5064,""en"",""fr"")"),"exotique")</f>
        <v>exotique</v>
      </c>
    </row>
    <row r="4824" ht="19.5" customHeight="1">
      <c r="A4824" s="26" t="s">
        <v>12982</v>
      </c>
      <c r="B4824" s="27" t="s">
        <v>12983</v>
      </c>
      <c r="C4824" s="28" t="s">
        <v>32</v>
      </c>
      <c r="D4824" s="29">
        <v>35.0</v>
      </c>
      <c r="E4824" s="28" t="s">
        <v>12984</v>
      </c>
      <c r="F4824" s="7" t="str">
        <f>IFERROR(__xludf.DUMMYFUNCTION("GOOGLETRANSLATE(B4824:B5064,""en"",""fr"")"),"Pouffer de rire")</f>
        <v>Pouffer de rire</v>
      </c>
    </row>
    <row r="4825" ht="19.5" customHeight="1">
      <c r="A4825" s="26" t="s">
        <v>12985</v>
      </c>
      <c r="B4825" s="27" t="s">
        <v>12986</v>
      </c>
      <c r="C4825" s="28" t="s">
        <v>178</v>
      </c>
      <c r="D4825" s="29">
        <v>35.0</v>
      </c>
      <c r="E4825" s="28" t="s">
        <v>12987</v>
      </c>
      <c r="F4825" s="7" t="str">
        <f>IFERROR(__xludf.DUMMYFUNCTION("GOOGLETRANSLATE(B4825:B5064,""en"",""fr"")"),"gnome")</f>
        <v>gnome</v>
      </c>
    </row>
    <row r="4826" ht="19.5" customHeight="1">
      <c r="A4826" s="26" t="s">
        <v>12988</v>
      </c>
      <c r="B4826" s="27" t="s">
        <v>12989</v>
      </c>
      <c r="C4826" s="28" t="s">
        <v>178</v>
      </c>
      <c r="D4826" s="29">
        <v>35.0</v>
      </c>
      <c r="E4826" s="28" t="s">
        <v>12989</v>
      </c>
      <c r="F4826" s="7" t="str">
        <f>IFERROR(__xludf.DUMMYFUNCTION("GOOGLETRANSLATE(B4826:B5064,""en"",""fr"")"),"conseils")</f>
        <v>conseils</v>
      </c>
    </row>
    <row r="4827" ht="19.5" customHeight="1">
      <c r="A4827" s="26" t="s">
        <v>12990</v>
      </c>
      <c r="B4827" s="27" t="s">
        <v>12991</v>
      </c>
      <c r="C4827" s="28" t="s">
        <v>134</v>
      </c>
      <c r="D4827" s="29">
        <v>35.0</v>
      </c>
      <c r="E4827" s="28" t="s">
        <v>12991</v>
      </c>
      <c r="F4827" s="7" t="str">
        <f>IFERROR(__xludf.DUMMYFUNCTION("GOOGLETRANSLATE(B4827:B5064,""en"",""fr"")"),"historique")</f>
        <v>historique</v>
      </c>
    </row>
    <row r="4828" ht="19.5" customHeight="1">
      <c r="A4828" s="26" t="s">
        <v>12992</v>
      </c>
      <c r="B4828" s="27" t="s">
        <v>12993</v>
      </c>
      <c r="C4828" s="28" t="s">
        <v>178</v>
      </c>
      <c r="D4828" s="29">
        <v>35.0</v>
      </c>
      <c r="E4828" s="28" t="s">
        <v>12994</v>
      </c>
      <c r="F4828" s="7" t="str">
        <f>IFERROR(__xludf.DUMMYFUNCTION("GOOGLETRANSLATE(B4828:B5064,""en"",""fr"")"),"gamin")</f>
        <v>gamin</v>
      </c>
    </row>
    <row r="4829" ht="19.5" customHeight="1">
      <c r="A4829" s="26" t="s">
        <v>12995</v>
      </c>
      <c r="B4829" s="27" t="s">
        <v>12996</v>
      </c>
      <c r="C4829" s="28" t="s">
        <v>134</v>
      </c>
      <c r="D4829" s="29">
        <v>35.0</v>
      </c>
      <c r="E4829" s="28" t="s">
        <v>12996</v>
      </c>
      <c r="F4829" s="7" t="str">
        <f>IFERROR(__xludf.DUMMYFUNCTION("GOOGLETRANSLATE(B4829:B5064,""en"",""fr"")"),"kascher")</f>
        <v>kascher</v>
      </c>
    </row>
    <row r="4830" ht="19.5" customHeight="1">
      <c r="A4830" s="26" t="s">
        <v>12997</v>
      </c>
      <c r="B4830" s="27" t="s">
        <v>12998</v>
      </c>
      <c r="C4830" s="28" t="s">
        <v>178</v>
      </c>
      <c r="D4830" s="29">
        <v>35.0</v>
      </c>
      <c r="E4830" s="28" t="s">
        <v>12999</v>
      </c>
      <c r="F4830" s="7" t="str">
        <f>IFERROR(__xludf.DUMMYFUNCTION("GOOGLETRANSLATE(B4830:B5064,""en"",""fr"")"),"limbo")</f>
        <v>limbo</v>
      </c>
    </row>
    <row r="4831" ht="19.5" customHeight="1">
      <c r="A4831" s="26" t="s">
        <v>13000</v>
      </c>
      <c r="B4831" s="27" t="s">
        <v>13001</v>
      </c>
      <c r="C4831" s="28" t="s">
        <v>134</v>
      </c>
      <c r="D4831" s="29">
        <v>35.0</v>
      </c>
      <c r="E4831" s="28" t="s">
        <v>13001</v>
      </c>
      <c r="F4831" s="7" t="str">
        <f>IFERROR(__xludf.DUMMYFUNCTION("GOOGLETRANSLATE(B4831:B5064,""en"",""fr"")"),"merveilleux")</f>
        <v>merveilleux</v>
      </c>
    </row>
    <row r="4832" ht="19.5" customHeight="1">
      <c r="A4832" s="26" t="s">
        <v>13002</v>
      </c>
      <c r="B4832" s="27" t="s">
        <v>13003</v>
      </c>
      <c r="C4832" s="28" t="s">
        <v>178</v>
      </c>
      <c r="D4832" s="29">
        <v>35.0</v>
      </c>
      <c r="E4832" s="28" t="s">
        <v>13004</v>
      </c>
      <c r="F4832" s="7" t="str">
        <f>IFERROR(__xludf.DUMMYFUNCTION("GOOGLETRANSLATE(B4832:B5064,""en"",""fr"")"),"le minimum")</f>
        <v>le minimum</v>
      </c>
    </row>
    <row r="4833" ht="19.5" customHeight="1">
      <c r="A4833" s="26" t="s">
        <v>13005</v>
      </c>
      <c r="B4833" s="27" t="s">
        <v>13006</v>
      </c>
      <c r="C4833" s="28" t="s">
        <v>178</v>
      </c>
      <c r="D4833" s="29">
        <v>35.0</v>
      </c>
      <c r="E4833" s="28" t="s">
        <v>13006</v>
      </c>
      <c r="F4833" s="7" t="str">
        <f>IFERROR(__xludf.DUMMYFUNCTION("GOOGLETRANSLATE(B4833:B5064,""en"",""fr"")"),"missy")</f>
        <v>missy</v>
      </c>
    </row>
    <row r="4834" ht="19.5" customHeight="1">
      <c r="A4834" s="26" t="s">
        <v>13007</v>
      </c>
      <c r="B4834" s="27" t="s">
        <v>3619</v>
      </c>
      <c r="C4834" s="28" t="s">
        <v>178</v>
      </c>
      <c r="D4834" s="29">
        <v>35.0</v>
      </c>
      <c r="E4834" s="28" t="s">
        <v>13008</v>
      </c>
      <c r="F4834" s="7" t="str">
        <f>IFERROR(__xludf.DUMMYFUNCTION("GOOGLETRANSLATE(B4834:B5064,""en"",""fr"")"),"mélanger")</f>
        <v>mélanger</v>
      </c>
    </row>
    <row r="4835" ht="19.5" customHeight="1">
      <c r="A4835" s="26" t="s">
        <v>13009</v>
      </c>
      <c r="B4835" s="27" t="s">
        <v>13010</v>
      </c>
      <c r="C4835" s="28" t="s">
        <v>134</v>
      </c>
      <c r="D4835" s="29">
        <v>35.0</v>
      </c>
      <c r="E4835" s="28" t="s">
        <v>13010</v>
      </c>
      <c r="F4835" s="7" t="str">
        <f>IFERROR(__xludf.DUMMYFUNCTION("GOOGLETRANSLATE(B4835:B5064,""en"",""fr"")"),"nauséeux")</f>
        <v>nauséeux</v>
      </c>
    </row>
    <row r="4836" ht="19.5" customHeight="1">
      <c r="A4836" s="26" t="s">
        <v>13011</v>
      </c>
      <c r="B4836" s="27" t="s">
        <v>4064</v>
      </c>
      <c r="C4836" s="28" t="s">
        <v>32</v>
      </c>
      <c r="D4836" s="29">
        <v>35.0</v>
      </c>
      <c r="E4836" s="28" t="s">
        <v>13012</v>
      </c>
      <c r="F4836" s="7" t="str">
        <f>IFERROR(__xludf.DUMMYFUNCTION("GOOGLETRANSLATE(B4836:B5064,""en"",""fr"")"),"infirmière")</f>
        <v>infirmière</v>
      </c>
    </row>
    <row r="4837" ht="19.5" customHeight="1">
      <c r="A4837" s="26" t="s">
        <v>13013</v>
      </c>
      <c r="B4837" s="27" t="s">
        <v>13014</v>
      </c>
      <c r="C4837" s="28" t="s">
        <v>178</v>
      </c>
      <c r="D4837" s="29">
        <v>35.0</v>
      </c>
      <c r="E4837" s="28" t="s">
        <v>13015</v>
      </c>
      <c r="F4837" s="7" t="str">
        <f>IFERROR(__xludf.DUMMYFUNCTION("GOOGLETRANSLATE(B4837:B5064,""en"",""fr"")"),"observation")</f>
        <v>observation</v>
      </c>
    </row>
    <row r="4838" ht="19.5" customHeight="1">
      <c r="A4838" s="26" t="s">
        <v>13016</v>
      </c>
      <c r="B4838" s="27" t="s">
        <v>13017</v>
      </c>
      <c r="C4838" s="28" t="s">
        <v>178</v>
      </c>
      <c r="D4838" s="29">
        <v>35.0</v>
      </c>
      <c r="E4838" s="28" t="s">
        <v>13018</v>
      </c>
      <c r="F4838" s="7" t="str">
        <f>IFERROR(__xludf.DUMMYFUNCTION("GOOGLETRANSLATE(B4838:B5064,""en"",""fr"")"),"obstacle")</f>
        <v>obstacle</v>
      </c>
    </row>
    <row r="4839" ht="19.5" customHeight="1">
      <c r="A4839" s="26" t="s">
        <v>13019</v>
      </c>
      <c r="B4839" s="27" t="s">
        <v>13020</v>
      </c>
      <c r="C4839" s="28" t="s">
        <v>32</v>
      </c>
      <c r="D4839" s="29">
        <v>35.0</v>
      </c>
      <c r="E4839" s="28" t="s">
        <v>13021</v>
      </c>
      <c r="F4839" s="7" t="str">
        <f>IFERROR(__xludf.DUMMYFUNCTION("GOOGLETRANSLATE(B4839:B5064,""en"",""fr"")"),"négliger")</f>
        <v>négliger</v>
      </c>
    </row>
    <row r="4840" ht="19.5" customHeight="1">
      <c r="A4840" s="26" t="s">
        <v>13022</v>
      </c>
      <c r="B4840" s="27" t="s">
        <v>13023</v>
      </c>
      <c r="C4840" s="28" t="s">
        <v>178</v>
      </c>
      <c r="D4840" s="29">
        <v>35.0</v>
      </c>
      <c r="E4840" s="28" t="s">
        <v>13024</v>
      </c>
      <c r="F4840" s="7" t="str">
        <f>IFERROR(__xludf.DUMMYFUNCTION("GOOGLETRANSLATE(B4840:B5064,""en"",""fr"")"),"philosophie")</f>
        <v>philosophie</v>
      </c>
    </row>
    <row r="4841" ht="19.5" customHeight="1">
      <c r="A4841" s="26" t="s">
        <v>13025</v>
      </c>
      <c r="B4841" s="27" t="s">
        <v>6622</v>
      </c>
      <c r="C4841" s="28" t="s">
        <v>178</v>
      </c>
      <c r="D4841" s="29">
        <v>35.0</v>
      </c>
      <c r="E4841" s="28" t="s">
        <v>13026</v>
      </c>
      <c r="F4841" s="7" t="str">
        <f>IFERROR(__xludf.DUMMYFUNCTION("GOOGLETRANSLATE(B4841:B5064,""en"",""fr"")"),"raciste")</f>
        <v>raciste</v>
      </c>
    </row>
    <row r="4842" ht="19.5" customHeight="1">
      <c r="A4842" s="26" t="s">
        <v>13027</v>
      </c>
      <c r="B4842" s="27" t="s">
        <v>13028</v>
      </c>
      <c r="C4842" s="28" t="s">
        <v>32</v>
      </c>
      <c r="D4842" s="29">
        <v>35.0</v>
      </c>
      <c r="E4842" s="28" t="s">
        <v>13029</v>
      </c>
      <c r="F4842" s="7" t="str">
        <f>IFERROR(__xludf.DUMMYFUNCTION("GOOGLETRANSLATE(B4842:B5064,""en"",""fr"")"),"recruter")</f>
        <v>recruter</v>
      </c>
    </row>
    <row r="4843" ht="19.5" customHeight="1">
      <c r="A4843" s="26" t="s">
        <v>13030</v>
      </c>
      <c r="B4843" s="27" t="s">
        <v>13031</v>
      </c>
      <c r="C4843" s="28" t="s">
        <v>178</v>
      </c>
      <c r="D4843" s="29">
        <v>35.0</v>
      </c>
      <c r="E4843" s="28" t="s">
        <v>13031</v>
      </c>
      <c r="F4843" s="7" t="str">
        <f>IFERROR(__xludf.DUMMYFUNCTION("GOOGLETRANSLATE(B4843:B5064,""en"",""fr"")"),"sexualité")</f>
        <v>sexualité</v>
      </c>
    </row>
    <row r="4844" ht="19.5" customHeight="1">
      <c r="A4844" s="26" t="s">
        <v>13032</v>
      </c>
      <c r="B4844" s="27" t="s">
        <v>13033</v>
      </c>
      <c r="C4844" s="28" t="s">
        <v>178</v>
      </c>
      <c r="D4844" s="29">
        <v>35.0</v>
      </c>
      <c r="E4844" s="28" t="s">
        <v>13034</v>
      </c>
      <c r="F4844" s="7" t="str">
        <f>IFERROR(__xludf.DUMMYFUNCTION("GOOGLETRANSLATE(B4844:B5064,""en"",""fr"")"),"Shenanigan")</f>
        <v>Shenanigan</v>
      </c>
    </row>
    <row r="4845" ht="19.5" customHeight="1">
      <c r="A4845" s="26" t="s">
        <v>13035</v>
      </c>
      <c r="B4845" s="27" t="s">
        <v>13036</v>
      </c>
      <c r="C4845" s="28" t="s">
        <v>178</v>
      </c>
      <c r="D4845" s="29">
        <v>35.0</v>
      </c>
      <c r="E4845" s="28" t="s">
        <v>13037</v>
      </c>
      <c r="F4845" s="7" t="str">
        <f>IFERROR(__xludf.DUMMYFUNCTION("GOOGLETRANSLATE(B4845:B5064,""en"",""fr"")"),"soie")</f>
        <v>soie</v>
      </c>
    </row>
    <row r="4846" ht="19.5" customHeight="1">
      <c r="A4846" s="26" t="s">
        <v>13038</v>
      </c>
      <c r="B4846" s="27" t="s">
        <v>13039</v>
      </c>
      <c r="C4846" s="28" t="s">
        <v>32</v>
      </c>
      <c r="D4846" s="29">
        <v>35.0</v>
      </c>
      <c r="E4846" s="28" t="s">
        <v>13040</v>
      </c>
      <c r="F4846" s="7" t="str">
        <f>IFERROR(__xludf.DUMMYFUNCTION("GOOGLETRANSLATE(B4846:B5064,""en"",""fr"")"),"glissement")</f>
        <v>glissement</v>
      </c>
    </row>
    <row r="4847" ht="19.5" customHeight="1">
      <c r="A4847" s="26" t="s">
        <v>13041</v>
      </c>
      <c r="B4847" s="27" t="s">
        <v>13042</v>
      </c>
      <c r="C4847" s="28" t="s">
        <v>134</v>
      </c>
      <c r="D4847" s="29">
        <v>35.0</v>
      </c>
      <c r="E4847" s="28" t="s">
        <v>13042</v>
      </c>
      <c r="F4847" s="7" t="str">
        <f>IFERROR(__xludf.DUMMYFUNCTION("GOOGLETRANSLATE(B4847:B5064,""en"",""fr"")"),"aux seins nus")</f>
        <v>aux seins nus</v>
      </c>
    </row>
    <row r="4848" ht="19.5" customHeight="1">
      <c r="A4848" s="26" t="s">
        <v>13043</v>
      </c>
      <c r="B4848" s="27" t="s">
        <v>13044</v>
      </c>
      <c r="C4848" s="28" t="s">
        <v>178</v>
      </c>
      <c r="D4848" s="29">
        <v>35.0</v>
      </c>
      <c r="E4848" s="28" t="s">
        <v>13045</v>
      </c>
      <c r="F4848" s="7" t="str">
        <f>IFERROR(__xludf.DUMMYFUNCTION("GOOGLETRANSLATE(B4848:B5064,""en"",""fr"")"),"traumatisme")</f>
        <v>traumatisme</v>
      </c>
    </row>
    <row r="4849" ht="19.5" customHeight="1">
      <c r="A4849" s="26" t="s">
        <v>13046</v>
      </c>
      <c r="B4849" s="27" t="s">
        <v>9766</v>
      </c>
      <c r="C4849" s="28" t="s">
        <v>178</v>
      </c>
      <c r="D4849" s="29">
        <v>35.0</v>
      </c>
      <c r="E4849" s="28" t="s">
        <v>13047</v>
      </c>
      <c r="F4849" s="7" t="str">
        <f>IFERROR(__xludf.DUMMYFUNCTION("GOOGLETRANSLATE(B4849:B5064,""en"",""fr"")"),"tunnel")</f>
        <v>tunnel</v>
      </c>
    </row>
    <row r="4850" ht="19.5" customHeight="1">
      <c r="A4850" s="26" t="s">
        <v>13048</v>
      </c>
      <c r="B4850" s="27" t="s">
        <v>13049</v>
      </c>
      <c r="C4850" s="28" t="s">
        <v>134</v>
      </c>
      <c r="D4850" s="29">
        <v>35.0</v>
      </c>
      <c r="E4850" s="28" t="s">
        <v>13049</v>
      </c>
      <c r="F4850" s="7" t="str">
        <f>IFERROR(__xludf.DUMMYFUNCTION("GOOGLETRANSLATE(B4850:B5064,""en"",""fr"")"),"sans emploi")</f>
        <v>sans emploi</v>
      </c>
    </row>
    <row r="4851" ht="19.5" customHeight="1">
      <c r="A4851" s="26" t="s">
        <v>13050</v>
      </c>
      <c r="B4851" s="27" t="s">
        <v>13051</v>
      </c>
      <c r="C4851" s="28" t="s">
        <v>134</v>
      </c>
      <c r="D4851" s="29">
        <v>35.0</v>
      </c>
      <c r="E4851" s="28" t="s">
        <v>13052</v>
      </c>
      <c r="F4851" s="7" t="str">
        <f>IFERROR(__xludf.DUMMYFUNCTION("GOOGLETRANSLATE(B4851:B5064,""en"",""fr"")"),"peu probable")</f>
        <v>peu probable</v>
      </c>
    </row>
    <row r="4852" ht="19.5" customHeight="1">
      <c r="A4852" s="26" t="s">
        <v>13053</v>
      </c>
      <c r="B4852" s="27" t="s">
        <v>11012</v>
      </c>
      <c r="C4852" s="28" t="s">
        <v>32</v>
      </c>
      <c r="D4852" s="29">
        <v>35.0</v>
      </c>
      <c r="E4852" s="28" t="s">
        <v>13054</v>
      </c>
      <c r="F4852" s="7" t="str">
        <f>IFERROR(__xludf.DUMMYFUNCTION("GOOGLETRANSLATE(B4852:B5064,""en"",""fr"")"),"mise à jour")</f>
        <v>mise à jour</v>
      </c>
    </row>
    <row r="4853" ht="19.5" customHeight="1">
      <c r="A4853" s="26" t="s">
        <v>13055</v>
      </c>
      <c r="B4853" s="27" t="s">
        <v>13056</v>
      </c>
      <c r="C4853" s="28" t="s">
        <v>178</v>
      </c>
      <c r="D4853" s="29">
        <v>35.0</v>
      </c>
      <c r="E4853" s="28" t="s">
        <v>13057</v>
      </c>
      <c r="F4853" s="7" t="str">
        <f>IFERROR(__xludf.DUMMYFUNCTION("GOOGLETRANSLATE(B4853:B5064,""en"",""fr"")"),"verdict")</f>
        <v>verdict</v>
      </c>
    </row>
    <row r="4854" ht="19.5" customHeight="1">
      <c r="A4854" s="26" t="s">
        <v>13058</v>
      </c>
      <c r="B4854" s="27" t="s">
        <v>13059</v>
      </c>
      <c r="C4854" s="28" t="s">
        <v>178</v>
      </c>
      <c r="D4854" s="29">
        <v>35.0</v>
      </c>
      <c r="E4854" s="28" t="s">
        <v>13059</v>
      </c>
      <c r="F4854" s="7" t="str">
        <f>IFERROR(__xludf.DUMMYFUNCTION("GOOGLETRANSLATE(B4854:B5064,""en"",""fr"")"),"virginité")</f>
        <v>virginité</v>
      </c>
    </row>
    <row r="4855" ht="19.5" customHeight="1">
      <c r="A4855" s="26" t="s">
        <v>13060</v>
      </c>
      <c r="B4855" s="27" t="s">
        <v>13061</v>
      </c>
      <c r="C4855" s="28" t="s">
        <v>178</v>
      </c>
      <c r="D4855" s="29">
        <v>35.0</v>
      </c>
      <c r="E4855" s="28" t="s">
        <v>13062</v>
      </c>
      <c r="F4855" s="7" t="str">
        <f>IFERROR(__xludf.DUMMYFUNCTION("GOOGLETRANSLATE(B4855:B5064,""en"",""fr"")"),"vitamine")</f>
        <v>vitamine</v>
      </c>
    </row>
    <row r="4856" ht="19.5" customHeight="1">
      <c r="A4856" s="26" t="s">
        <v>13063</v>
      </c>
      <c r="B4856" s="27" t="s">
        <v>8494</v>
      </c>
      <c r="C4856" s="28" t="s">
        <v>32</v>
      </c>
      <c r="D4856" s="29">
        <v>35.0</v>
      </c>
      <c r="E4856" s="28" t="s">
        <v>13064</v>
      </c>
      <c r="F4856" s="7" t="str">
        <f>IFERROR(__xludf.DUMMYFUNCTION("GOOGLETRANSLATE(B4856:B5064,""en"",""fr"")"),"siffler")</f>
        <v>siffler</v>
      </c>
    </row>
    <row r="4857" ht="19.5" customHeight="1">
      <c r="A4857" s="26" t="s">
        <v>13065</v>
      </c>
      <c r="B4857" s="27" t="s">
        <v>13066</v>
      </c>
      <c r="C4857" s="28" t="s">
        <v>178</v>
      </c>
      <c r="D4857" s="29">
        <v>35.0</v>
      </c>
      <c r="E4857" s="28" t="s">
        <v>13067</v>
      </c>
      <c r="F4857" s="7" t="str">
        <f>IFERROR(__xludf.DUMMYFUNCTION("GOOGLETRANSLATE(B4857:B5064,""en"",""fr"")"),"radiographie")</f>
        <v>radiographie</v>
      </c>
    </row>
    <row r="4858" ht="19.5" customHeight="1">
      <c r="A4858" s="26" t="s">
        <v>13068</v>
      </c>
      <c r="B4858" s="27" t="s">
        <v>13069</v>
      </c>
      <c r="C4858" s="28" t="s">
        <v>134</v>
      </c>
      <c r="D4858" s="29">
        <v>35.0</v>
      </c>
      <c r="E4858" s="28" t="s">
        <v>13069</v>
      </c>
      <c r="F4858" s="7" t="str">
        <f>IFERROR(__xludf.DUMMYFUNCTION("GOOGLETRANSLATE(B4858:B5064,""en"",""fr"")"),"oral")</f>
        <v>oral</v>
      </c>
    </row>
    <row r="4859" ht="19.5" customHeight="1">
      <c r="A4859" s="26" t="s">
        <v>13070</v>
      </c>
      <c r="B4859" s="27" t="s">
        <v>13071</v>
      </c>
      <c r="C4859" s="28" t="s">
        <v>178</v>
      </c>
      <c r="D4859" s="29">
        <v>34.0</v>
      </c>
      <c r="E4859" s="28" t="s">
        <v>13071</v>
      </c>
      <c r="F4859" s="7" t="str">
        <f>IFERROR(__xludf.DUMMYFUNCTION("GOOGLETRANSLATE(B4859:B5064,""en"",""fr"")"),"affaires")</f>
        <v>affaires</v>
      </c>
    </row>
    <row r="4860" ht="19.5" customHeight="1">
      <c r="A4860" s="26" t="s">
        <v>13072</v>
      </c>
      <c r="B4860" s="27" t="s">
        <v>13073</v>
      </c>
      <c r="C4860" s="28" t="s">
        <v>178</v>
      </c>
      <c r="D4860" s="29">
        <v>34.0</v>
      </c>
      <c r="E4860" s="28" t="s">
        <v>13074</v>
      </c>
      <c r="F4860" s="7" t="str">
        <f>IFERROR(__xludf.DUMMYFUNCTION("GOOGLETRANSLATE(B4860:B5064,""en"",""fr"")"),"hymne")</f>
        <v>hymne</v>
      </c>
    </row>
    <row r="4861" ht="19.5" customHeight="1">
      <c r="A4861" s="26" t="s">
        <v>13075</v>
      </c>
      <c r="B4861" s="27" t="s">
        <v>13076</v>
      </c>
      <c r="C4861" s="28" t="s">
        <v>178</v>
      </c>
      <c r="D4861" s="29">
        <v>34.0</v>
      </c>
      <c r="E4861" s="28" t="s">
        <v>13077</v>
      </c>
      <c r="F4861" s="7" t="str">
        <f>IFERROR(__xludf.DUMMYFUNCTION("GOOGLETRANSLATE(B4861:B5064,""en"",""fr"")"),"cendrier")</f>
        <v>cendrier</v>
      </c>
    </row>
    <row r="4862" ht="19.5" customHeight="1">
      <c r="A4862" s="26" t="s">
        <v>13078</v>
      </c>
      <c r="B4862" s="27" t="s">
        <v>13079</v>
      </c>
      <c r="C4862" s="28" t="s">
        <v>32</v>
      </c>
      <c r="D4862" s="29">
        <v>34.0</v>
      </c>
      <c r="E4862" s="28" t="s">
        <v>13080</v>
      </c>
      <c r="F4862" s="7" t="str">
        <f>IFERROR(__xludf.DUMMYFUNCTION("GOOGLETRANSLATE(B4862:B5064,""en"",""fr"")"),"assister")</f>
        <v>assister</v>
      </c>
    </row>
    <row r="4863" ht="19.5" customHeight="1">
      <c r="A4863" s="26" t="s">
        <v>13081</v>
      </c>
      <c r="B4863" s="27" t="s">
        <v>13082</v>
      </c>
      <c r="C4863" s="28" t="s">
        <v>178</v>
      </c>
      <c r="D4863" s="29">
        <v>34.0</v>
      </c>
      <c r="E4863" s="28" t="s">
        <v>13083</v>
      </c>
      <c r="F4863" s="7" t="str">
        <f>IFERROR(__xludf.DUMMYFUNCTION("GOOGLETRANSLATE(B4863:B5064,""en"",""fr"")"),"banquier")</f>
        <v>banquier</v>
      </c>
    </row>
    <row r="4864" ht="19.5" customHeight="1">
      <c r="A4864" s="26" t="s">
        <v>13084</v>
      </c>
      <c r="B4864" s="27" t="s">
        <v>5365</v>
      </c>
      <c r="C4864" s="28" t="s">
        <v>32</v>
      </c>
      <c r="D4864" s="29">
        <v>34.0</v>
      </c>
      <c r="E4864" s="28" t="s">
        <v>13085</v>
      </c>
      <c r="F4864" s="7" t="str">
        <f>IFERROR(__xludf.DUMMYFUNCTION("GOOGLETRANSLATE(B4864:B5064,""en"",""fr"")"),"avantage")</f>
        <v>avantage</v>
      </c>
    </row>
    <row r="4865" ht="19.5" customHeight="1">
      <c r="A4865" s="26" t="s">
        <v>13086</v>
      </c>
      <c r="B4865" s="27" t="s">
        <v>13087</v>
      </c>
      <c r="C4865" s="28" t="s">
        <v>178</v>
      </c>
      <c r="D4865" s="29">
        <v>34.0</v>
      </c>
      <c r="E4865" s="28" t="s">
        <v>13088</v>
      </c>
      <c r="F4865" s="7" t="str">
        <f>IFERROR(__xludf.DUMMYFUNCTION("GOOGLETRANSLATE(B4865:B5064,""en"",""fr"")"),"café")</f>
        <v>café</v>
      </c>
    </row>
    <row r="4866" ht="19.5" customHeight="1">
      <c r="A4866" s="26" t="s">
        <v>13089</v>
      </c>
      <c r="B4866" s="27" t="s">
        <v>13090</v>
      </c>
      <c r="C4866" s="28" t="s">
        <v>178</v>
      </c>
      <c r="D4866" s="29">
        <v>34.0</v>
      </c>
      <c r="E4866" s="28" t="s">
        <v>13090</v>
      </c>
      <c r="F4866" s="7" t="str">
        <f>IFERROR(__xludf.DUMMYFUNCTION("GOOGLETRANSLATE(B4866:B5064,""en"",""fr"")"),"caféine")</f>
        <v>caféine</v>
      </c>
    </row>
    <row r="4867" ht="19.5" customHeight="1">
      <c r="A4867" s="26" t="s">
        <v>13091</v>
      </c>
      <c r="B4867" s="27" t="s">
        <v>4099</v>
      </c>
      <c r="C4867" s="28" t="s">
        <v>178</v>
      </c>
      <c r="D4867" s="29">
        <v>34.0</v>
      </c>
      <c r="E4867" s="28" t="s">
        <v>13092</v>
      </c>
      <c r="F4867" s="7" t="str">
        <f>IFERROR(__xludf.DUMMYFUNCTION("GOOGLETRANSLATE(B4867:B5064,""en"",""fr"")"),"chasse")</f>
        <v>chasse</v>
      </c>
    </row>
    <row r="4868" ht="19.5" customHeight="1">
      <c r="A4868" s="26" t="s">
        <v>13093</v>
      </c>
      <c r="B4868" s="27" t="s">
        <v>13094</v>
      </c>
      <c r="C4868" s="28" t="s">
        <v>178</v>
      </c>
      <c r="D4868" s="29">
        <v>34.0</v>
      </c>
      <c r="E4868" s="28" t="s">
        <v>13095</v>
      </c>
      <c r="F4868" s="7" t="str">
        <f>IFERROR(__xludf.DUMMYFUNCTION("GOOGLETRANSLATE(B4868:B5064,""en"",""fr"")"),"escroquer")</f>
        <v>escroquer</v>
      </c>
    </row>
    <row r="4869" ht="19.5" customHeight="1">
      <c r="A4869" s="26" t="s">
        <v>13096</v>
      </c>
      <c r="B4869" s="27" t="s">
        <v>13097</v>
      </c>
      <c r="C4869" s="28" t="s">
        <v>178</v>
      </c>
      <c r="D4869" s="29">
        <v>34.0</v>
      </c>
      <c r="E4869" s="28" t="s">
        <v>13098</v>
      </c>
      <c r="F4869" s="7" t="str">
        <f>IFERROR(__xludf.DUMMYFUNCTION("GOOGLETRANSLATE(B4869:B5064,""en"",""fr"")"),"récipient")</f>
        <v>récipient</v>
      </c>
    </row>
    <row r="4870" ht="19.5" customHeight="1">
      <c r="A4870" s="26" t="s">
        <v>13099</v>
      </c>
      <c r="B4870" s="27" t="s">
        <v>13100</v>
      </c>
      <c r="C4870" s="28" t="s">
        <v>134</v>
      </c>
      <c r="D4870" s="29">
        <v>34.0</v>
      </c>
      <c r="E4870" s="28" t="s">
        <v>13100</v>
      </c>
      <c r="F4870" s="7" t="str">
        <f>IFERROR(__xludf.DUMMYFUNCTION("GOOGLETRANSLATE(B4870:B5064,""en"",""fr"")"),"pratique")</f>
        <v>pratique</v>
      </c>
    </row>
    <row r="4871" ht="19.5" customHeight="1">
      <c r="A4871" s="26" t="s">
        <v>13101</v>
      </c>
      <c r="B4871" s="27" t="s">
        <v>13102</v>
      </c>
      <c r="C4871" s="28" t="s">
        <v>178</v>
      </c>
      <c r="D4871" s="29">
        <v>34.0</v>
      </c>
      <c r="E4871" s="28" t="s">
        <v>13103</v>
      </c>
      <c r="F4871" s="7" t="str">
        <f>IFERROR(__xludf.DUMMYFUNCTION("GOOGLETRANSLATE(B4871:B5064,""en"",""fr"")"),"corde")</f>
        <v>corde</v>
      </c>
    </row>
    <row r="4872" ht="19.5" customHeight="1">
      <c r="A4872" s="26" t="s">
        <v>13104</v>
      </c>
      <c r="B4872" s="27" t="s">
        <v>13105</v>
      </c>
      <c r="C4872" s="28" t="s">
        <v>178</v>
      </c>
      <c r="D4872" s="29">
        <v>34.0</v>
      </c>
      <c r="E4872" s="28" t="s">
        <v>13106</v>
      </c>
      <c r="F4872" s="7" t="str">
        <f>IFERROR(__xludf.DUMMYFUNCTION("GOOGLETRANSLATE(B4872:B5064,""en"",""fr"")"),"tribunal")</f>
        <v>tribunal</v>
      </c>
    </row>
    <row r="4873" ht="19.5" customHeight="1">
      <c r="A4873" s="26" t="s">
        <v>13107</v>
      </c>
      <c r="B4873" s="27" t="s">
        <v>13108</v>
      </c>
      <c r="C4873" s="28" t="s">
        <v>178</v>
      </c>
      <c r="D4873" s="29">
        <v>34.0</v>
      </c>
      <c r="E4873" s="28" t="s">
        <v>13109</v>
      </c>
      <c r="F4873" s="7" t="str">
        <f>IFERROR(__xludf.DUMMYFUNCTION("GOOGLETRANSLATE(B4873:B5064,""en"",""fr"")"),"critique")</f>
        <v>critique</v>
      </c>
    </row>
    <row r="4874" ht="19.5" customHeight="1">
      <c r="A4874" s="26" t="s">
        <v>13110</v>
      </c>
      <c r="B4874" s="27" t="s">
        <v>13111</v>
      </c>
      <c r="C4874" s="28" t="s">
        <v>178</v>
      </c>
      <c r="D4874" s="29">
        <v>34.0</v>
      </c>
      <c r="E4874" s="28" t="s">
        <v>13112</v>
      </c>
      <c r="F4874" s="7" t="str">
        <f>IFERROR(__xludf.DUMMYFUNCTION("GOOGLETRANSLATE(B4874:B5064,""en"",""fr"")"),"trottoir")</f>
        <v>trottoir</v>
      </c>
    </row>
    <row r="4875" ht="19.5" customHeight="1">
      <c r="A4875" s="26" t="s">
        <v>13113</v>
      </c>
      <c r="B4875" s="27" t="s">
        <v>13114</v>
      </c>
      <c r="C4875" s="28" t="s">
        <v>178</v>
      </c>
      <c r="D4875" s="29">
        <v>34.0</v>
      </c>
      <c r="E4875" s="28" t="s">
        <v>13115</v>
      </c>
      <c r="F4875" s="7" t="str">
        <f>IFERROR(__xludf.DUMMYFUNCTION("GOOGLETRANSLATE(B4875:B5064,""en"",""fr"")"),"se faire cuire")</f>
        <v>se faire cuire</v>
      </c>
    </row>
    <row r="4876" ht="19.5" customHeight="1">
      <c r="A4876" s="26" t="s">
        <v>13116</v>
      </c>
      <c r="B4876" s="27" t="s">
        <v>13117</v>
      </c>
      <c r="C4876" s="28" t="s">
        <v>32</v>
      </c>
      <c r="D4876" s="29">
        <v>34.0</v>
      </c>
      <c r="E4876" s="28" t="s">
        <v>13118</v>
      </c>
      <c r="F4876" s="7" t="str">
        <f>IFERROR(__xludf.DUMMYFUNCTION("GOOGLETRANSLATE(B4876:B5064,""en"",""fr"")"),"plaisir")</f>
        <v>plaisir</v>
      </c>
    </row>
    <row r="4877" ht="19.5" customHeight="1">
      <c r="A4877" s="26" t="s">
        <v>13119</v>
      </c>
      <c r="B4877" s="27" t="s">
        <v>13120</v>
      </c>
      <c r="C4877" s="28" t="s">
        <v>134</v>
      </c>
      <c r="D4877" s="29">
        <v>34.0</v>
      </c>
      <c r="E4877" s="28" t="s">
        <v>13120</v>
      </c>
      <c r="F4877" s="7" t="str">
        <f>IFERROR(__xludf.DUMMYFUNCTION("GOOGLETRANSLATE(B4877:B5064,""en"",""fr"")"),"loin")</f>
        <v>loin</v>
      </c>
    </row>
    <row r="4878" ht="19.5" customHeight="1">
      <c r="A4878" s="26" t="s">
        <v>13121</v>
      </c>
      <c r="B4878" s="27" t="s">
        <v>13122</v>
      </c>
      <c r="C4878" s="28" t="s">
        <v>134</v>
      </c>
      <c r="D4878" s="29">
        <v>34.0</v>
      </c>
      <c r="E4878" s="28" t="s">
        <v>13123</v>
      </c>
      <c r="F4878" s="7" t="str">
        <f>IFERROR(__xludf.DUMMYFUNCTION("GOOGLETRANSLATE(B4878:B5064,""en"",""fr"")"),"vertigineux")</f>
        <v>vertigineux</v>
      </c>
    </row>
    <row r="4879" ht="19.5" customHeight="1">
      <c r="A4879" s="26" t="s">
        <v>13124</v>
      </c>
      <c r="B4879" s="27" t="s">
        <v>13125</v>
      </c>
      <c r="C4879" s="28" t="s">
        <v>178</v>
      </c>
      <c r="D4879" s="29">
        <v>34.0</v>
      </c>
      <c r="E4879" s="28" t="s">
        <v>13126</v>
      </c>
      <c r="F4879" s="7" t="str">
        <f>IFERROR(__xludf.DUMMYFUNCTION("GOOGLETRANSLATE(B4879:B5064,""en"",""fr"")"),"pansement")</f>
        <v>pansement</v>
      </c>
    </row>
    <row r="4880" ht="19.5" customHeight="1">
      <c r="A4880" s="26" t="s">
        <v>13127</v>
      </c>
      <c r="B4880" s="27" t="s">
        <v>13128</v>
      </c>
      <c r="C4880" s="28" t="s">
        <v>134</v>
      </c>
      <c r="D4880" s="29">
        <v>34.0</v>
      </c>
      <c r="E4880" s="28" t="s">
        <v>13128</v>
      </c>
      <c r="F4880" s="7" t="str">
        <f>IFERROR(__xludf.DUMMYFUNCTION("GOOGLETRANSLATE(B4880:B5064,""en"",""fr"")"),"érotique")</f>
        <v>érotique</v>
      </c>
    </row>
    <row r="4881" ht="19.5" customHeight="1">
      <c r="A4881" s="26" t="s">
        <v>13129</v>
      </c>
      <c r="B4881" s="27" t="s">
        <v>13130</v>
      </c>
      <c r="C4881" s="28" t="s">
        <v>178</v>
      </c>
      <c r="D4881" s="29">
        <v>34.0</v>
      </c>
      <c r="E4881" s="28" t="s">
        <v>13131</v>
      </c>
      <c r="F4881" s="7" t="str">
        <f>IFERROR(__xludf.DUMMYFUNCTION("GOOGLETRANSLATE(B4881:B5064,""en"",""fr"")"),"globe oculaire")</f>
        <v>globe oculaire</v>
      </c>
    </row>
    <row r="4882" ht="19.5" customHeight="1">
      <c r="A4882" s="26" t="s">
        <v>13132</v>
      </c>
      <c r="B4882" s="27" t="s">
        <v>13133</v>
      </c>
      <c r="C4882" s="28" t="s">
        <v>134</v>
      </c>
      <c r="D4882" s="29">
        <v>34.0</v>
      </c>
      <c r="E4882" s="28" t="s">
        <v>13133</v>
      </c>
      <c r="F4882" s="7" t="str">
        <f>IFERROR(__xludf.DUMMYFUNCTION("GOOGLETRANSLATE(B4882:B5064,""en"",""fr"")"),"soin du visage")</f>
        <v>soin du visage</v>
      </c>
    </row>
    <row r="4883" ht="19.5" customHeight="1">
      <c r="A4883" s="26" t="s">
        <v>13134</v>
      </c>
      <c r="B4883" s="27" t="s">
        <v>13135</v>
      </c>
      <c r="C4883" s="28" t="s">
        <v>32</v>
      </c>
      <c r="D4883" s="29">
        <v>34.0</v>
      </c>
      <c r="E4883" s="28" t="s">
        <v>13136</v>
      </c>
      <c r="F4883" s="7" t="str">
        <f>IFERROR(__xludf.DUMMYFUNCTION("GOOGLETRANSLATE(B4883:B5064,""en"",""fr"")"),"rabat")</f>
        <v>rabat</v>
      </c>
    </row>
    <row r="4884" ht="19.5" customHeight="1">
      <c r="A4884" s="26" t="s">
        <v>13137</v>
      </c>
      <c r="B4884" s="27" t="s">
        <v>13138</v>
      </c>
      <c r="C4884" s="28" t="s">
        <v>32</v>
      </c>
      <c r="D4884" s="29">
        <v>34.0</v>
      </c>
      <c r="E4884" s="28" t="s">
        <v>13139</v>
      </c>
      <c r="F4884" s="7" t="str">
        <f>IFERROR(__xludf.DUMMYFUNCTION("GOOGLETRANSLATE(B4884:B5064,""en"",""fr"")"),"se rafraîchir")</f>
        <v>se rafraîchir</v>
      </c>
    </row>
    <row r="4885" ht="19.5" customHeight="1">
      <c r="A4885" s="26" t="s">
        <v>13140</v>
      </c>
      <c r="B4885" s="27" t="s">
        <v>13141</v>
      </c>
      <c r="C4885" s="28" t="s">
        <v>178</v>
      </c>
      <c r="D4885" s="29">
        <v>34.0</v>
      </c>
      <c r="E4885" s="28" t="s">
        <v>13142</v>
      </c>
      <c r="F4885" s="7" t="str">
        <f>IFERROR(__xludf.DUMMYFUNCTION("GOOGLETRANSLATE(B4885:B5064,""en"",""fr"")"),"galaxie")</f>
        <v>galaxie</v>
      </c>
    </row>
    <row r="4886" ht="19.5" customHeight="1">
      <c r="A4886" s="26" t="s">
        <v>13143</v>
      </c>
      <c r="B4886" s="27" t="s">
        <v>13144</v>
      </c>
      <c r="C4886" s="28" t="s">
        <v>178</v>
      </c>
      <c r="D4886" s="29">
        <v>34.0</v>
      </c>
      <c r="E4886" s="28" t="s">
        <v>13145</v>
      </c>
      <c r="F4886" s="7" t="str">
        <f>IFERROR(__xludf.DUMMYFUNCTION("GOOGLETRANSLATE(B4886:B5064,""en"",""fr"")"),"Gardien")</f>
        <v>Gardien</v>
      </c>
    </row>
    <row r="4887" ht="19.5" customHeight="1">
      <c r="A4887" s="26" t="s">
        <v>13146</v>
      </c>
      <c r="B4887" s="27" t="s">
        <v>13147</v>
      </c>
      <c r="C4887" s="28" t="s">
        <v>178</v>
      </c>
      <c r="D4887" s="29">
        <v>34.0</v>
      </c>
      <c r="E4887" s="28" t="s">
        <v>13148</v>
      </c>
      <c r="F4887" s="7" t="str">
        <f>IFERROR(__xludf.DUMMYFUNCTION("GOOGLETRANSLATE(B4887:B5064,""en"",""fr"")"),"souligner")</f>
        <v>souligner</v>
      </c>
    </row>
    <row r="4888" ht="19.5" customHeight="1">
      <c r="A4888" s="26" t="s">
        <v>13149</v>
      </c>
      <c r="B4888" s="27" t="s">
        <v>13150</v>
      </c>
      <c r="C4888" s="28" t="s">
        <v>32</v>
      </c>
      <c r="D4888" s="29">
        <v>34.0</v>
      </c>
      <c r="E4888" s="28" t="s">
        <v>13151</v>
      </c>
      <c r="F4888" s="7" t="str">
        <f>IFERROR(__xludf.DUMMYFUNCTION("GOOGLETRANSLATE(B4888:B5064,""en"",""fr"")"),"magot")</f>
        <v>magot</v>
      </c>
    </row>
    <row r="4889" ht="19.5" customHeight="1">
      <c r="A4889" s="26" t="s">
        <v>13152</v>
      </c>
      <c r="B4889" s="27" t="s">
        <v>13153</v>
      </c>
      <c r="C4889" s="28" t="s">
        <v>178</v>
      </c>
      <c r="D4889" s="29">
        <v>34.0</v>
      </c>
      <c r="E4889" s="28" t="s">
        <v>13153</v>
      </c>
      <c r="F4889" s="7" t="str">
        <f>IFERROR(__xludf.DUMMYFUNCTION("GOOGLETRANSLATE(B4889:B5064,""en"",""fr"")"),"hygiène")</f>
        <v>hygiène</v>
      </c>
    </row>
    <row r="4890" ht="19.5" customHeight="1">
      <c r="A4890" s="26" t="s">
        <v>13154</v>
      </c>
      <c r="B4890" s="27" t="s">
        <v>13155</v>
      </c>
      <c r="C4890" s="28" t="s">
        <v>178</v>
      </c>
      <c r="D4890" s="29">
        <v>34.0</v>
      </c>
      <c r="E4890" s="28" t="s">
        <v>13156</v>
      </c>
      <c r="F4890" s="7" t="str">
        <f>IFERROR(__xludf.DUMMYFUNCTION("GOOGLETRANSLATE(B4890:B5064,""en"",""fr"")"),"institution")</f>
        <v>institution</v>
      </c>
    </row>
    <row r="4891" ht="19.5" customHeight="1">
      <c r="A4891" s="26" t="s">
        <v>13157</v>
      </c>
      <c r="B4891" s="27" t="s">
        <v>13158</v>
      </c>
      <c r="C4891" s="28" t="s">
        <v>178</v>
      </c>
      <c r="D4891" s="29">
        <v>34.0</v>
      </c>
      <c r="E4891" s="28" t="s">
        <v>13159</v>
      </c>
      <c r="F4891" s="7" t="str">
        <f>IFERROR(__xludf.DUMMYFUNCTION("GOOGLETRANSLATE(B4891:B5064,""en"",""fr"")"),"gardien")</f>
        <v>gardien</v>
      </c>
    </row>
    <row r="4892" ht="19.5" customHeight="1">
      <c r="A4892" s="26" t="s">
        <v>13160</v>
      </c>
      <c r="B4892" s="27" t="s">
        <v>13161</v>
      </c>
      <c r="C4892" s="28" t="s">
        <v>178</v>
      </c>
      <c r="D4892" s="29">
        <v>34.0</v>
      </c>
      <c r="E4892" s="28" t="s">
        <v>13162</v>
      </c>
      <c r="F4892" s="7" t="str">
        <f>IFERROR(__xludf.DUMMYFUNCTION("GOOGLETRANSLATE(B4892:B5064,""en"",""fr"")"),"laitue")</f>
        <v>laitue</v>
      </c>
    </row>
    <row r="4893" ht="19.5" customHeight="1">
      <c r="A4893" s="26" t="s">
        <v>13163</v>
      </c>
      <c r="B4893" s="27" t="s">
        <v>13164</v>
      </c>
      <c r="C4893" s="28" t="s">
        <v>178</v>
      </c>
      <c r="D4893" s="29">
        <v>34.0</v>
      </c>
      <c r="E4893" s="28" t="s">
        <v>13165</v>
      </c>
      <c r="F4893" s="7" t="str">
        <f>IFERROR(__xludf.DUMMYFUNCTION("GOOGLETRANSLATE(B4893:B5064,""en"",""fr"")"),"jeune fille")</f>
        <v>jeune fille</v>
      </c>
    </row>
    <row r="4894" ht="19.5" customHeight="1">
      <c r="A4894" s="26" t="s">
        <v>13166</v>
      </c>
      <c r="B4894" s="27" t="s">
        <v>13167</v>
      </c>
      <c r="C4894" s="28" t="s">
        <v>178</v>
      </c>
      <c r="D4894" s="29">
        <v>34.0</v>
      </c>
      <c r="E4894" s="28" t="s">
        <v>13168</v>
      </c>
      <c r="F4894" s="7" t="str">
        <f>IFERROR(__xludf.DUMMYFUNCTION("GOOGLETRANSLATE(B4894:B5064,""en"",""fr"")"),"adhésion")</f>
        <v>adhésion</v>
      </c>
    </row>
    <row r="4895" ht="19.5" customHeight="1">
      <c r="A4895" s="26" t="s">
        <v>13169</v>
      </c>
      <c r="B4895" s="27" t="s">
        <v>13170</v>
      </c>
      <c r="C4895" s="28" t="s">
        <v>134</v>
      </c>
      <c r="D4895" s="29">
        <v>34.0</v>
      </c>
      <c r="E4895" s="28" t="s">
        <v>13171</v>
      </c>
      <c r="F4895" s="7" t="str">
        <f>IFERROR(__xludf.DUMMYFUNCTION("GOOGLETRANSLATE(B4895:B5064,""en"",""fr"")"),"bénin")</f>
        <v>bénin</v>
      </c>
    </row>
    <row r="4896" ht="19.5" customHeight="1">
      <c r="A4896" s="26" t="s">
        <v>13172</v>
      </c>
      <c r="B4896" s="27" t="s">
        <v>13173</v>
      </c>
      <c r="C4896" s="28" t="s">
        <v>178</v>
      </c>
      <c r="D4896" s="29">
        <v>34.0</v>
      </c>
      <c r="E4896" s="28" t="s">
        <v>13174</v>
      </c>
      <c r="F4896" s="7" t="str">
        <f>IFERROR(__xludf.DUMMYFUNCTION("GOOGLETRANSLATE(B4896:B5064,""en"",""fr"")"),"misère")</f>
        <v>misère</v>
      </c>
    </row>
    <row r="4897" ht="19.5" customHeight="1">
      <c r="A4897" s="26" t="s">
        <v>13175</v>
      </c>
      <c r="B4897" s="27" t="s">
        <v>13176</v>
      </c>
      <c r="C4897" s="28" t="s">
        <v>134</v>
      </c>
      <c r="D4897" s="29">
        <v>34.0</v>
      </c>
      <c r="E4897" s="28" t="s">
        <v>13176</v>
      </c>
      <c r="F4897" s="7" t="str">
        <f>IFERROR(__xludf.DUMMYFUNCTION("GOOGLETRANSLATE(B4897:B5064,""en"",""fr"")"),"se tromper")</f>
        <v>se tromper</v>
      </c>
    </row>
    <row r="4898" ht="19.5" customHeight="1">
      <c r="A4898" s="26" t="s">
        <v>13177</v>
      </c>
      <c r="B4898" s="27" t="s">
        <v>13178</v>
      </c>
      <c r="C4898" s="28" t="s">
        <v>178</v>
      </c>
      <c r="D4898" s="29">
        <v>34.0</v>
      </c>
      <c r="E4898" s="28" t="s">
        <v>13179</v>
      </c>
      <c r="F4898" s="7" t="str">
        <f>IFERROR(__xludf.DUMMYFUNCTION("GOOGLETRANSLATE(B4898:B5064,""en"",""fr"")"),"mixer")</f>
        <v>mixer</v>
      </c>
    </row>
    <row r="4899" ht="19.5" customHeight="1">
      <c r="A4899" s="26" t="s">
        <v>13180</v>
      </c>
      <c r="B4899" s="27" t="s">
        <v>13181</v>
      </c>
      <c r="C4899" s="28" t="s">
        <v>178</v>
      </c>
      <c r="D4899" s="29">
        <v>34.0</v>
      </c>
      <c r="E4899" s="28" t="s">
        <v>13182</v>
      </c>
      <c r="F4899" s="7" t="str">
        <f>IFERROR(__xludf.DUMMYFUNCTION("GOOGLETRANSLATE(B4899:B5064,""en"",""fr"")"),"parloir")</f>
        <v>parloir</v>
      </c>
    </row>
    <row r="4900" ht="19.5" customHeight="1">
      <c r="A4900" s="26" t="s">
        <v>13183</v>
      </c>
      <c r="B4900" s="27" t="s">
        <v>9750</v>
      </c>
      <c r="C4900" s="28" t="s">
        <v>32</v>
      </c>
      <c r="D4900" s="29">
        <v>34.0</v>
      </c>
      <c r="E4900" s="28" t="s">
        <v>13184</v>
      </c>
      <c r="F4900" s="7" t="str">
        <f>IFERROR(__xludf.DUMMYFUNCTION("GOOGLETRANSLATE(B4900:B5064,""en"",""fr"")"),"pitié")</f>
        <v>pitié</v>
      </c>
    </row>
    <row r="4901" ht="19.5" customHeight="1">
      <c r="A4901" s="26" t="s">
        <v>13185</v>
      </c>
      <c r="B4901" s="27" t="s">
        <v>13186</v>
      </c>
      <c r="C4901" s="28" t="s">
        <v>178</v>
      </c>
      <c r="D4901" s="29">
        <v>34.0</v>
      </c>
      <c r="E4901" s="28" t="s">
        <v>13187</v>
      </c>
      <c r="F4901" s="7" t="str">
        <f>IFERROR(__xludf.DUMMYFUNCTION("GOOGLETRANSLATE(B4901:B5064,""en"",""fr"")"),"plat")</f>
        <v>plat</v>
      </c>
    </row>
    <row r="4902" ht="19.5" customHeight="1">
      <c r="A4902" s="26" t="s">
        <v>13188</v>
      </c>
      <c r="B4902" s="27" t="s">
        <v>13189</v>
      </c>
      <c r="C4902" s="28" t="s">
        <v>134</v>
      </c>
      <c r="D4902" s="29">
        <v>34.0</v>
      </c>
      <c r="E4902" s="28" t="s">
        <v>13190</v>
      </c>
      <c r="F4902" s="7" t="str">
        <f>IFERROR(__xludf.DUMMYFUNCTION("GOOGLETRANSLATE(B4902:B5064,""en"",""fr"")"),"pointu")</f>
        <v>pointu</v>
      </c>
    </row>
    <row r="4903" ht="19.5" customHeight="1">
      <c r="A4903" s="26" t="s">
        <v>13191</v>
      </c>
      <c r="B4903" s="27" t="s">
        <v>13192</v>
      </c>
      <c r="C4903" s="28" t="s">
        <v>100</v>
      </c>
      <c r="D4903" s="29">
        <v>34.0</v>
      </c>
      <c r="E4903" s="28" t="s">
        <v>13192</v>
      </c>
      <c r="F4903" s="7" t="str">
        <f>IFERROR(__xludf.DUMMYFUNCTION("GOOGLETRANSLATE(B4903:B5064,""en"",""fr"")"),"pauvrement")</f>
        <v>pauvrement</v>
      </c>
    </row>
    <row r="4904" ht="19.5" customHeight="1">
      <c r="A4904" s="26" t="s">
        <v>13193</v>
      </c>
      <c r="B4904" s="27" t="s">
        <v>13194</v>
      </c>
      <c r="C4904" s="28" t="s">
        <v>178</v>
      </c>
      <c r="D4904" s="29">
        <v>34.0</v>
      </c>
      <c r="E4904" s="28" t="s">
        <v>13195</v>
      </c>
      <c r="F4904" s="7" t="str">
        <f>IFERROR(__xludf.DUMMYFUNCTION("GOOGLETRANSLATE(B4904:B5064,""en"",""fr"")"),"population")</f>
        <v>population</v>
      </c>
    </row>
    <row r="4905" ht="19.5" customHeight="1">
      <c r="A4905" s="26" t="s">
        <v>13196</v>
      </c>
      <c r="B4905" s="27" t="s">
        <v>13197</v>
      </c>
      <c r="C4905" s="28" t="s">
        <v>178</v>
      </c>
      <c r="D4905" s="29">
        <v>34.0</v>
      </c>
      <c r="E4905" s="28" t="s">
        <v>13198</v>
      </c>
      <c r="F4905" s="7" t="str">
        <f>IFERROR(__xludf.DUMMYFUNCTION("GOOGLETRANSLATE(B4905:B5064,""en"",""fr"")"),"psychologie")</f>
        <v>psychologie</v>
      </c>
    </row>
    <row r="4906" ht="19.5" customHeight="1">
      <c r="A4906" s="26" t="s">
        <v>13199</v>
      </c>
      <c r="B4906" s="27" t="s">
        <v>13200</v>
      </c>
      <c r="C4906" s="28" t="s">
        <v>134</v>
      </c>
      <c r="D4906" s="29">
        <v>34.0</v>
      </c>
      <c r="E4906" s="28" t="s">
        <v>13201</v>
      </c>
      <c r="F4906" s="7" t="str">
        <f>IFERROR(__xludf.DUMMYFUNCTION("GOOGLETRANSLATE(B4906:B5064,""en"",""fr"")"),"risqué")</f>
        <v>risqué</v>
      </c>
    </row>
    <row r="4907" ht="19.5" customHeight="1">
      <c r="A4907" s="26" t="s">
        <v>13202</v>
      </c>
      <c r="B4907" s="27" t="s">
        <v>13203</v>
      </c>
      <c r="C4907" s="28" t="s">
        <v>178</v>
      </c>
      <c r="D4907" s="29">
        <v>34.0</v>
      </c>
      <c r="E4907" s="28" t="s">
        <v>13204</v>
      </c>
      <c r="F4907" s="7" t="str">
        <f>IFERROR(__xludf.DUMMYFUNCTION("GOOGLETRANSLATE(B4907:B5064,""en"",""fr"")"),"voleur")</f>
        <v>voleur</v>
      </c>
    </row>
    <row r="4908" ht="19.5" customHeight="1">
      <c r="A4908" s="26" t="s">
        <v>13205</v>
      </c>
      <c r="B4908" s="27" t="s">
        <v>13206</v>
      </c>
      <c r="C4908" s="28" t="s">
        <v>178</v>
      </c>
      <c r="D4908" s="29">
        <v>34.0</v>
      </c>
      <c r="E4908" s="28" t="s">
        <v>13207</v>
      </c>
      <c r="F4908" s="7" t="str">
        <f>IFERROR(__xludf.DUMMYFUNCTION("GOOGLETRANSLATE(B4908:B5064,""en"",""fr"")"),"coureur")</f>
        <v>coureur</v>
      </c>
    </row>
    <row r="4909" ht="19.5" customHeight="1">
      <c r="A4909" s="26" t="s">
        <v>13208</v>
      </c>
      <c r="B4909" s="27" t="s">
        <v>13209</v>
      </c>
      <c r="C4909" s="28" t="s">
        <v>178</v>
      </c>
      <c r="D4909" s="29">
        <v>34.0</v>
      </c>
      <c r="E4909" s="28" t="s">
        <v>13210</v>
      </c>
      <c r="F4909" s="7" t="str">
        <f>IFERROR(__xludf.DUMMYFUNCTION("GOOGLETRANSLATE(B4909:B5064,""en"",""fr"")"),"piste")</f>
        <v>piste</v>
      </c>
    </row>
    <row r="4910" ht="19.5" customHeight="1">
      <c r="A4910" s="26" t="s">
        <v>13211</v>
      </c>
      <c r="B4910" s="27" t="s">
        <v>13212</v>
      </c>
      <c r="C4910" s="28" t="s">
        <v>178</v>
      </c>
      <c r="D4910" s="29">
        <v>34.0</v>
      </c>
      <c r="E4910" s="28" t="s">
        <v>13213</v>
      </c>
      <c r="F4910" s="7" t="str">
        <f>IFERROR(__xludf.DUMMYFUNCTION("GOOGLETRANSLATE(B4910:B5064,""en"",""fr"")"),"bourse")</f>
        <v>bourse</v>
      </c>
    </row>
    <row r="4911" ht="19.5" customHeight="1">
      <c r="A4911" s="26" t="s">
        <v>13214</v>
      </c>
      <c r="B4911" s="27" t="s">
        <v>13215</v>
      </c>
      <c r="C4911" s="28" t="s">
        <v>134</v>
      </c>
      <c r="D4911" s="29">
        <v>34.0</v>
      </c>
      <c r="E4911" s="28" t="s">
        <v>13216</v>
      </c>
      <c r="F4911" s="7" t="str">
        <f>IFERROR(__xludf.DUMMYFUNCTION("GOOGLETRANSLATE(B4911:B5064,""en"",""fr"")"),"mince")</f>
        <v>mince</v>
      </c>
    </row>
    <row r="4912" ht="19.5" customHeight="1">
      <c r="A4912" s="26" t="s">
        <v>13217</v>
      </c>
      <c r="B4912" s="27" t="s">
        <v>13218</v>
      </c>
      <c r="C4912" s="28" t="s">
        <v>178</v>
      </c>
      <c r="D4912" s="29">
        <v>34.0</v>
      </c>
      <c r="E4912" s="28" t="s">
        <v>13219</v>
      </c>
      <c r="F4912" s="7" t="str">
        <f>IFERROR(__xludf.DUMMYFUNCTION("GOOGLETRANSLATE(B4912:B5064,""en"",""fr"")"),"maillot de bain")</f>
        <v>maillot de bain</v>
      </c>
    </row>
    <row r="4913" ht="19.5" customHeight="1">
      <c r="A4913" s="26" t="s">
        <v>13220</v>
      </c>
      <c r="B4913" s="27" t="s">
        <v>13221</v>
      </c>
      <c r="C4913" s="28" t="s">
        <v>134</v>
      </c>
      <c r="D4913" s="29">
        <v>34.0</v>
      </c>
      <c r="E4913" s="28" t="s">
        <v>13221</v>
      </c>
      <c r="F4913" s="7" t="str">
        <f>IFERROR(__xludf.DUMMYFUNCTION("GOOGLETRANSLATE(B4913:B5064,""en"",""fr"")"),"temporaire")</f>
        <v>temporaire</v>
      </c>
    </row>
    <row r="4914" ht="19.5" customHeight="1">
      <c r="A4914" s="26" t="s">
        <v>13222</v>
      </c>
      <c r="B4914" s="27" t="s">
        <v>13223</v>
      </c>
      <c r="C4914" s="28" t="s">
        <v>178</v>
      </c>
      <c r="D4914" s="29">
        <v>34.0</v>
      </c>
      <c r="E4914" s="28" t="s">
        <v>13224</v>
      </c>
      <c r="F4914" s="7" t="str">
        <f>IFERROR(__xludf.DUMMYFUNCTION("GOOGLETRANSLATE(B4914:B5064,""en"",""fr"")"),"Tequila")</f>
        <v>Tequila</v>
      </c>
    </row>
    <row r="4915" ht="19.5" customHeight="1">
      <c r="A4915" s="26" t="s">
        <v>13225</v>
      </c>
      <c r="B4915" s="27" t="s">
        <v>13226</v>
      </c>
      <c r="C4915" s="28" t="s">
        <v>134</v>
      </c>
      <c r="D4915" s="29">
        <v>34.0</v>
      </c>
      <c r="E4915" s="28" t="s">
        <v>13226</v>
      </c>
      <c r="F4915" s="7" t="str">
        <f>IFERROR(__xludf.DUMMYFUNCTION("GOOGLETRANSLATE(B4915:B5064,""en"",""fr"")"),"reconnaissant")</f>
        <v>reconnaissant</v>
      </c>
    </row>
    <row r="4916" ht="19.5" customHeight="1">
      <c r="A4916" s="26" t="s">
        <v>13227</v>
      </c>
      <c r="B4916" s="27" t="s">
        <v>13228</v>
      </c>
      <c r="C4916" s="28" t="s">
        <v>134</v>
      </c>
      <c r="D4916" s="29">
        <v>34.0</v>
      </c>
      <c r="E4916" s="28" t="s">
        <v>13228</v>
      </c>
      <c r="F4916" s="7" t="str">
        <f>IFERROR(__xludf.DUMMYFUNCTION("GOOGLETRANSLATE(B4916:B5064,""en"",""fr"")"),"tripler")</f>
        <v>tripler</v>
      </c>
    </row>
    <row r="4917" ht="19.5" customHeight="1">
      <c r="A4917" s="26" t="s">
        <v>13229</v>
      </c>
      <c r="B4917" s="27" t="s">
        <v>13230</v>
      </c>
      <c r="C4917" s="28" t="s">
        <v>32</v>
      </c>
      <c r="D4917" s="29">
        <v>34.0</v>
      </c>
      <c r="E4917" s="28" t="s">
        <v>13231</v>
      </c>
      <c r="F4917" s="7" t="str">
        <f>IFERROR(__xludf.DUMMYFUNCTION("GOOGLETRANSLATE(B4917:B5064,""en"",""fr"")"),"uriner")</f>
        <v>uriner</v>
      </c>
    </row>
    <row r="4918" ht="19.5" customHeight="1">
      <c r="A4918" s="26" t="s">
        <v>13232</v>
      </c>
      <c r="B4918" s="27" t="s">
        <v>13233</v>
      </c>
      <c r="C4918" s="28" t="s">
        <v>134</v>
      </c>
      <c r="D4918" s="29">
        <v>34.0</v>
      </c>
      <c r="E4918" s="28" t="s">
        <v>13233</v>
      </c>
      <c r="F4918" s="7" t="str">
        <f>IFERROR(__xludf.DUMMYFUNCTION("GOOGLETRANSLATE(B4918:B5064,""en"",""fr"")"),"valide")</f>
        <v>valide</v>
      </c>
    </row>
    <row r="4919" ht="19.5" customHeight="1">
      <c r="A4919" s="26" t="s">
        <v>13234</v>
      </c>
      <c r="B4919" s="27" t="s">
        <v>4191</v>
      </c>
      <c r="C4919" s="28" t="s">
        <v>32</v>
      </c>
      <c r="D4919" s="29">
        <v>34.0</v>
      </c>
      <c r="E4919" s="28" t="s">
        <v>13235</v>
      </c>
      <c r="F4919" s="7" t="str">
        <f>IFERROR(__xludf.DUMMYFUNCTION("GOOGLETRANSLATE(B4919:B5064,""en"",""fr"")"),"aile")</f>
        <v>aile</v>
      </c>
    </row>
    <row r="4920" ht="19.5" customHeight="1">
      <c r="A4920" s="26" t="s">
        <v>13236</v>
      </c>
      <c r="B4920" s="27" t="s">
        <v>13237</v>
      </c>
      <c r="C4920" s="28" t="s">
        <v>134</v>
      </c>
      <c r="D4920" s="29">
        <v>34.0</v>
      </c>
      <c r="E4920" s="28" t="s">
        <v>13237</v>
      </c>
      <c r="F4920" s="7" t="str">
        <f>IFERROR(__xludf.DUMMYFUNCTION("GOOGLETRANSLATE(B4920:B5064,""en"",""fr"")"),"gagnant")</f>
        <v>gagnant</v>
      </c>
    </row>
    <row r="4921" ht="19.5" customHeight="1">
      <c r="A4921" s="26" t="s">
        <v>13238</v>
      </c>
      <c r="B4921" s="27" t="s">
        <v>13239</v>
      </c>
      <c r="C4921" s="28" t="s">
        <v>178</v>
      </c>
      <c r="D4921" s="29">
        <v>34.0</v>
      </c>
      <c r="E4921" s="28" t="s">
        <v>13240</v>
      </c>
      <c r="F4921" s="7" t="str">
        <f>IFERROR(__xludf.DUMMYFUNCTION("GOOGLETRANSLATE(B4921:B5064,""en"",""fr"")"),"condamné")</f>
        <v>condamné</v>
      </c>
    </row>
    <row r="4922" ht="19.5" customHeight="1">
      <c r="A4922" s="26" t="s">
        <v>13241</v>
      </c>
      <c r="B4922" s="27" t="s">
        <v>13242</v>
      </c>
      <c r="C4922" s="28" t="s">
        <v>178</v>
      </c>
      <c r="D4922" s="29">
        <v>34.0</v>
      </c>
      <c r="E4922" s="28" t="s">
        <v>13243</v>
      </c>
      <c r="F4922" s="7" t="str">
        <f>IFERROR(__xludf.DUMMYFUNCTION("GOOGLETRANSLATE(B4922:B5064,""en"",""fr"")"),"couronne")</f>
        <v>couronne</v>
      </c>
    </row>
    <row r="4923" ht="19.5" customHeight="1">
      <c r="A4923" s="26" t="s">
        <v>13244</v>
      </c>
      <c r="B4923" s="27" t="s">
        <v>13245</v>
      </c>
      <c r="C4923" s="28" t="s">
        <v>32</v>
      </c>
      <c r="D4923" s="29">
        <v>33.0</v>
      </c>
      <c r="E4923" s="28" t="s">
        <v>13246</v>
      </c>
      <c r="F4923" s="7" t="str">
        <f>IFERROR(__xludf.DUMMYFUNCTION("GOOGLETRANSLATE(B4923:B5064,""en"",""fr"")"),"soie")</f>
        <v>soie</v>
      </c>
    </row>
    <row r="4924" ht="19.5" customHeight="1">
      <c r="A4924" s="26" t="s">
        <v>13247</v>
      </c>
      <c r="B4924" s="27" t="s">
        <v>13248</v>
      </c>
      <c r="C4924" s="28" t="s">
        <v>178</v>
      </c>
      <c r="D4924" s="29">
        <v>33.0</v>
      </c>
      <c r="E4924" s="28" t="s">
        <v>13249</v>
      </c>
      <c r="F4924" s="7" t="str">
        <f>IFERROR(__xludf.DUMMYFUNCTION("GOOGLETRANSLATE(B4924:B5064,""en"",""fr"")"),"ragoût")</f>
        <v>ragoût</v>
      </c>
    </row>
    <row r="4925" ht="19.5" customHeight="1">
      <c r="A4925" s="26" t="s">
        <v>13250</v>
      </c>
      <c r="B4925" s="27" t="s">
        <v>13251</v>
      </c>
      <c r="C4925" s="28" t="s">
        <v>178</v>
      </c>
      <c r="D4925" s="29">
        <v>33.0</v>
      </c>
      <c r="E4925" s="28" t="s">
        <v>13252</v>
      </c>
      <c r="F4925" s="7" t="str">
        <f>IFERROR(__xludf.DUMMYFUNCTION("GOOGLETRANSLATE(B4925:B5064,""en"",""fr"")"),"administration")</f>
        <v>administration</v>
      </c>
    </row>
    <row r="4926" ht="19.5" customHeight="1">
      <c r="A4926" s="26" t="s">
        <v>13253</v>
      </c>
      <c r="B4926" s="27" t="s">
        <v>13254</v>
      </c>
      <c r="C4926" s="28" t="s">
        <v>178</v>
      </c>
      <c r="D4926" s="29">
        <v>33.0</v>
      </c>
      <c r="E4926" s="28" t="s">
        <v>13255</v>
      </c>
      <c r="F4926" s="7" t="str">
        <f>IFERROR(__xludf.DUMMYFUNCTION("GOOGLETRANSLATE(B4926:B5064,""en"",""fr"")"),"enchères")</f>
        <v>enchères</v>
      </c>
    </row>
    <row r="4927" ht="19.5" customHeight="1">
      <c r="A4927" s="26" t="s">
        <v>13256</v>
      </c>
      <c r="B4927" s="27" t="s">
        <v>13257</v>
      </c>
      <c r="C4927" s="28" t="s">
        <v>178</v>
      </c>
      <c r="D4927" s="29">
        <v>33.0</v>
      </c>
      <c r="E4927" s="28" t="s">
        <v>13258</v>
      </c>
      <c r="F4927" s="7" t="str">
        <f>IFERROR(__xludf.DUMMYFUNCTION("GOOGLETRANSLATE(B4927:B5064,""en"",""fr"")"),"panneau d'affichage")</f>
        <v>panneau d'affichage</v>
      </c>
    </row>
    <row r="4928" ht="19.5" customHeight="1">
      <c r="A4928" s="26" t="s">
        <v>13259</v>
      </c>
      <c r="B4928" s="27" t="s">
        <v>13260</v>
      </c>
      <c r="C4928" s="28" t="s">
        <v>178</v>
      </c>
      <c r="D4928" s="29">
        <v>33.0</v>
      </c>
      <c r="E4928" s="28" t="s">
        <v>13261</v>
      </c>
      <c r="F4928" s="7" t="str">
        <f>IFERROR(__xludf.DUMMYFUNCTION("GOOGLETRANSLATE(B4928:B5064,""en"",""fr"")"),"bouquet")</f>
        <v>bouquet</v>
      </c>
    </row>
    <row r="4929" ht="19.5" customHeight="1">
      <c r="A4929" s="26" t="s">
        <v>13262</v>
      </c>
      <c r="B4929" s="27" t="s">
        <v>13263</v>
      </c>
      <c r="C4929" s="28" t="s">
        <v>178</v>
      </c>
      <c r="D4929" s="29">
        <v>33.0</v>
      </c>
      <c r="E4929" s="28" t="s">
        <v>13264</v>
      </c>
      <c r="F4929" s="7" t="str">
        <f>IFERROR(__xludf.DUMMYFUNCTION("GOOGLETRANSLATE(B4929:B5064,""en"",""fr"")"),"Bourbon")</f>
        <v>Bourbon</v>
      </c>
    </row>
    <row r="4930" ht="19.5" customHeight="1">
      <c r="A4930" s="26" t="s">
        <v>13265</v>
      </c>
      <c r="B4930" s="27" t="s">
        <v>13266</v>
      </c>
      <c r="C4930" s="28" t="s">
        <v>32</v>
      </c>
      <c r="D4930" s="29">
        <v>33.0</v>
      </c>
      <c r="E4930" s="28" t="s">
        <v>13267</v>
      </c>
      <c r="F4930" s="7" t="str">
        <f>IFERROR(__xludf.DUMMYFUNCTION("GOOGLETRANSLATE(B4930:B5064,""en"",""fr"")"),"lavage de cerveau")</f>
        <v>lavage de cerveau</v>
      </c>
    </row>
    <row r="4931" ht="19.5" customHeight="1">
      <c r="A4931" s="26" t="s">
        <v>13268</v>
      </c>
      <c r="B4931" s="27" t="s">
        <v>13269</v>
      </c>
      <c r="C4931" s="28" t="s">
        <v>178</v>
      </c>
      <c r="D4931" s="29">
        <v>33.0</v>
      </c>
      <c r="E4931" s="28" t="s">
        <v>13270</v>
      </c>
      <c r="F4931" s="7" t="str">
        <f>IFERROR(__xludf.DUMMYFUNCTION("GOOGLETRANSLATE(B4931:B5064,""en"",""fr"")"),"panne")</f>
        <v>panne</v>
      </c>
    </row>
    <row r="4932" ht="19.5" customHeight="1">
      <c r="A4932" s="26" t="s">
        <v>13271</v>
      </c>
      <c r="B4932" s="27" t="s">
        <v>13272</v>
      </c>
      <c r="C4932" s="28" t="s">
        <v>178</v>
      </c>
      <c r="D4932" s="29">
        <v>33.0</v>
      </c>
      <c r="E4932" s="28" t="s">
        <v>13273</v>
      </c>
      <c r="F4932" s="7" t="str">
        <f>IFERROR(__xludf.DUMMYFUNCTION("GOOGLETRANSLATE(B4932:B5064,""en"",""fr"")"),"caramel")</f>
        <v>caramel</v>
      </c>
    </row>
    <row r="4933" ht="19.5" customHeight="1">
      <c r="A4933" s="26" t="s">
        <v>13274</v>
      </c>
      <c r="B4933" s="27" t="s">
        <v>13275</v>
      </c>
      <c r="C4933" s="28" t="s">
        <v>178</v>
      </c>
      <c r="D4933" s="29">
        <v>33.0</v>
      </c>
      <c r="E4933" s="28" t="s">
        <v>13276</v>
      </c>
      <c r="F4933" s="7" t="str">
        <f>IFERROR(__xludf.DUMMYFUNCTION("GOOGLETRANSLATE(B4933:B5064,""en"",""fr"")"),"fonderie")</f>
        <v>fonderie</v>
      </c>
    </row>
    <row r="4934" ht="19.5" customHeight="1">
      <c r="A4934" s="26" t="s">
        <v>13277</v>
      </c>
      <c r="B4934" s="27" t="s">
        <v>13278</v>
      </c>
      <c r="C4934" s="28" t="s">
        <v>32</v>
      </c>
      <c r="D4934" s="29">
        <v>33.0</v>
      </c>
      <c r="E4934" s="28" t="s">
        <v>13279</v>
      </c>
      <c r="F4934" s="7" t="str">
        <f>IFERROR(__xludf.DUMMYFUNCTION("GOOGLETRANSLATE(B4934:B5064,""en"",""fr"")"),"cesser")</f>
        <v>cesser</v>
      </c>
    </row>
    <row r="4935" ht="19.5" customHeight="1">
      <c r="A4935" s="26" t="s">
        <v>13280</v>
      </c>
      <c r="B4935" s="27" t="s">
        <v>13281</v>
      </c>
      <c r="C4935" s="28" t="s">
        <v>134</v>
      </c>
      <c r="D4935" s="29">
        <v>33.0</v>
      </c>
      <c r="E4935" s="28" t="s">
        <v>13282</v>
      </c>
      <c r="F4935" s="7" t="str">
        <f>IFERROR(__xludf.DUMMYFUNCTION("GOOGLETRANSLATE(B4935:B5064,""en"",""fr"")"),"ringard")</f>
        <v>ringard</v>
      </c>
    </row>
    <row r="4936" ht="19.5" customHeight="1">
      <c r="A4936" s="26" t="s">
        <v>13283</v>
      </c>
      <c r="B4936" s="27" t="s">
        <v>3822</v>
      </c>
      <c r="C4936" s="28" t="s">
        <v>32</v>
      </c>
      <c r="D4936" s="29">
        <v>33.0</v>
      </c>
      <c r="E4936" s="28" t="s">
        <v>13284</v>
      </c>
      <c r="F4936" s="7" t="str">
        <f>IFERROR(__xludf.DUMMYFUNCTION("GOOGLETRANSLATE(B4936:B5064,""en"",""fr"")"),"ébrécher")</f>
        <v>ébrécher</v>
      </c>
    </row>
    <row r="4937" ht="19.5" customHeight="1">
      <c r="A4937" s="26" t="s">
        <v>13285</v>
      </c>
      <c r="B4937" s="27" t="s">
        <v>13286</v>
      </c>
      <c r="C4937" s="28" t="s">
        <v>178</v>
      </c>
      <c r="D4937" s="29">
        <v>33.0</v>
      </c>
      <c r="E4937" s="28" t="s">
        <v>13287</v>
      </c>
      <c r="F4937" s="7" t="str">
        <f>IFERROR(__xludf.DUMMYFUNCTION("GOOGLETRANSLATE(B4937:B5064,""en"",""fr"")"),"chorale")</f>
        <v>chorale</v>
      </c>
    </row>
    <row r="4938" ht="19.5" customHeight="1">
      <c r="A4938" s="26" t="s">
        <v>13288</v>
      </c>
      <c r="B4938" s="27" t="s">
        <v>13289</v>
      </c>
      <c r="C4938" s="28" t="s">
        <v>134</v>
      </c>
      <c r="D4938" s="29">
        <v>33.0</v>
      </c>
      <c r="E4938" s="28" t="s">
        <v>13290</v>
      </c>
      <c r="F4938" s="7" t="str">
        <f>IFERROR(__xludf.DUMMYFUNCTION("GOOGLETRANSLATE(B4938:B5064,""en"",""fr"")"),"arrogant")</f>
        <v>arrogant</v>
      </c>
    </row>
    <row r="4939" ht="19.5" customHeight="1">
      <c r="A4939" s="26" t="s">
        <v>13291</v>
      </c>
      <c r="B4939" s="27" t="s">
        <v>13292</v>
      </c>
      <c r="C4939" s="28" t="s">
        <v>178</v>
      </c>
      <c r="D4939" s="29">
        <v>33.0</v>
      </c>
      <c r="E4939" s="28" t="s">
        <v>13293</v>
      </c>
      <c r="F4939" s="7" t="str">
        <f>IFERROR(__xludf.DUMMYFUNCTION("GOOGLETRANSLATE(B4939:B5064,""en"",""fr"")"),"contraction")</f>
        <v>contraction</v>
      </c>
    </row>
    <row r="4940" ht="19.5" customHeight="1">
      <c r="A4940" s="26" t="s">
        <v>13294</v>
      </c>
      <c r="B4940" s="27" t="s">
        <v>13295</v>
      </c>
      <c r="C4940" s="28" t="s">
        <v>178</v>
      </c>
      <c r="D4940" s="29">
        <v>33.0</v>
      </c>
      <c r="E4940" s="28" t="s">
        <v>13296</v>
      </c>
      <c r="F4940" s="7" t="str">
        <f>IFERROR(__xludf.DUMMYFUNCTION("GOOGLETRANSLATE(B4940:B5064,""en"",""fr"")"),"créateur")</f>
        <v>créateur</v>
      </c>
    </row>
    <row r="4941" ht="19.5" customHeight="1">
      <c r="A4941" s="26" t="s">
        <v>13297</v>
      </c>
      <c r="B4941" s="27" t="s">
        <v>12464</v>
      </c>
      <c r="C4941" s="28" t="s">
        <v>178</v>
      </c>
      <c r="D4941" s="29">
        <v>33.0</v>
      </c>
      <c r="E4941" s="28" t="s">
        <v>13298</v>
      </c>
      <c r="F4941" s="7" t="str">
        <f>IFERROR(__xludf.DUMMYFUNCTION("GOOGLETRANSLATE(B4941:B5064,""en"",""fr"")"),"vidange")</f>
        <v>vidange</v>
      </c>
    </row>
    <row r="4942" ht="19.5" customHeight="1">
      <c r="A4942" s="26" t="s">
        <v>13299</v>
      </c>
      <c r="B4942" s="27" t="s">
        <v>13300</v>
      </c>
      <c r="C4942" s="28" t="s">
        <v>32</v>
      </c>
      <c r="D4942" s="29">
        <v>33.0</v>
      </c>
      <c r="E4942" s="28" t="s">
        <v>13301</v>
      </c>
      <c r="F4942" s="7" t="str">
        <f>IFERROR(__xludf.DUMMYFUNCTION("GOOGLETRANSLATE(B4942:B5064,""en"",""fr"")"),"goutte")</f>
        <v>goutte</v>
      </c>
    </row>
    <row r="4943" ht="19.5" customHeight="1">
      <c r="A4943" s="26" t="s">
        <v>13302</v>
      </c>
      <c r="B4943" s="27" t="s">
        <v>13303</v>
      </c>
      <c r="C4943" s="28" t="s">
        <v>178</v>
      </c>
      <c r="D4943" s="29">
        <v>33.0</v>
      </c>
      <c r="E4943" s="28" t="s">
        <v>13304</v>
      </c>
      <c r="F4943" s="7" t="str">
        <f>IFERROR(__xludf.DUMMYFUNCTION("GOOGLETRANSLATE(B4943:B5064,""en"",""fr"")"),"Expresso")</f>
        <v>Expresso</v>
      </c>
    </row>
    <row r="4944" ht="19.5" customHeight="1">
      <c r="A4944" s="26" t="s">
        <v>13305</v>
      </c>
      <c r="B4944" s="27" t="s">
        <v>13306</v>
      </c>
      <c r="C4944" s="28" t="s">
        <v>178</v>
      </c>
      <c r="D4944" s="29">
        <v>33.0</v>
      </c>
      <c r="E4944" s="28" t="s">
        <v>13307</v>
      </c>
      <c r="F4944" s="7" t="str">
        <f>IFERROR(__xludf.DUMMYFUNCTION("GOOGLETRANSLATE(B4944:B5064,""en"",""fr"")"),"essence")</f>
        <v>essence</v>
      </c>
    </row>
    <row r="4945" ht="19.5" customHeight="1">
      <c r="A4945" s="26" t="s">
        <v>13308</v>
      </c>
      <c r="B4945" s="27" t="s">
        <v>13309</v>
      </c>
      <c r="C4945" s="28" t="s">
        <v>178</v>
      </c>
      <c r="D4945" s="29">
        <v>33.0</v>
      </c>
      <c r="E4945" s="28" t="s">
        <v>13310</v>
      </c>
      <c r="F4945" s="7" t="str">
        <f>IFERROR(__xludf.DUMMYFUNCTION("GOOGLETRANSLATE(B4945:B5064,""en"",""fr"")"),"exclamation")</f>
        <v>exclamation</v>
      </c>
    </row>
    <row r="4946" ht="19.5" customHeight="1">
      <c r="A4946" s="26" t="s">
        <v>13311</v>
      </c>
      <c r="B4946" s="27" t="s">
        <v>13312</v>
      </c>
      <c r="C4946" s="28" t="s">
        <v>134</v>
      </c>
      <c r="D4946" s="29">
        <v>33.0</v>
      </c>
      <c r="E4946" s="28" t="s">
        <v>13312</v>
      </c>
      <c r="F4946" s="7" t="str">
        <f>IFERROR(__xludf.DUMMYFUNCTION("GOOGLETRANSLATE(B4946:B5064,""en"",""fr"")"),"expérimental")</f>
        <v>expérimental</v>
      </c>
    </row>
    <row r="4947" ht="19.5" customHeight="1">
      <c r="A4947" s="26" t="s">
        <v>13313</v>
      </c>
      <c r="B4947" s="27" t="s">
        <v>13314</v>
      </c>
      <c r="C4947" s="28" t="s">
        <v>178</v>
      </c>
      <c r="D4947" s="29">
        <v>33.0</v>
      </c>
      <c r="E4947" s="28" t="s">
        <v>13315</v>
      </c>
      <c r="F4947" s="7" t="str">
        <f>IFERROR(__xludf.DUMMYFUNCTION("GOOGLETRANSLATE(B4947:B5064,""en"",""fr"")"),"la faculté")</f>
        <v>la faculté</v>
      </c>
    </row>
    <row r="4948" ht="19.5" customHeight="1">
      <c r="A4948" s="26" t="s">
        <v>13316</v>
      </c>
      <c r="B4948" s="27" t="s">
        <v>4479</v>
      </c>
      <c r="C4948" s="28" t="s">
        <v>178</v>
      </c>
      <c r="D4948" s="29">
        <v>33.0</v>
      </c>
      <c r="E4948" s="28" t="s">
        <v>13317</v>
      </c>
      <c r="F4948" s="7" t="str">
        <f>IFERROR(__xludf.DUMMYFUNCTION("GOOGLETRANSLATE(B4948:B5064,""en"",""fr"")"),"femelle")</f>
        <v>femelle</v>
      </c>
    </row>
    <row r="4949" ht="19.5" customHeight="1">
      <c r="A4949" s="26" t="s">
        <v>13318</v>
      </c>
      <c r="B4949" s="27" t="s">
        <v>13319</v>
      </c>
      <c r="C4949" s="28" t="s">
        <v>178</v>
      </c>
      <c r="D4949" s="29">
        <v>33.0</v>
      </c>
      <c r="E4949" s="28" t="s">
        <v>13320</v>
      </c>
      <c r="F4949" s="7" t="str">
        <f>IFERROR(__xludf.DUMMYFUNCTION("GOOGLETRANSLATE(B4949:B5064,""en"",""fr"")"),"final")</f>
        <v>final</v>
      </c>
    </row>
    <row r="4950" ht="19.5" customHeight="1">
      <c r="A4950" s="26" t="s">
        <v>13321</v>
      </c>
      <c r="B4950" s="27" t="s">
        <v>13322</v>
      </c>
      <c r="C4950" s="28" t="s">
        <v>178</v>
      </c>
      <c r="D4950" s="29">
        <v>33.0</v>
      </c>
      <c r="E4950" s="28" t="s">
        <v>13323</v>
      </c>
      <c r="F4950" s="7" t="str">
        <f>IFERROR(__xludf.DUMMYFUNCTION("GOOGLETRANSLATE(B4950:B5064,""en"",""fr"")"),"défaut")</f>
        <v>défaut</v>
      </c>
    </row>
    <row r="4951" ht="19.5" customHeight="1">
      <c r="A4951" s="26" t="s">
        <v>13324</v>
      </c>
      <c r="B4951" s="27" t="s">
        <v>13325</v>
      </c>
      <c r="C4951" s="28" t="s">
        <v>178</v>
      </c>
      <c r="D4951" s="29">
        <v>33.0</v>
      </c>
      <c r="E4951" s="28" t="s">
        <v>13326</v>
      </c>
      <c r="F4951" s="7" t="str">
        <f>IFERROR(__xludf.DUMMYFUNCTION("GOOGLETRANSLATE(B4951:B5064,""en"",""fr"")"),"gallon")</f>
        <v>gallon</v>
      </c>
    </row>
    <row r="4952" ht="19.5" customHeight="1">
      <c r="A4952" s="26" t="s">
        <v>13327</v>
      </c>
      <c r="B4952" s="27" t="s">
        <v>13328</v>
      </c>
      <c r="C4952" s="28" t="s">
        <v>178</v>
      </c>
      <c r="D4952" s="29">
        <v>33.0</v>
      </c>
      <c r="E4952" s="28" t="s">
        <v>13329</v>
      </c>
      <c r="F4952" s="7" t="str">
        <f>IFERROR(__xludf.DUMMYFUNCTION("GOOGLETRANSLATE(B4952:B5064,""en"",""fr"")"),"jardinier")</f>
        <v>jardinier</v>
      </c>
    </row>
    <row r="4953" ht="19.5" customHeight="1">
      <c r="A4953" s="26" t="s">
        <v>13330</v>
      </c>
      <c r="B4953" s="27" t="s">
        <v>13331</v>
      </c>
      <c r="C4953" s="28" t="s">
        <v>134</v>
      </c>
      <c r="D4953" s="29">
        <v>33.0</v>
      </c>
      <c r="E4953" s="28" t="s">
        <v>13332</v>
      </c>
      <c r="F4953" s="7" t="str">
        <f>IFERROR(__xludf.DUMMYFUNCTION("GOOGLETRANSLATE(B4953:B5064,""en"",""fr"")"),"graisseux")</f>
        <v>graisseux</v>
      </c>
    </row>
    <row r="4954" ht="19.5" customHeight="1">
      <c r="A4954" s="26" t="s">
        <v>13333</v>
      </c>
      <c r="B4954" s="27" t="s">
        <v>8377</v>
      </c>
      <c r="C4954" s="28" t="s">
        <v>32</v>
      </c>
      <c r="D4954" s="29">
        <v>33.0</v>
      </c>
      <c r="E4954" s="28" t="s">
        <v>13334</v>
      </c>
      <c r="F4954" s="7" t="str">
        <f>IFERROR(__xludf.DUMMYFUNCTION("GOOGLETRANSLATE(B4954:B5064,""en"",""fr"")"),"guide")</f>
        <v>guide</v>
      </c>
    </row>
    <row r="4955" ht="19.5" customHeight="1">
      <c r="A4955" s="26" t="s">
        <v>13335</v>
      </c>
      <c r="B4955" s="27" t="s">
        <v>13336</v>
      </c>
      <c r="C4955" s="28" t="s">
        <v>178</v>
      </c>
      <c r="D4955" s="29">
        <v>33.0</v>
      </c>
      <c r="E4955" s="28" t="s">
        <v>13337</v>
      </c>
      <c r="F4955" s="7" t="str">
        <f>IFERROR(__xludf.DUMMYFUNCTION("GOOGLETRANSLATE(B4955:B5064,""en"",""fr"")"),"hamac")</f>
        <v>hamac</v>
      </c>
    </row>
    <row r="4956" ht="19.5" customHeight="1">
      <c r="A4956" s="26" t="s">
        <v>13338</v>
      </c>
      <c r="B4956" s="27" t="s">
        <v>13339</v>
      </c>
      <c r="C4956" s="28" t="s">
        <v>4654</v>
      </c>
      <c r="D4956" s="29">
        <v>33.0</v>
      </c>
      <c r="E4956" s="28" t="s">
        <v>13339</v>
      </c>
      <c r="F4956" s="7" t="str">
        <f>IFERROR(__xludf.DUMMYFUNCTION("GOOGLETRANSLATE(B4956:B5064,""en"",""fr"")"),"VIH")</f>
        <v>VIH</v>
      </c>
    </row>
    <row r="4957" ht="19.5" customHeight="1">
      <c r="A4957" s="26" t="s">
        <v>13340</v>
      </c>
      <c r="B4957" s="27" t="s">
        <v>13341</v>
      </c>
      <c r="C4957" s="28" t="s">
        <v>178</v>
      </c>
      <c r="D4957" s="29">
        <v>33.0</v>
      </c>
      <c r="E4957" s="28" t="s">
        <v>13342</v>
      </c>
      <c r="F4957" s="7" t="str">
        <f>IFERROR(__xludf.DUMMYFUNCTION("GOOGLETRANSLATE(B4957:B5064,""en"",""fr"")"),"hôtesse")</f>
        <v>hôtesse</v>
      </c>
    </row>
    <row r="4958" ht="19.5" customHeight="1">
      <c r="A4958" s="26" t="s">
        <v>13343</v>
      </c>
      <c r="B4958" s="27" t="s">
        <v>13344</v>
      </c>
      <c r="C4958" s="28" t="s">
        <v>178</v>
      </c>
      <c r="D4958" s="29">
        <v>33.0</v>
      </c>
      <c r="E4958" s="28" t="s">
        <v>13345</v>
      </c>
      <c r="F4958" s="7" t="str">
        <f>IFERROR(__xludf.DUMMYFUNCTION("GOOGLETRANSLATE(B4958:B5064,""en"",""fr"")"),"initiative")</f>
        <v>initiative</v>
      </c>
    </row>
    <row r="4959" ht="19.5" customHeight="1">
      <c r="A4959" s="26" t="s">
        <v>13346</v>
      </c>
      <c r="B4959" s="27" t="s">
        <v>517</v>
      </c>
      <c r="C4959" s="28" t="s">
        <v>134</v>
      </c>
      <c r="D4959" s="29">
        <v>33.0</v>
      </c>
      <c r="E4959" s="28" t="s">
        <v>517</v>
      </c>
      <c r="F4959" s="7" t="str">
        <f>IFERROR(__xludf.DUMMYFUNCTION("GOOGLETRANSLATE(B4959:B5064,""en"",""fr"")"),"en direct")</f>
        <v>en direct</v>
      </c>
    </row>
    <row r="4960" ht="19.5" customHeight="1">
      <c r="A4960" s="26" t="s">
        <v>13347</v>
      </c>
      <c r="B4960" s="27" t="s">
        <v>13348</v>
      </c>
      <c r="C4960" s="28" t="s">
        <v>178</v>
      </c>
      <c r="D4960" s="29">
        <v>33.0</v>
      </c>
      <c r="E4960" s="28" t="s">
        <v>13349</v>
      </c>
      <c r="F4960" s="7" t="str">
        <f>IFERROR(__xludf.DUMMYFUNCTION("GOOGLETRANSLATE(B4960:B5064,""en"",""fr"")"),"foie")</f>
        <v>foie</v>
      </c>
    </row>
    <row r="4961" ht="19.5" customHeight="1">
      <c r="A4961" s="26" t="s">
        <v>13350</v>
      </c>
      <c r="B4961" s="27" t="s">
        <v>8200</v>
      </c>
      <c r="C4961" s="28" t="s">
        <v>178</v>
      </c>
      <c r="D4961" s="29">
        <v>33.0</v>
      </c>
      <c r="E4961" s="28" t="s">
        <v>13351</v>
      </c>
      <c r="F4961" s="7" t="str">
        <f>IFERROR(__xludf.DUMMYFUNCTION("GOOGLETRANSLATE(B4961:B5064,""en"",""fr"")"),"prêt")</f>
        <v>prêt</v>
      </c>
    </row>
    <row r="4962" ht="19.5" customHeight="1">
      <c r="A4962" s="26" t="s">
        <v>13352</v>
      </c>
      <c r="B4962" s="27" t="s">
        <v>13353</v>
      </c>
      <c r="C4962" s="28" t="s">
        <v>178</v>
      </c>
      <c r="D4962" s="29">
        <v>33.0</v>
      </c>
      <c r="E4962" s="28" t="s">
        <v>13354</v>
      </c>
      <c r="F4962" s="7" t="str">
        <f>IFERROR(__xludf.DUMMYFUNCTION("GOOGLETRANSLATE(B4962:B5064,""en"",""fr"")"),"sirène")</f>
        <v>sirène</v>
      </c>
    </row>
    <row r="4963" ht="19.5" customHeight="1">
      <c r="A4963" s="26" t="s">
        <v>13355</v>
      </c>
      <c r="B4963" s="27" t="s">
        <v>9730</v>
      </c>
      <c r="C4963" s="28" t="s">
        <v>134</v>
      </c>
      <c r="D4963" s="29">
        <v>33.0</v>
      </c>
      <c r="E4963" s="28" t="s">
        <v>9730</v>
      </c>
      <c r="F4963" s="7" t="str">
        <f>IFERROR(__xludf.DUMMYFUNCTION("GOOGLETRANSLATE(B4963:B5064,""en"",""fr"")"),"militaire")</f>
        <v>militaire</v>
      </c>
    </row>
    <row r="4964" ht="19.5" customHeight="1">
      <c r="A4964" s="26" t="s">
        <v>13356</v>
      </c>
      <c r="B4964" s="27" t="s">
        <v>13357</v>
      </c>
      <c r="C4964" s="28" t="s">
        <v>32</v>
      </c>
      <c r="D4964" s="29">
        <v>33.0</v>
      </c>
      <c r="E4964" s="28" t="s">
        <v>13358</v>
      </c>
      <c r="F4964" s="7" t="str">
        <f>IFERROR(__xludf.DUMMYFUNCTION("GOOGLETRANSLATE(B4964:B5064,""en"",""fr"")"),"se mélanger")</f>
        <v>se mélanger</v>
      </c>
    </row>
    <row r="4965" ht="19.5" customHeight="1">
      <c r="A4965" s="26" t="s">
        <v>13359</v>
      </c>
      <c r="B4965" s="27" t="s">
        <v>13360</v>
      </c>
      <c r="C4965" s="28" t="s">
        <v>178</v>
      </c>
      <c r="D4965" s="29">
        <v>33.0</v>
      </c>
      <c r="E4965" s="28" t="s">
        <v>13360</v>
      </c>
      <c r="F4965" s="7" t="str">
        <f>IFERROR(__xludf.DUMMYFUNCTION("GOOGLETRANSLATE(B4965:B5064,""en"",""fr"")"),"élan")</f>
        <v>élan</v>
      </c>
    </row>
    <row r="4966" ht="19.5" customHeight="1">
      <c r="A4966" s="26" t="s">
        <v>13361</v>
      </c>
      <c r="B4966" s="27" t="s">
        <v>13362</v>
      </c>
      <c r="C4966" s="28" t="s">
        <v>178</v>
      </c>
      <c r="D4966" s="29">
        <v>33.0</v>
      </c>
      <c r="E4966" s="28" t="s">
        <v>13363</v>
      </c>
      <c r="F4966" s="7" t="str">
        <f>IFERROR(__xludf.DUMMYFUNCTION("GOOGLETRANSLATE(B4966:B5064,""en"",""fr"")"),"moustique")</f>
        <v>moustique</v>
      </c>
    </row>
    <row r="4967" ht="19.5" customHeight="1">
      <c r="A4967" s="26" t="s">
        <v>13364</v>
      </c>
      <c r="B4967" s="27" t="s">
        <v>13365</v>
      </c>
      <c r="C4967" s="28" t="s">
        <v>178</v>
      </c>
      <c r="D4967" s="29">
        <v>33.0</v>
      </c>
      <c r="E4967" s="28" t="s">
        <v>13366</v>
      </c>
      <c r="F4967" s="7" t="str">
        <f>IFERROR(__xludf.DUMMYFUNCTION("GOOGLETRANSLATE(B4967:B5064,""en"",""fr"")"),"mural")</f>
        <v>mural</v>
      </c>
    </row>
    <row r="4968" ht="19.5" customHeight="1">
      <c r="A4968" s="26" t="s">
        <v>13367</v>
      </c>
      <c r="B4968" s="27" t="s">
        <v>13368</v>
      </c>
      <c r="C4968" s="28" t="s">
        <v>36</v>
      </c>
      <c r="D4968" s="29">
        <v>33.0</v>
      </c>
      <c r="E4968" s="28" t="s">
        <v>13368</v>
      </c>
      <c r="F4968" s="7" t="str">
        <f>IFERROR(__xludf.DUMMYFUNCTION("GOOGLETRANSLATE(B4968:B5064,""en"",""fr"")"),"personne")</f>
        <v>personne</v>
      </c>
    </row>
    <row r="4969" ht="19.5" customHeight="1">
      <c r="A4969" s="26" t="s">
        <v>13369</v>
      </c>
      <c r="B4969" s="27" t="s">
        <v>13370</v>
      </c>
      <c r="C4969" s="28" t="s">
        <v>36</v>
      </c>
      <c r="D4969" s="29">
        <v>33.0</v>
      </c>
      <c r="E4969" s="28" t="s">
        <v>13371</v>
      </c>
      <c r="F4969" s="7" t="str">
        <f>IFERROR(__xludf.DUMMYFUNCTION("GOOGLETRANSLATE(B4969:B5064,""en"",""fr"")"),"non")</f>
        <v>non</v>
      </c>
    </row>
    <row r="4970" ht="19.5" customHeight="1">
      <c r="A4970" s="26" t="s">
        <v>13372</v>
      </c>
      <c r="B4970" s="27" t="s">
        <v>7035</v>
      </c>
      <c r="C4970" s="28" t="s">
        <v>134</v>
      </c>
      <c r="D4970" s="29">
        <v>33.0</v>
      </c>
      <c r="E4970" s="28" t="s">
        <v>7035</v>
      </c>
      <c r="F4970" s="7" t="str">
        <f>IFERROR(__xludf.DUMMYFUNCTION("GOOGLETRANSLATE(B4970:B5064,""en"",""fr"")"),"ouverture")</f>
        <v>ouverture</v>
      </c>
    </row>
    <row r="4971" ht="19.5" customHeight="1">
      <c r="A4971" s="26" t="s">
        <v>13373</v>
      </c>
      <c r="B4971" s="27" t="s">
        <v>13374</v>
      </c>
      <c r="C4971" s="28" t="s">
        <v>178</v>
      </c>
      <c r="D4971" s="29">
        <v>33.0</v>
      </c>
      <c r="E4971" s="28" t="s">
        <v>13375</v>
      </c>
      <c r="F4971" s="7" t="str">
        <f>IFERROR(__xludf.DUMMYFUNCTION("GOOGLETRANSLATE(B4971:B5064,""en"",""fr"")"),"orchestre")</f>
        <v>orchestre</v>
      </c>
    </row>
    <row r="4972" ht="19.5" customHeight="1">
      <c r="A4972" s="26" t="s">
        <v>13376</v>
      </c>
      <c r="B4972" s="27" t="s">
        <v>13377</v>
      </c>
      <c r="C4972" s="28" t="s">
        <v>178</v>
      </c>
      <c r="D4972" s="29">
        <v>33.0</v>
      </c>
      <c r="E4972" s="28" t="s">
        <v>13378</v>
      </c>
      <c r="F4972" s="7" t="str">
        <f>IFERROR(__xludf.DUMMYFUNCTION("GOOGLETRANSLATE(B4972:B5064,""en"",""fr"")"),"orphelinat")</f>
        <v>orphelinat</v>
      </c>
    </row>
    <row r="4973" ht="19.5" customHeight="1">
      <c r="A4973" s="26" t="s">
        <v>13379</v>
      </c>
      <c r="B4973" s="27" t="s">
        <v>13380</v>
      </c>
      <c r="C4973" s="28" t="s">
        <v>178</v>
      </c>
      <c r="D4973" s="29">
        <v>33.0</v>
      </c>
      <c r="E4973" s="28" t="s">
        <v>13381</v>
      </c>
      <c r="F4973" s="7" t="str">
        <f>IFERROR(__xludf.DUMMYFUNCTION("GOOGLETRANSLATE(B4973:B5064,""en"",""fr"")"),"bouton")</f>
        <v>bouton</v>
      </c>
    </row>
    <row r="4974" ht="19.5" customHeight="1">
      <c r="A4974" s="26" t="s">
        <v>13382</v>
      </c>
      <c r="B4974" s="27" t="s">
        <v>13383</v>
      </c>
      <c r="C4974" s="28" t="s">
        <v>178</v>
      </c>
      <c r="D4974" s="29">
        <v>33.0</v>
      </c>
      <c r="E4974" s="28" t="s">
        <v>13384</v>
      </c>
      <c r="F4974" s="7" t="str">
        <f>IFERROR(__xludf.DUMMYFUNCTION("GOOGLETRANSLATE(B4974:B5064,""en"",""fr"")"),"portail")</f>
        <v>portail</v>
      </c>
    </row>
    <row r="4975" ht="19.5" customHeight="1">
      <c r="A4975" s="26" t="s">
        <v>13385</v>
      </c>
      <c r="B4975" s="27" t="s">
        <v>13386</v>
      </c>
      <c r="C4975" s="28" t="s">
        <v>178</v>
      </c>
      <c r="D4975" s="29">
        <v>33.0</v>
      </c>
      <c r="E4975" s="28" t="s">
        <v>13387</v>
      </c>
      <c r="F4975" s="7" t="str">
        <f>IFERROR(__xludf.DUMMYFUNCTION("GOOGLETRANSLATE(B4975:B5064,""en"",""fr"")"),"piquer")</f>
        <v>piquer</v>
      </c>
    </row>
    <row r="4976" ht="19.5" customHeight="1">
      <c r="A4976" s="26" t="s">
        <v>13388</v>
      </c>
      <c r="B4976" s="27" t="s">
        <v>13389</v>
      </c>
      <c r="C4976" s="28" t="s">
        <v>134</v>
      </c>
      <c r="D4976" s="29">
        <v>33.0</v>
      </c>
      <c r="E4976" s="28" t="s">
        <v>13389</v>
      </c>
      <c r="F4976" s="7" t="str">
        <f>IFERROR(__xludf.DUMMYFUNCTION("GOOGLETRANSLATE(B4976:B5064,""en"",""fr"")"),"psychologique")</f>
        <v>psychologique</v>
      </c>
    </row>
    <row r="4977" ht="19.5" customHeight="1">
      <c r="A4977" s="26" t="s">
        <v>13390</v>
      </c>
      <c r="B4977" s="27" t="s">
        <v>13391</v>
      </c>
      <c r="C4977" s="28" t="s">
        <v>32</v>
      </c>
      <c r="D4977" s="29">
        <v>33.0</v>
      </c>
      <c r="E4977" s="28" t="s">
        <v>13392</v>
      </c>
      <c r="F4977" s="7" t="str">
        <f>IFERROR(__xludf.DUMMYFUNCTION("GOOGLETRANSLATE(B4977:B5064,""en"",""fr"")"),"reconstruire")</f>
        <v>reconstruire</v>
      </c>
    </row>
    <row r="4978" ht="19.5" customHeight="1">
      <c r="A4978" s="26" t="s">
        <v>13393</v>
      </c>
      <c r="B4978" s="27" t="s">
        <v>13394</v>
      </c>
      <c r="C4978" s="28" t="s">
        <v>32</v>
      </c>
      <c r="D4978" s="29">
        <v>33.0</v>
      </c>
      <c r="E4978" s="28" t="s">
        <v>13395</v>
      </c>
      <c r="F4978" s="7" t="str">
        <f>IFERROR(__xludf.DUMMYFUNCTION("GOOGLETRANSLATE(B4978:B5064,""en"",""fr"")"),"compter")</f>
        <v>compter</v>
      </c>
    </row>
    <row r="4979" ht="19.5" customHeight="1">
      <c r="A4979" s="26" t="s">
        <v>13396</v>
      </c>
      <c r="B4979" s="27" t="s">
        <v>13397</v>
      </c>
      <c r="C4979" s="28" t="s">
        <v>178</v>
      </c>
      <c r="D4979" s="29">
        <v>33.0</v>
      </c>
      <c r="E4979" s="28" t="s">
        <v>13398</v>
      </c>
      <c r="F4979" s="7" t="str">
        <f>IFERROR(__xludf.DUMMYFUNCTION("GOOGLETRANSLATE(B4979:B5064,""en"",""fr"")"),"récupération")</f>
        <v>récupération</v>
      </c>
    </row>
    <row r="4980" ht="19.5" customHeight="1">
      <c r="A4980" s="26" t="s">
        <v>13399</v>
      </c>
      <c r="B4980" s="27" t="s">
        <v>13400</v>
      </c>
      <c r="C4980" s="28" t="s">
        <v>178</v>
      </c>
      <c r="D4980" s="29">
        <v>33.0</v>
      </c>
      <c r="E4980" s="28" t="s">
        <v>13401</v>
      </c>
      <c r="F4980" s="7" t="str">
        <f>IFERROR(__xludf.DUMMYFUNCTION("GOOGLETRANSLATE(B4980:B5064,""en"",""fr"")"),"arnaquer")</f>
        <v>arnaquer</v>
      </c>
    </row>
    <row r="4981" ht="19.5" customHeight="1">
      <c r="A4981" s="26" t="s">
        <v>13402</v>
      </c>
      <c r="B4981" s="27" t="s">
        <v>1579</v>
      </c>
      <c r="C4981" s="28" t="s">
        <v>178</v>
      </c>
      <c r="D4981" s="29">
        <v>33.0</v>
      </c>
      <c r="E4981" s="28" t="s">
        <v>13403</v>
      </c>
      <c r="F4981" s="7" t="str">
        <f>IFERROR(__xludf.DUMMYFUNCTION("GOOGLETRANSLATE(B4981:B5064,""en"",""fr"")"),"effrayer")</f>
        <v>effrayer</v>
      </c>
    </row>
    <row r="4982" ht="19.5" customHeight="1">
      <c r="A4982" s="26" t="s">
        <v>13404</v>
      </c>
      <c r="B4982" s="27" t="s">
        <v>13405</v>
      </c>
      <c r="C4982" s="28" t="s">
        <v>32</v>
      </c>
      <c r="D4982" s="29">
        <v>33.0</v>
      </c>
      <c r="E4982" s="28" t="s">
        <v>13406</v>
      </c>
      <c r="F4982" s="7" t="str">
        <f>IFERROR(__xludf.DUMMYFUNCTION("GOOGLETRANSLATE(B4982:B5064,""en"",""fr"")"),"simuler")</f>
        <v>simuler</v>
      </c>
    </row>
    <row r="4983" ht="19.5" customHeight="1">
      <c r="A4983" s="26" t="s">
        <v>13407</v>
      </c>
      <c r="B4983" s="27" t="s">
        <v>13408</v>
      </c>
      <c r="C4983" s="28" t="s">
        <v>178</v>
      </c>
      <c r="D4983" s="29">
        <v>33.0</v>
      </c>
      <c r="E4983" s="28" t="s">
        <v>13409</v>
      </c>
      <c r="F4983" s="7" t="str">
        <f>IFERROR(__xludf.DUMMYFUNCTION("GOOGLETRANSLATE(B4983:B5064,""en"",""fr"")"),"simulation")</f>
        <v>simulation</v>
      </c>
    </row>
    <row r="4984" ht="19.5" customHeight="1">
      <c r="A4984" s="26" t="s">
        <v>13410</v>
      </c>
      <c r="B4984" s="27" t="s">
        <v>13411</v>
      </c>
      <c r="C4984" s="28" t="s">
        <v>178</v>
      </c>
      <c r="D4984" s="29">
        <v>33.0</v>
      </c>
      <c r="E4984" s="28" t="s">
        <v>13412</v>
      </c>
      <c r="F4984" s="7" t="str">
        <f>IFERROR(__xludf.DUMMYFUNCTION("GOOGLETRANSLATE(B4984:B5064,""en"",""fr"")"),"équipe")</f>
        <v>équipe</v>
      </c>
    </row>
    <row r="4985" ht="19.5" customHeight="1">
      <c r="A4985" s="26" t="s">
        <v>13413</v>
      </c>
      <c r="B4985" s="27" t="s">
        <v>13414</v>
      </c>
      <c r="C4985" s="28" t="s">
        <v>134</v>
      </c>
      <c r="D4985" s="29">
        <v>33.0</v>
      </c>
      <c r="E4985" s="28" t="s">
        <v>13414</v>
      </c>
      <c r="F4985" s="7" t="str">
        <f>IFERROR(__xludf.DUMMYFUNCTION("GOOGLETRANSLATE(B4985:B5064,""en"",""fr"")"),"technique")</f>
        <v>technique</v>
      </c>
    </row>
    <row r="4986" ht="19.5" customHeight="1">
      <c r="A4986" s="26" t="s">
        <v>13415</v>
      </c>
      <c r="B4986" s="27" t="s">
        <v>13416</v>
      </c>
      <c r="C4986" s="28" t="s">
        <v>178</v>
      </c>
      <c r="D4986" s="29">
        <v>33.0</v>
      </c>
      <c r="E4986" s="28" t="s">
        <v>13417</v>
      </c>
      <c r="F4986" s="7" t="str">
        <f>IFERROR(__xludf.DUMMYFUNCTION("GOOGLETRANSLATE(B4986:B5064,""en"",""fr"")"),"tolérance")</f>
        <v>tolérance</v>
      </c>
    </row>
    <row r="4987" ht="19.5" customHeight="1">
      <c r="A4987" s="26" t="s">
        <v>13418</v>
      </c>
      <c r="B4987" s="27" t="s">
        <v>13419</v>
      </c>
      <c r="C4987" s="28" t="s">
        <v>178</v>
      </c>
      <c r="D4987" s="29">
        <v>33.0</v>
      </c>
      <c r="E4987" s="28" t="s">
        <v>13420</v>
      </c>
      <c r="F4987" s="7" t="str">
        <f>IFERROR(__xludf.DUMMYFUNCTION("GOOGLETRANSLATE(B4987:B5064,""en"",""fr"")"),"hommage")</f>
        <v>hommage</v>
      </c>
    </row>
    <row r="4988" ht="19.5" customHeight="1">
      <c r="A4988" s="26" t="s">
        <v>13421</v>
      </c>
      <c r="B4988" s="27" t="s">
        <v>13422</v>
      </c>
      <c r="C4988" s="28" t="s">
        <v>134</v>
      </c>
      <c r="D4988" s="29">
        <v>33.0</v>
      </c>
      <c r="E4988" s="28" t="s">
        <v>13422</v>
      </c>
      <c r="F4988" s="7" t="str">
        <f>IFERROR(__xludf.DUMMYFUNCTION("GOOGLETRANSLATE(B4988:B5064,""en"",""fr"")"),"vice")</f>
        <v>vice</v>
      </c>
    </row>
    <row r="4989" ht="19.5" customHeight="1">
      <c r="A4989" s="26" t="s">
        <v>13423</v>
      </c>
      <c r="B4989" s="27" t="s">
        <v>13424</v>
      </c>
      <c r="C4989" s="28" t="s">
        <v>134</v>
      </c>
      <c r="D4989" s="29">
        <v>33.0</v>
      </c>
      <c r="E4989" s="28" t="s">
        <v>13425</v>
      </c>
      <c r="F4989" s="7" t="str">
        <f>IFERROR(__xludf.DUMMYFUNCTION("GOOGLETRANSLATE(B4989:B5064,""en"",""fr"")"),"vil")</f>
        <v>vil</v>
      </c>
    </row>
    <row r="4990" ht="19.5" customHeight="1">
      <c r="A4990" s="26" t="s">
        <v>13426</v>
      </c>
      <c r="B4990" s="27" t="s">
        <v>13427</v>
      </c>
      <c r="C4990" s="28" t="s">
        <v>178</v>
      </c>
      <c r="D4990" s="29">
        <v>33.0</v>
      </c>
      <c r="E4990" s="28" t="s">
        <v>13428</v>
      </c>
      <c r="F4990" s="7" t="str">
        <f>IFERROR(__xludf.DUMMYFUNCTION("GOOGLETRANSLATE(B4990:B5064,""en"",""fr"")"),"région sauvage")</f>
        <v>région sauvage</v>
      </c>
    </row>
    <row r="4991" ht="19.5" customHeight="1">
      <c r="A4991" s="26" t="s">
        <v>13429</v>
      </c>
      <c r="B4991" s="27" t="s">
        <v>13430</v>
      </c>
      <c r="C4991" s="28" t="s">
        <v>178</v>
      </c>
      <c r="D4991" s="29">
        <v>33.0</v>
      </c>
      <c r="E4991" s="28" t="s">
        <v>13431</v>
      </c>
      <c r="F4991" s="7" t="str">
        <f>IFERROR(__xludf.DUMMYFUNCTION("GOOGLETRANSLATE(B4991:B5064,""en"",""fr"")"),"ver")</f>
        <v>ver</v>
      </c>
    </row>
    <row r="4992" ht="19.5" customHeight="1">
      <c r="A4992" s="26" t="s">
        <v>13432</v>
      </c>
      <c r="B4992" s="27" t="s">
        <v>13433</v>
      </c>
      <c r="C4992" s="28" t="s">
        <v>178</v>
      </c>
      <c r="D4992" s="29">
        <v>33.0</v>
      </c>
      <c r="E4992" s="28" t="s">
        <v>13434</v>
      </c>
      <c r="F4992" s="7" t="str">
        <f>IFERROR(__xludf.DUMMYFUNCTION("GOOGLETRANSLATE(B4992:B5064,""en"",""fr"")"),"déclenchement")</f>
        <v>déclenchement</v>
      </c>
    </row>
    <row r="4993" ht="19.5" customHeight="1">
      <c r="A4993" s="26" t="s">
        <v>13435</v>
      </c>
      <c r="B4993" s="27" t="s">
        <v>13436</v>
      </c>
      <c r="C4993" s="28" t="s">
        <v>178</v>
      </c>
      <c r="D4993" s="29">
        <v>33.0</v>
      </c>
      <c r="E4993" s="28" t="s">
        <v>13437</v>
      </c>
      <c r="F4993" s="7" t="str">
        <f>IFERROR(__xludf.DUMMYFUNCTION("GOOGLETRANSLATE(B4993:B5064,""en"",""fr"")"),"veau")</f>
        <v>veau</v>
      </c>
    </row>
    <row r="4994" ht="19.5" customHeight="1">
      <c r="A4994" s="26" t="s">
        <v>13438</v>
      </c>
      <c r="B4994" s="27" t="s">
        <v>12566</v>
      </c>
      <c r="C4994" s="28" t="s">
        <v>32</v>
      </c>
      <c r="D4994" s="29">
        <v>32.0</v>
      </c>
      <c r="E4994" s="28" t="s">
        <v>13439</v>
      </c>
      <c r="F4994" s="7" t="str">
        <f>IFERROR(__xludf.DUMMYFUNCTION("GOOGLETRANSLATE(B4994:B5064,""en"",""fr"")"),"scoop")</f>
        <v>scoop</v>
      </c>
    </row>
    <row r="4995" ht="19.5" customHeight="1">
      <c r="A4995" s="26" t="s">
        <v>13440</v>
      </c>
      <c r="B4995" s="27" t="s">
        <v>13441</v>
      </c>
      <c r="C4995" s="28" t="s">
        <v>178</v>
      </c>
      <c r="D4995" s="29">
        <v>32.0</v>
      </c>
      <c r="E4995" s="28" t="s">
        <v>13442</v>
      </c>
      <c r="F4995" s="7" t="str">
        <f>IFERROR(__xludf.DUMMYFUNCTION("GOOGLETRANSLATE(B4995:B5064,""en"",""fr"")"),"accomplissement")</f>
        <v>accomplissement</v>
      </c>
    </row>
    <row r="4996" ht="19.5" customHeight="1">
      <c r="A4996" s="26" t="s">
        <v>13443</v>
      </c>
      <c r="B4996" s="27" t="s">
        <v>13444</v>
      </c>
      <c r="C4996" s="28" t="s">
        <v>178</v>
      </c>
      <c r="D4996" s="29">
        <v>32.0</v>
      </c>
      <c r="E4996" s="28" t="s">
        <v>13445</v>
      </c>
      <c r="F4996" s="7" t="str">
        <f>IFERROR(__xludf.DUMMYFUNCTION("GOOGLETRANSLATE(B4996:B5064,""en"",""fr"")"),"admission")</f>
        <v>admission</v>
      </c>
    </row>
    <row r="4997" ht="19.5" customHeight="1">
      <c r="A4997" s="26" t="s">
        <v>13446</v>
      </c>
      <c r="B4997" s="27" t="s">
        <v>2152</v>
      </c>
      <c r="C4997" s="28" t="s">
        <v>32</v>
      </c>
      <c r="D4997" s="29">
        <v>32.0</v>
      </c>
      <c r="E4997" s="28" t="s">
        <v>13447</v>
      </c>
      <c r="F4997" s="7" t="str">
        <f>IFERROR(__xludf.DUMMYFUNCTION("GOOGLETRANSLATE(B4997:B5064,""en"",""fr"")"),"âge")</f>
        <v>âge</v>
      </c>
    </row>
    <row r="4998" ht="19.5" customHeight="1">
      <c r="A4998" s="26" t="s">
        <v>13448</v>
      </c>
      <c r="B4998" s="27" t="s">
        <v>13449</v>
      </c>
      <c r="C4998" s="28" t="s">
        <v>36</v>
      </c>
      <c r="D4998" s="29">
        <v>32.0</v>
      </c>
      <c r="E4998" s="28" t="s">
        <v>13449</v>
      </c>
      <c r="F4998" s="7" t="str">
        <f>IFERROR(__xludf.DUMMYFUNCTION("GOOGLETRANSLATE(B4998:B5064,""en"",""fr"")"),"à côté de")</f>
        <v>à côté de</v>
      </c>
    </row>
    <row r="4999" ht="19.5" customHeight="1">
      <c r="A4999" s="26" t="s">
        <v>13450</v>
      </c>
      <c r="B4999" s="27" t="s">
        <v>2784</v>
      </c>
      <c r="C4999" s="28" t="s">
        <v>178</v>
      </c>
      <c r="D4999" s="29">
        <v>32.0</v>
      </c>
      <c r="E4999" s="28" t="s">
        <v>13451</v>
      </c>
      <c r="F4999" s="7" t="str">
        <f>IFERROR(__xludf.DUMMYFUNCTION("GOOGLETRANSLATE(B4999:B5064,""en"",""fr"")"),"blâmer")</f>
        <v>blâmer</v>
      </c>
    </row>
    <row r="5000" ht="19.5" customHeight="1">
      <c r="A5000" s="26" t="s">
        <v>13452</v>
      </c>
      <c r="B5000" s="27" t="s">
        <v>13453</v>
      </c>
      <c r="C5000" s="28" t="s">
        <v>178</v>
      </c>
      <c r="D5000" s="29">
        <v>32.0</v>
      </c>
      <c r="E5000" s="28" t="s">
        <v>13454</v>
      </c>
      <c r="F5000" s="7" t="str">
        <f>IFERROR(__xludf.DUMMYFUNCTION("GOOGLETRANSLATE(B5000:B5064,""en"",""fr"")"),"chou")</f>
        <v>chou</v>
      </c>
    </row>
    <row r="5001" ht="19.5" customHeight="1">
      <c r="A5001" s="26" t="s">
        <v>13455</v>
      </c>
      <c r="B5001" s="27" t="s">
        <v>13456</v>
      </c>
      <c r="C5001" s="28" t="s">
        <v>178</v>
      </c>
      <c r="D5001" s="29">
        <v>32.0</v>
      </c>
      <c r="E5001" s="28" t="s">
        <v>13456</v>
      </c>
      <c r="F5001" s="7" t="str">
        <f>IFERROR(__xludf.DUMMYFUNCTION("GOOGLETRANSLATE(B5001:B5064,""en"",""fr"")"),"cocaïne")</f>
        <v>cocaïne</v>
      </c>
    </row>
    <row r="5002" ht="19.5" customHeight="1">
      <c r="A5002" s="26" t="s">
        <v>13457</v>
      </c>
      <c r="B5002" s="27" t="s">
        <v>13458</v>
      </c>
      <c r="C5002" s="28" t="s">
        <v>134</v>
      </c>
      <c r="D5002" s="29">
        <v>32.0</v>
      </c>
      <c r="E5002" s="28" t="s">
        <v>13458</v>
      </c>
      <c r="F5002" s="7" t="str">
        <f>IFERROR(__xludf.DUMMYFUNCTION("GOOGLETRANSLATE(B5002:B5064,""en"",""fr"")"),"coloré")</f>
        <v>coloré</v>
      </c>
    </row>
    <row r="5003" ht="19.5" customHeight="1">
      <c r="A5003" s="26" t="s">
        <v>13459</v>
      </c>
      <c r="B5003" s="27" t="s">
        <v>13460</v>
      </c>
      <c r="C5003" s="28" t="s">
        <v>134</v>
      </c>
      <c r="D5003" s="29">
        <v>32.0</v>
      </c>
      <c r="E5003" s="28" t="s">
        <v>13460</v>
      </c>
      <c r="F5003" s="7" t="str">
        <f>IFERROR(__xludf.DUMMYFUNCTION("GOOGLETRANSLATE(B5003:B5064,""en"",""fr"")"),"controversé")</f>
        <v>controversé</v>
      </c>
    </row>
    <row r="5004" ht="19.5" customHeight="1">
      <c r="A5004" s="26" t="s">
        <v>13461</v>
      </c>
      <c r="B5004" s="27" t="s">
        <v>13462</v>
      </c>
      <c r="C5004" s="28" t="s">
        <v>178</v>
      </c>
      <c r="D5004" s="29">
        <v>32.0</v>
      </c>
      <c r="E5004" s="28" t="s">
        <v>13463</v>
      </c>
      <c r="F5004" s="7" t="str">
        <f>IFERROR(__xludf.DUMMYFUNCTION("GOOGLETRANSLATE(B5004:B5064,""en"",""fr"")"),"salle d'audience")</f>
        <v>salle d'audience</v>
      </c>
    </row>
    <row r="5005" ht="19.5" customHeight="1">
      <c r="A5005" s="26" t="s">
        <v>13464</v>
      </c>
      <c r="B5005" s="27" t="s">
        <v>13465</v>
      </c>
      <c r="C5005" s="28" t="s">
        <v>134</v>
      </c>
      <c r="D5005" s="29">
        <v>32.0</v>
      </c>
      <c r="E5005" s="28" t="s">
        <v>13466</v>
      </c>
      <c r="F5005" s="7" t="str">
        <f>IFERROR(__xludf.DUMMYFUNCTION("GOOGLETRANSLATE(B5005:B5064,""en"",""fr"")"),"croustillant")</f>
        <v>croustillant</v>
      </c>
    </row>
    <row r="5006" ht="19.5" customHeight="1">
      <c r="A5006" s="26" t="s">
        <v>13467</v>
      </c>
      <c r="B5006" s="27" t="s">
        <v>13468</v>
      </c>
      <c r="C5006" s="28" t="s">
        <v>32</v>
      </c>
      <c r="D5006" s="29">
        <v>32.0</v>
      </c>
      <c r="E5006" s="28" t="s">
        <v>13469</v>
      </c>
      <c r="F5006" s="7" t="str">
        <f>IFERROR(__xludf.DUMMYFUNCTION("GOOGLETRANSLATE(B5006:B5064,""en"",""fr"")"),"retard")</f>
        <v>retard</v>
      </c>
    </row>
    <row r="5007" ht="19.5" customHeight="1">
      <c r="A5007" s="26" t="s">
        <v>13470</v>
      </c>
      <c r="B5007" s="27" t="s">
        <v>13471</v>
      </c>
      <c r="C5007" s="28" t="s">
        <v>134</v>
      </c>
      <c r="D5007" s="29">
        <v>32.0</v>
      </c>
      <c r="E5007" s="28" t="s">
        <v>13471</v>
      </c>
      <c r="F5007" s="7" t="str">
        <f>IFERROR(__xludf.DUMMYFUNCTION("GOOGLETRANSLATE(B5007:B5064,""en"",""fr"")"),"domestique")</f>
        <v>domestique</v>
      </c>
    </row>
    <row r="5008" ht="19.5" customHeight="1">
      <c r="A5008" s="26" t="s">
        <v>13472</v>
      </c>
      <c r="B5008" s="27" t="s">
        <v>13473</v>
      </c>
      <c r="C5008" s="28" t="s">
        <v>134</v>
      </c>
      <c r="D5008" s="29">
        <v>32.0</v>
      </c>
      <c r="E5008" s="28" t="s">
        <v>13474</v>
      </c>
      <c r="F5008" s="7" t="str">
        <f>IFERROR(__xludf.DUMMYFUNCTION("GOOGLETRANSLATE(B5008:B5064,""en"",""fr"")"),"est")</f>
        <v>est</v>
      </c>
    </row>
    <row r="5009" ht="19.5" customHeight="1">
      <c r="A5009" s="26" t="s">
        <v>13475</v>
      </c>
      <c r="B5009" s="27" t="s">
        <v>13476</v>
      </c>
      <c r="C5009" s="28" t="s">
        <v>100</v>
      </c>
      <c r="D5009" s="29">
        <v>32.0</v>
      </c>
      <c r="E5009" s="28" t="s">
        <v>13476</v>
      </c>
      <c r="F5009" s="7" t="str">
        <f>IFERROR(__xludf.DUMMYFUNCTION("GOOGLETRANSLATE(B5009:B5064,""en"",""fr"")"),"autre part")</f>
        <v>autre part</v>
      </c>
    </row>
    <row r="5010" ht="19.5" customHeight="1">
      <c r="A5010" s="26" t="s">
        <v>13477</v>
      </c>
      <c r="B5010" s="27" t="s">
        <v>13478</v>
      </c>
      <c r="C5010" s="28" t="s">
        <v>178</v>
      </c>
      <c r="D5010" s="29">
        <v>32.0</v>
      </c>
      <c r="E5010" s="28" t="s">
        <v>13479</v>
      </c>
      <c r="F5010" s="7" t="str">
        <f>IFERROR(__xludf.DUMMYFUNCTION("GOOGLETRANSLATE(B5010:B5064,""en"",""fr"")"),"ex-mari")</f>
        <v>ex-mari</v>
      </c>
    </row>
    <row r="5011" ht="19.5" customHeight="1">
      <c r="A5011" s="26" t="s">
        <v>13480</v>
      </c>
      <c r="B5011" s="27" t="s">
        <v>13481</v>
      </c>
      <c r="C5011" s="28" t="s">
        <v>32</v>
      </c>
      <c r="D5011" s="29">
        <v>32.0</v>
      </c>
      <c r="E5011" s="28" t="s">
        <v>13482</v>
      </c>
      <c r="F5011" s="7" t="str">
        <f>IFERROR(__xludf.DUMMYFUNCTION("GOOGLETRANSLATE(B5011:B5064,""en"",""fr"")"),"exagérer")</f>
        <v>exagérer</v>
      </c>
    </row>
    <row r="5012" ht="19.5" customHeight="1">
      <c r="A5012" s="26" t="s">
        <v>13483</v>
      </c>
      <c r="B5012" s="27" t="s">
        <v>5651</v>
      </c>
      <c r="C5012" s="28" t="s">
        <v>32</v>
      </c>
      <c r="D5012" s="29">
        <v>32.0</v>
      </c>
      <c r="E5012" s="28" t="s">
        <v>13484</v>
      </c>
      <c r="F5012" s="7" t="str">
        <f>IFERROR(__xludf.DUMMYFUNCTION("GOOGLETRANSLATE(B5012:B5064,""en"",""fr"")"),"exercice")</f>
        <v>exercice</v>
      </c>
    </row>
    <row r="5013" ht="19.5" customHeight="1">
      <c r="A5013" s="26" t="s">
        <v>13485</v>
      </c>
      <c r="B5013" s="27" t="s">
        <v>13486</v>
      </c>
      <c r="C5013" s="28" t="s">
        <v>178</v>
      </c>
      <c r="D5013" s="29">
        <v>32.0</v>
      </c>
      <c r="E5013" s="28" t="s">
        <v>13487</v>
      </c>
      <c r="F5013" s="7" t="str">
        <f>IFERROR(__xludf.DUMMYFUNCTION("GOOGLETRANSLATE(B5013:B5064,""en"",""fr"")"),"beau-père")</f>
        <v>beau-père</v>
      </c>
    </row>
    <row r="5014" ht="19.5" customHeight="1">
      <c r="A5014" s="26" t="s">
        <v>13488</v>
      </c>
      <c r="B5014" s="27" t="s">
        <v>13489</v>
      </c>
      <c r="C5014" s="28" t="s">
        <v>178</v>
      </c>
      <c r="D5014" s="29">
        <v>32.0</v>
      </c>
      <c r="E5014" s="28" t="s">
        <v>13489</v>
      </c>
      <c r="F5014" s="7" t="str">
        <f>IFERROR(__xludf.DUMMYFUNCTION("GOOGLETRANSLATE(B5014:B5064,""en"",""fr"")"),"excréments")</f>
        <v>excréments</v>
      </c>
    </row>
    <row r="5015" ht="19.5" customHeight="1">
      <c r="A5015" s="26" t="s">
        <v>13490</v>
      </c>
      <c r="B5015" s="27" t="s">
        <v>13491</v>
      </c>
      <c r="C5015" s="28" t="s">
        <v>178</v>
      </c>
      <c r="D5015" s="29">
        <v>32.0</v>
      </c>
      <c r="E5015" s="28" t="s">
        <v>13492</v>
      </c>
      <c r="F5015" s="7" t="str">
        <f>IFERROR(__xludf.DUMMYFUNCTION("GOOGLETRANSLATE(B5015:B5064,""en"",""fr"")"),"formule")</f>
        <v>formule</v>
      </c>
    </row>
    <row r="5016" ht="19.5" customHeight="1">
      <c r="A5016" s="26" t="s">
        <v>13493</v>
      </c>
      <c r="B5016" s="27" t="s">
        <v>13494</v>
      </c>
      <c r="C5016" s="28" t="s">
        <v>178</v>
      </c>
      <c r="D5016" s="29">
        <v>32.0</v>
      </c>
      <c r="E5016" s="28" t="s">
        <v>13495</v>
      </c>
      <c r="F5016" s="7" t="str">
        <f>IFERROR(__xludf.DUMMYFUNCTION("GOOGLETRANSLATE(B5016:B5064,""en"",""fr"")"),"autoroute")</f>
        <v>autoroute</v>
      </c>
    </row>
    <row r="5017" ht="19.5" customHeight="1">
      <c r="A5017" s="26" t="s">
        <v>13496</v>
      </c>
      <c r="B5017" s="27" t="s">
        <v>2524</v>
      </c>
      <c r="C5017" s="28" t="s">
        <v>32</v>
      </c>
      <c r="D5017" s="29">
        <v>32.0</v>
      </c>
      <c r="E5017" s="28" t="s">
        <v>13497</v>
      </c>
      <c r="F5017" s="7" t="str">
        <f>IFERROR(__xludf.DUMMYFUNCTION("GOOGLETRANSLATE(B5017:B5064,""en"",""fr"")"),"grade")</f>
        <v>grade</v>
      </c>
    </row>
    <row r="5018" ht="19.5" customHeight="1">
      <c r="A5018" s="26" t="s">
        <v>13498</v>
      </c>
      <c r="B5018" s="27" t="s">
        <v>13499</v>
      </c>
      <c r="C5018" s="28" t="s">
        <v>178</v>
      </c>
      <c r="D5018" s="29">
        <v>32.0</v>
      </c>
      <c r="E5018" s="28" t="s">
        <v>13500</v>
      </c>
      <c r="F5018" s="7" t="str">
        <f>IFERROR(__xludf.DUMMYFUNCTION("GOOGLETRANSLATE(B5018:B5064,""en"",""fr"")"),"grandi")</f>
        <v>grandi</v>
      </c>
    </row>
    <row r="5019" ht="19.5" customHeight="1">
      <c r="A5019" s="26" t="s">
        <v>13501</v>
      </c>
      <c r="B5019" s="27" t="s">
        <v>13502</v>
      </c>
      <c r="C5019" s="28" t="s">
        <v>85</v>
      </c>
      <c r="D5019" s="29">
        <v>32.0</v>
      </c>
      <c r="E5019" s="28" t="s">
        <v>13502</v>
      </c>
      <c r="F5019" s="7" t="str">
        <f>IFERROR(__xludf.DUMMYFUNCTION("GOOGLETRANSLATE(B5019:B5064,""en"",""fr"")"),"Alléluia")</f>
        <v>Alléluia</v>
      </c>
    </row>
    <row r="5020" ht="19.5" customHeight="1">
      <c r="A5020" s="26" t="s">
        <v>13503</v>
      </c>
      <c r="B5020" s="27" t="s">
        <v>13504</v>
      </c>
      <c r="C5020" s="28" t="s">
        <v>134</v>
      </c>
      <c r="D5020" s="29">
        <v>32.0</v>
      </c>
      <c r="E5020" s="28" t="s">
        <v>13504</v>
      </c>
      <c r="F5020" s="7" t="str">
        <f>IFERROR(__xludf.DUMMYFUNCTION("GOOGLETRANSLATE(B5020:B5064,""en"",""fr"")"),"hostile")</f>
        <v>hostile</v>
      </c>
    </row>
    <row r="5021" ht="19.5" customHeight="1">
      <c r="A5021" s="26" t="s">
        <v>13505</v>
      </c>
      <c r="B5021" s="27" t="s">
        <v>13506</v>
      </c>
      <c r="C5021" s="28" t="s">
        <v>134</v>
      </c>
      <c r="D5021" s="29">
        <v>32.0</v>
      </c>
      <c r="E5021" s="28" t="s">
        <v>13506</v>
      </c>
      <c r="F5021" s="7" t="str">
        <f>IFERROR(__xludf.DUMMYFUNCTION("GOOGLETRANSLATE(B5021:B5064,""en"",""fr"")"),"nuisible")</f>
        <v>nuisible</v>
      </c>
    </row>
    <row r="5022" ht="19.5" customHeight="1">
      <c r="A5022" s="26" t="s">
        <v>13507</v>
      </c>
      <c r="B5022" s="27" t="s">
        <v>13508</v>
      </c>
      <c r="C5022" s="28" t="s">
        <v>134</v>
      </c>
      <c r="D5022" s="29">
        <v>32.0</v>
      </c>
      <c r="E5022" s="28" t="s">
        <v>13508</v>
      </c>
      <c r="F5022" s="7" t="str">
        <f>IFERROR(__xludf.DUMMYFUNCTION("GOOGLETRANSLATE(B5022:B5064,""en"",""fr"")"),"industriel")</f>
        <v>industriel</v>
      </c>
    </row>
    <row r="5023" ht="19.5" customHeight="1">
      <c r="A5023" s="26" t="s">
        <v>13509</v>
      </c>
      <c r="B5023" s="27" t="s">
        <v>13510</v>
      </c>
      <c r="C5023" s="28" t="s">
        <v>178</v>
      </c>
      <c r="D5023" s="29">
        <v>32.0</v>
      </c>
      <c r="E5023" s="28" t="s">
        <v>13511</v>
      </c>
      <c r="F5023" s="7" t="str">
        <f>IFERROR(__xludf.DUMMYFUNCTION("GOOGLETRANSLATE(B5023:B5064,""en"",""fr"")"),"interne")</f>
        <v>interne</v>
      </c>
    </row>
    <row r="5024" ht="19.5" customHeight="1">
      <c r="A5024" s="26" t="s">
        <v>13512</v>
      </c>
      <c r="B5024" s="27" t="s">
        <v>13513</v>
      </c>
      <c r="C5024" s="28" t="s">
        <v>100</v>
      </c>
      <c r="D5024" s="29">
        <v>32.0</v>
      </c>
      <c r="E5024" s="28" t="s">
        <v>13513</v>
      </c>
      <c r="F5024" s="7" t="str">
        <f>IFERROR(__xludf.DUMMYFUNCTION("GOOGLETRANSLATE(B5024:B5064,""en"",""fr"")"),"ironiquement")</f>
        <v>ironiquement</v>
      </c>
    </row>
    <row r="5025" ht="19.5" customHeight="1">
      <c r="A5025" s="26" t="s">
        <v>13514</v>
      </c>
      <c r="B5025" s="27" t="s">
        <v>13515</v>
      </c>
      <c r="C5025" s="28" t="s">
        <v>134</v>
      </c>
      <c r="D5025" s="29">
        <v>32.0</v>
      </c>
      <c r="E5025" s="28" t="s">
        <v>13515</v>
      </c>
      <c r="F5025" s="7" t="str">
        <f>IFERROR(__xludf.DUMMYFUNCTION("GOOGLETRANSLATE(B5025:B5064,""en"",""fr"")"),"non pertinent")</f>
        <v>non pertinent</v>
      </c>
    </row>
    <row r="5026" ht="19.5" customHeight="1">
      <c r="A5026" s="26" t="s">
        <v>13516</v>
      </c>
      <c r="B5026" s="27" t="s">
        <v>13517</v>
      </c>
      <c r="C5026" s="28" t="s">
        <v>32</v>
      </c>
      <c r="D5026" s="29">
        <v>32.0</v>
      </c>
      <c r="E5026" s="28" t="s">
        <v>13518</v>
      </c>
      <c r="F5026" s="7" t="str">
        <f>IFERROR(__xludf.DUMMYFUNCTION("GOOGLETRANSLATE(B5026:B5064,""en"",""fr"")"),"isoler")</f>
        <v>isoler</v>
      </c>
    </row>
    <row r="5027" ht="19.5" customHeight="1">
      <c r="A5027" s="26" t="s">
        <v>13519</v>
      </c>
      <c r="B5027" s="27" t="s">
        <v>13520</v>
      </c>
      <c r="C5027" s="28" t="s">
        <v>178</v>
      </c>
      <c r="D5027" s="29">
        <v>32.0</v>
      </c>
      <c r="E5027" s="28" t="s">
        <v>13521</v>
      </c>
      <c r="F5027" s="7" t="str">
        <f>IFERROR(__xludf.DUMMYFUNCTION("GOOGLETRANSLATE(B5027:B5064,""en"",""fr"")"),"noeud")</f>
        <v>noeud</v>
      </c>
    </row>
    <row r="5028" ht="19.5" customHeight="1">
      <c r="A5028" s="26" t="s">
        <v>13522</v>
      </c>
      <c r="B5028" s="27" t="s">
        <v>13523</v>
      </c>
      <c r="C5028" s="28" t="s">
        <v>178</v>
      </c>
      <c r="D5028" s="29">
        <v>32.0</v>
      </c>
      <c r="E5028" s="28" t="s">
        <v>13524</v>
      </c>
      <c r="F5028" s="7" t="str">
        <f>IFERROR(__xludf.DUMMYFUNCTION("GOOGLETRANSLATE(B5028:B5064,""en"",""fr"")"),"propriétaire")</f>
        <v>propriétaire</v>
      </c>
    </row>
    <row r="5029" ht="19.5" customHeight="1">
      <c r="A5029" s="26" t="s">
        <v>13525</v>
      </c>
      <c r="B5029" s="27" t="s">
        <v>13526</v>
      </c>
      <c r="C5029" s="28" t="s">
        <v>178</v>
      </c>
      <c r="D5029" s="29">
        <v>32.0</v>
      </c>
      <c r="E5029" s="28" t="s">
        <v>13527</v>
      </c>
      <c r="F5029" s="7" t="str">
        <f>IFERROR(__xludf.DUMMYFUNCTION("GOOGLETRANSLATE(B5029:B5064,""en"",""fr"")"),"direction")</f>
        <v>direction</v>
      </c>
    </row>
    <row r="5030" ht="19.5" customHeight="1">
      <c r="A5030" s="26" t="s">
        <v>13528</v>
      </c>
      <c r="B5030" s="27" t="s">
        <v>13529</v>
      </c>
      <c r="C5030" s="28" t="s">
        <v>178</v>
      </c>
      <c r="D5030" s="29">
        <v>32.0</v>
      </c>
      <c r="E5030" s="28" t="s">
        <v>13530</v>
      </c>
      <c r="F5030" s="7" t="str">
        <f>IFERROR(__xludf.DUMMYFUNCTION("GOOGLETRANSLATE(B5030:B5064,""en"",""fr"")"),"majesté")</f>
        <v>majesté</v>
      </c>
    </row>
    <row r="5031" ht="19.5" customHeight="1">
      <c r="A5031" s="26" t="s">
        <v>13531</v>
      </c>
      <c r="B5031" s="27" t="s">
        <v>13532</v>
      </c>
      <c r="C5031" s="28" t="s">
        <v>32</v>
      </c>
      <c r="D5031" s="29">
        <v>32.0</v>
      </c>
      <c r="E5031" s="28" t="s">
        <v>13533</v>
      </c>
      <c r="F5031" s="7" t="str">
        <f>IFERROR(__xludf.DUMMYFUNCTION("GOOGLETRANSLATE(B5031:B5064,""en"",""fr"")"),"fusionner")</f>
        <v>fusionner</v>
      </c>
    </row>
    <row r="5032" ht="19.5" customHeight="1">
      <c r="A5032" s="26" t="s">
        <v>13534</v>
      </c>
      <c r="B5032" s="27" t="s">
        <v>13535</v>
      </c>
      <c r="C5032" s="28" t="s">
        <v>178</v>
      </c>
      <c r="D5032" s="29">
        <v>32.0</v>
      </c>
      <c r="E5032" s="28" t="s">
        <v>13536</v>
      </c>
      <c r="F5032" s="7" t="str">
        <f>IFERROR(__xludf.DUMMYFUNCTION("GOOGLETRANSLATE(B5032:B5064,""en"",""fr"")"),"monologue")</f>
        <v>monologue</v>
      </c>
    </row>
    <row r="5033" ht="19.5" customHeight="1">
      <c r="A5033" s="26" t="s">
        <v>13537</v>
      </c>
      <c r="B5033" s="27" t="s">
        <v>13538</v>
      </c>
      <c r="C5033" s="28" t="s">
        <v>150</v>
      </c>
      <c r="D5033" s="29">
        <v>32.0</v>
      </c>
      <c r="E5033" s="28" t="s">
        <v>13538</v>
      </c>
      <c r="F5033" s="7" t="str">
        <f>IFERROR(__xludf.DUMMYFUNCTION("GOOGLETRANSLATE(B5033:B5064,""en"",""fr"")"),"Neuf heures et demi")</f>
        <v>Neuf heures et demi</v>
      </c>
    </row>
    <row r="5034" ht="19.5" customHeight="1">
      <c r="A5034" s="26" t="s">
        <v>13539</v>
      </c>
      <c r="B5034" s="27" t="s">
        <v>13540</v>
      </c>
      <c r="C5034" s="28" t="s">
        <v>178</v>
      </c>
      <c r="D5034" s="29">
        <v>32.0</v>
      </c>
      <c r="E5034" s="28" t="s">
        <v>13541</v>
      </c>
      <c r="F5034" s="7" t="str">
        <f>IFERROR(__xludf.DUMMYFUNCTION("GOOGLETRANSLATE(B5034:B5064,""en"",""fr"")"),"orgie")</f>
        <v>orgie</v>
      </c>
    </row>
    <row r="5035" ht="19.5" customHeight="1">
      <c r="A5035" s="26" t="s">
        <v>13542</v>
      </c>
      <c r="B5035" s="27" t="s">
        <v>13543</v>
      </c>
      <c r="C5035" s="28" t="s">
        <v>134</v>
      </c>
      <c r="D5035" s="29">
        <v>32.0</v>
      </c>
      <c r="E5035" s="28" t="s">
        <v>13543</v>
      </c>
      <c r="F5035" s="7" t="str">
        <f>IFERROR(__xludf.DUMMYFUNCTION("GOOGLETRANSLATE(B5035:B5064,""en"",""fr"")"),"en retard")</f>
        <v>en retard</v>
      </c>
    </row>
    <row r="5036" ht="19.5" customHeight="1">
      <c r="A5036" s="26" t="s">
        <v>13544</v>
      </c>
      <c r="B5036" s="27" t="s">
        <v>13545</v>
      </c>
      <c r="C5036" s="28" t="s">
        <v>32</v>
      </c>
      <c r="D5036" s="29">
        <v>32.0</v>
      </c>
      <c r="E5036" s="28" t="s">
        <v>13546</v>
      </c>
      <c r="F5036" s="7" t="str">
        <f>IFERROR(__xludf.DUMMYFUNCTION("GOOGLETRANSLATE(B5036:B5064,""en"",""fr"")"),"reporter")</f>
        <v>reporter</v>
      </c>
    </row>
    <row r="5037" ht="19.5" customHeight="1">
      <c r="A5037" s="26" t="s">
        <v>13547</v>
      </c>
      <c r="B5037" s="27" t="s">
        <v>13548</v>
      </c>
      <c r="C5037" s="28" t="s">
        <v>178</v>
      </c>
      <c r="D5037" s="29">
        <v>32.0</v>
      </c>
      <c r="E5037" s="28" t="s">
        <v>13549</v>
      </c>
      <c r="F5037" s="7" t="str">
        <f>IFERROR(__xludf.DUMMYFUNCTION("GOOGLETRANSLATE(B5037:B5064,""en"",""fr"")"),"chiffon")</f>
        <v>chiffon</v>
      </c>
    </row>
    <row r="5038" ht="19.5" customHeight="1">
      <c r="A5038" s="26" t="s">
        <v>13550</v>
      </c>
      <c r="B5038" s="27" t="s">
        <v>13551</v>
      </c>
      <c r="C5038" s="28" t="s">
        <v>178</v>
      </c>
      <c r="D5038" s="29">
        <v>32.0</v>
      </c>
      <c r="E5038" s="28" t="s">
        <v>13552</v>
      </c>
      <c r="F5038" s="7" t="str">
        <f>IFERROR(__xludf.DUMMYFUNCTION("GOOGLETRANSLATE(B5038:B5064,""en"",""fr"")"),"inscription")</f>
        <v>inscription</v>
      </c>
    </row>
    <row r="5039" ht="19.5" customHeight="1">
      <c r="A5039" s="26" t="s">
        <v>13553</v>
      </c>
      <c r="B5039" s="27" t="s">
        <v>13554</v>
      </c>
      <c r="C5039" s="28" t="s">
        <v>178</v>
      </c>
      <c r="D5039" s="29">
        <v>32.0</v>
      </c>
      <c r="E5039" s="28" t="s">
        <v>13555</v>
      </c>
      <c r="F5039" s="7" t="str">
        <f>IFERROR(__xludf.DUMMYFUNCTION("GOOGLETRANSLATE(B5039:B5064,""en"",""fr"")"),"rythme")</f>
        <v>rythme</v>
      </c>
    </row>
    <row r="5040" ht="19.5" customHeight="1">
      <c r="A5040" s="26" t="s">
        <v>13556</v>
      </c>
      <c r="B5040" s="27" t="s">
        <v>13557</v>
      </c>
      <c r="C5040" s="28" t="s">
        <v>178</v>
      </c>
      <c r="D5040" s="29">
        <v>32.0</v>
      </c>
      <c r="E5040" s="28" t="s">
        <v>13558</v>
      </c>
      <c r="F5040" s="7" t="str">
        <f>IFERROR(__xludf.DUMMYFUNCTION("GOOGLETRANSLATE(B5040:B5064,""en"",""fr"")"),"Tournevis")</f>
        <v>Tournevis</v>
      </c>
    </row>
    <row r="5041" ht="19.5" customHeight="1">
      <c r="A5041" s="26" t="s">
        <v>13559</v>
      </c>
      <c r="B5041" s="27" t="s">
        <v>13560</v>
      </c>
      <c r="C5041" s="28" t="s">
        <v>178</v>
      </c>
      <c r="D5041" s="29">
        <v>32.0</v>
      </c>
      <c r="E5041" s="28" t="s">
        <v>13561</v>
      </c>
      <c r="F5041" s="7" t="str">
        <f>IFERROR(__xludf.DUMMYFUNCTION("GOOGLETRANSLATE(B5041:B5064,""en"",""fr"")"),"scaphandre autonome")</f>
        <v>scaphandre autonome</v>
      </c>
    </row>
    <row r="5042" ht="19.5" customHeight="1">
      <c r="A5042" s="26" t="s">
        <v>13562</v>
      </c>
      <c r="B5042" s="27" t="s">
        <v>13563</v>
      </c>
      <c r="C5042" s="28" t="s">
        <v>178</v>
      </c>
      <c r="D5042" s="29">
        <v>32.0</v>
      </c>
      <c r="E5042" s="28" t="s">
        <v>13564</v>
      </c>
      <c r="F5042" s="7" t="str">
        <f>IFERROR(__xludf.DUMMYFUNCTION("GOOGLETRANSLATE(B5042:B5064,""en"",""fr"")"),"sélection")</f>
        <v>sélection</v>
      </c>
    </row>
    <row r="5043" ht="19.5" customHeight="1">
      <c r="A5043" s="26" t="s">
        <v>13565</v>
      </c>
      <c r="B5043" s="27" t="s">
        <v>13566</v>
      </c>
      <c r="C5043" s="28" t="s">
        <v>178</v>
      </c>
      <c r="D5043" s="29">
        <v>32.0</v>
      </c>
      <c r="E5043" s="28" t="s">
        <v>13567</v>
      </c>
      <c r="F5043" s="7" t="str">
        <f>IFERROR(__xludf.DUMMYFUNCTION("GOOGLETRANSLATE(B5043:B5064,""en"",""fr"")"),"coquille")</f>
        <v>coquille</v>
      </c>
    </row>
    <row r="5044" ht="19.5" customHeight="1">
      <c r="A5044" s="26" t="s">
        <v>13568</v>
      </c>
      <c r="B5044" s="27" t="s">
        <v>13569</v>
      </c>
      <c r="C5044" s="28" t="s">
        <v>100</v>
      </c>
      <c r="D5044" s="29">
        <v>32.0</v>
      </c>
      <c r="E5044" s="28" t="s">
        <v>13569</v>
      </c>
      <c r="F5044" s="7" t="str">
        <f>IFERROR(__xludf.DUMMYFUNCTION("GOOGLETRANSLATE(B5044:B5064,""en"",""fr"")"),"sincèrement")</f>
        <v>sincèrement</v>
      </c>
    </row>
    <row r="5045" ht="19.5" customHeight="1">
      <c r="A5045" s="26" t="s">
        <v>13570</v>
      </c>
      <c r="B5045" s="27" t="s">
        <v>13571</v>
      </c>
      <c r="C5045" s="28" t="s">
        <v>178</v>
      </c>
      <c r="D5045" s="29">
        <v>32.0</v>
      </c>
      <c r="E5045" s="28" t="s">
        <v>13572</v>
      </c>
      <c r="F5045" s="7" t="str">
        <f>IFERROR(__xludf.DUMMYFUNCTION("GOOGLETRANSLATE(B5045:B5064,""en"",""fr"")"),"modèle")</f>
        <v>modèle</v>
      </c>
    </row>
    <row r="5046" ht="19.5" customHeight="1">
      <c r="A5046" s="26" t="s">
        <v>13573</v>
      </c>
      <c r="B5046" s="27" t="s">
        <v>13574</v>
      </c>
      <c r="C5046" s="28" t="s">
        <v>32</v>
      </c>
      <c r="D5046" s="29">
        <v>32.0</v>
      </c>
      <c r="E5046" s="28" t="s">
        <v>13575</v>
      </c>
      <c r="F5046" s="7" t="str">
        <f>IFERROR(__xludf.DUMMYFUNCTION("GOOGLETRANSLATE(B5046:B5064,""en"",""fr"")"),"surprendre")</f>
        <v>surprendre</v>
      </c>
    </row>
    <row r="5047" ht="19.5" customHeight="1">
      <c r="A5047" s="26" t="s">
        <v>13576</v>
      </c>
      <c r="B5047" s="27" t="s">
        <v>13577</v>
      </c>
      <c r="C5047" s="28" t="s">
        <v>178</v>
      </c>
      <c r="D5047" s="29">
        <v>32.0</v>
      </c>
      <c r="E5047" s="28" t="s">
        <v>13578</v>
      </c>
      <c r="F5047" s="7" t="str">
        <f>IFERROR(__xludf.DUMMYFUNCTION("GOOGLETRANSLATE(B5047:B5064,""en"",""fr"")"),"Bande")</f>
        <v>Bande</v>
      </c>
    </row>
    <row r="5048" ht="19.5" customHeight="1">
      <c r="A5048" s="26" t="s">
        <v>13579</v>
      </c>
      <c r="B5048" s="27" t="s">
        <v>13580</v>
      </c>
      <c r="C5048" s="28" t="s">
        <v>178</v>
      </c>
      <c r="D5048" s="29">
        <v>32.0</v>
      </c>
      <c r="E5048" s="28" t="s">
        <v>13581</v>
      </c>
      <c r="F5048" s="7" t="str">
        <f>IFERROR(__xludf.DUMMYFUNCTION("GOOGLETRANSLATE(B5048:B5064,""en"",""fr"")"),"poussette")</f>
        <v>poussette</v>
      </c>
    </row>
    <row r="5049" ht="19.5" customHeight="1">
      <c r="A5049" s="26" t="s">
        <v>13582</v>
      </c>
      <c r="B5049" s="27" t="s">
        <v>13583</v>
      </c>
      <c r="C5049" s="28" t="s">
        <v>178</v>
      </c>
      <c r="D5049" s="29">
        <v>32.0</v>
      </c>
      <c r="E5049" s="28" t="s">
        <v>13584</v>
      </c>
      <c r="F5049" s="7" t="str">
        <f>IFERROR(__xludf.DUMMYFUNCTION("GOOGLETRANSLATE(B5049:B5064,""en"",""fr"")"),"goujon")</f>
        <v>goujon</v>
      </c>
    </row>
    <row r="5050" ht="19.5" customHeight="1">
      <c r="A5050" s="26" t="s">
        <v>13585</v>
      </c>
      <c r="B5050" s="27" t="s">
        <v>13586</v>
      </c>
      <c r="C5050" s="28" t="s">
        <v>178</v>
      </c>
      <c r="D5050" s="29">
        <v>32.0</v>
      </c>
      <c r="E5050" s="28" t="s">
        <v>13587</v>
      </c>
      <c r="F5050" s="7" t="str">
        <f>IFERROR(__xludf.DUMMYFUNCTION("GOOGLETRANSLATE(B5050:B5064,""en"",""fr"")"),"abonnement")</f>
        <v>abonnement</v>
      </c>
    </row>
    <row r="5051" ht="19.5" customHeight="1">
      <c r="A5051" s="26" t="s">
        <v>13588</v>
      </c>
      <c r="B5051" s="27" t="s">
        <v>13589</v>
      </c>
      <c r="C5051" s="28" t="s">
        <v>178</v>
      </c>
      <c r="D5051" s="29">
        <v>32.0</v>
      </c>
      <c r="E5051" s="28" t="s">
        <v>13590</v>
      </c>
      <c r="F5051" s="7" t="str">
        <f>IFERROR(__xludf.DUMMYFUNCTION("GOOGLETRANSLATE(B5051:B5064,""en"",""fr"")"),"lever du soleil")</f>
        <v>lever du soleil</v>
      </c>
    </row>
    <row r="5052" ht="19.5" customHeight="1">
      <c r="A5052" s="26" t="s">
        <v>13591</v>
      </c>
      <c r="B5052" s="27" t="s">
        <v>13592</v>
      </c>
      <c r="C5052" s="28" t="s">
        <v>178</v>
      </c>
      <c r="D5052" s="29">
        <v>32.0</v>
      </c>
      <c r="E5052" s="28" t="s">
        <v>13593</v>
      </c>
      <c r="F5052" s="7" t="str">
        <f>IFERROR(__xludf.DUMMYFUNCTION("GOOGLETRANSLATE(B5052:B5064,""en"",""fr"")"),"postiche")</f>
        <v>postiche</v>
      </c>
    </row>
    <row r="5053" ht="19.5" customHeight="1">
      <c r="A5053" s="26" t="s">
        <v>13594</v>
      </c>
      <c r="B5053" s="27" t="s">
        <v>13595</v>
      </c>
      <c r="C5053" s="28" t="s">
        <v>134</v>
      </c>
      <c r="D5053" s="29">
        <v>32.0</v>
      </c>
      <c r="E5053" s="28" t="s">
        <v>13595</v>
      </c>
      <c r="F5053" s="7" t="str">
        <f>IFERROR(__xludf.DUMMYFUNCTION("GOOGLETRANSLATE(B5053:B5064,""en"",""fr"")"),"inconscient")</f>
        <v>inconscient</v>
      </c>
    </row>
    <row r="5054" ht="19.5" customHeight="1">
      <c r="A5054" s="26" t="s">
        <v>13596</v>
      </c>
      <c r="B5054" s="27" t="s">
        <v>13597</v>
      </c>
      <c r="C5054" s="28" t="s">
        <v>32</v>
      </c>
      <c r="D5054" s="29">
        <v>32.0</v>
      </c>
      <c r="E5054" s="28" t="s">
        <v>13598</v>
      </c>
      <c r="F5054" s="7" t="str">
        <f>IFERROR(__xludf.DUMMYFUNCTION("GOOGLETRANSLATE(B5054:B5064,""en"",""fr"")"),"sous-estimer")</f>
        <v>sous-estimer</v>
      </c>
    </row>
    <row r="5055" ht="19.5" customHeight="1">
      <c r="A5055" s="26" t="s">
        <v>13599</v>
      </c>
      <c r="B5055" s="27" t="s">
        <v>13600</v>
      </c>
      <c r="C5055" s="28" t="s">
        <v>134</v>
      </c>
      <c r="D5055" s="29">
        <v>32.0</v>
      </c>
      <c r="E5055" s="28" t="s">
        <v>13601</v>
      </c>
      <c r="F5055" s="7" t="str">
        <f>IFERROR(__xludf.DUMMYFUNCTION("GOOGLETRANSLATE(B5055:B5064,""en"",""fr"")"),"unique")</f>
        <v>unique</v>
      </c>
    </row>
    <row r="5056" ht="19.5" customHeight="1">
      <c r="A5056" s="26" t="s">
        <v>13602</v>
      </c>
      <c r="B5056" s="27" t="s">
        <v>13603</v>
      </c>
      <c r="C5056" s="28" t="s">
        <v>134</v>
      </c>
      <c r="D5056" s="29">
        <v>32.0</v>
      </c>
      <c r="E5056" s="28" t="s">
        <v>13603</v>
      </c>
      <c r="F5056" s="7" t="str">
        <f>IFERROR(__xludf.DUMMYFUNCTION("GOOGLETRANSLATE(B5056:B5064,""en"",""fr"")"),"divers")</f>
        <v>divers</v>
      </c>
    </row>
    <row r="5057" ht="19.5" customHeight="1">
      <c r="A5057" s="26" t="s">
        <v>13604</v>
      </c>
      <c r="B5057" s="27" t="s">
        <v>13605</v>
      </c>
      <c r="C5057" s="28" t="s">
        <v>178</v>
      </c>
      <c r="D5057" s="29">
        <v>32.0</v>
      </c>
      <c r="E5057" s="28" t="s">
        <v>13606</v>
      </c>
      <c r="F5057" s="7" t="str">
        <f>IFERROR(__xludf.DUMMYFUNCTION("GOOGLETRANSLATE(B5057:B5064,""en"",""fr"")"),"veine")</f>
        <v>veine</v>
      </c>
    </row>
    <row r="5058" ht="19.5" customHeight="1">
      <c r="A5058" s="26" t="s">
        <v>13607</v>
      </c>
      <c r="B5058" s="27" t="s">
        <v>13608</v>
      </c>
      <c r="C5058" s="28" t="s">
        <v>32</v>
      </c>
      <c r="D5058" s="29">
        <v>32.0</v>
      </c>
      <c r="E5058" s="28" t="s">
        <v>13609</v>
      </c>
      <c r="F5058" s="7" t="str">
        <f>IFERROR(__xludf.DUMMYFUNCTION("GOOGLETRANSLATE(B5058:B5064,""en"",""fr"")"),"pleurer")</f>
        <v>pleurer</v>
      </c>
    </row>
    <row r="5059" ht="19.5" customHeight="1">
      <c r="A5059" s="26" t="s">
        <v>13610</v>
      </c>
      <c r="B5059" s="27" t="s">
        <v>13611</v>
      </c>
      <c r="C5059" s="28" t="s">
        <v>178</v>
      </c>
      <c r="D5059" s="29">
        <v>32.0</v>
      </c>
      <c r="E5059" s="28" t="s">
        <v>13612</v>
      </c>
      <c r="F5059" s="7" t="str">
        <f>IFERROR(__xludf.DUMMYFUNCTION("GOOGLETRANSLATE(B5059:B5064,""en"",""fr"")"),"whisky")</f>
        <v>whisky</v>
      </c>
    </row>
    <row r="5060" ht="19.5" customHeight="1">
      <c r="A5060" s="26" t="s">
        <v>13613</v>
      </c>
      <c r="B5060" s="27" t="s">
        <v>13614</v>
      </c>
      <c r="C5060" s="28" t="s">
        <v>134</v>
      </c>
      <c r="D5060" s="29">
        <v>32.0</v>
      </c>
      <c r="E5060" s="28" t="s">
        <v>13615</v>
      </c>
      <c r="F5060" s="7" t="str">
        <f>IFERROR(__xludf.DUMMYFUNCTION("GOOGLETRANSLATE(B5060:B5064,""en"",""fr"")"),"spirituel")</f>
        <v>spirituel</v>
      </c>
    </row>
    <row r="5061" ht="19.5" customHeight="1">
      <c r="A5061" s="26" t="s">
        <v>13616</v>
      </c>
      <c r="B5061" s="27" t="s">
        <v>741</v>
      </c>
      <c r="C5061" s="28" t="s">
        <v>178</v>
      </c>
      <c r="D5061" s="29">
        <v>32.0</v>
      </c>
      <c r="E5061" s="28" t="s">
        <v>13617</v>
      </c>
      <c r="F5061" s="7" t="str">
        <f>IFERROR(__xludf.DUMMYFUNCTION("GOOGLETRANSLATE(B5061:B5064,""en"",""fr"")"),"inquiétude")</f>
        <v>inquiétude</v>
      </c>
    </row>
    <row r="5062" ht="19.5" customHeight="1">
      <c r="A5062" s="26" t="s">
        <v>13618</v>
      </c>
      <c r="B5062" s="27" t="s">
        <v>13619</v>
      </c>
      <c r="C5062" s="28" t="s">
        <v>178</v>
      </c>
      <c r="D5062" s="29">
        <v>32.0</v>
      </c>
      <c r="E5062" s="28" t="s">
        <v>13620</v>
      </c>
      <c r="F5062" s="7" t="str">
        <f>IFERROR(__xludf.DUMMYFUNCTION("GOOGLETRANSLATE(B5062:B5064,""en"",""fr"")"),"Mémorial")</f>
        <v>Mémorial</v>
      </c>
    </row>
    <row r="5063" ht="20.25" customHeight="1">
      <c r="A5063" s="30" t="s">
        <v>13621</v>
      </c>
      <c r="B5063" s="31" t="s">
        <v>13622</v>
      </c>
      <c r="C5063" s="32" t="s">
        <v>178</v>
      </c>
      <c r="D5063" s="33">
        <v>32.0</v>
      </c>
      <c r="E5063" s="32" t="s">
        <v>13623</v>
      </c>
      <c r="F5063" s="7" t="str">
        <f>IFERROR(__xludf.DUMMYFUNCTION("GOOGLETRANSLATE(B5063:B5064,""en"",""fr"")"),"permis")</f>
        <v>permis</v>
      </c>
    </row>
    <row r="5064" ht="20.25" customHeight="1">
      <c r="A5064" s="34" t="s">
        <v>13624</v>
      </c>
      <c r="B5064" s="35"/>
      <c r="C5064" s="35"/>
      <c r="D5064" s="35"/>
      <c r="E5064" s="36"/>
      <c r="F5064" s="7"/>
    </row>
  </sheetData>
  <mergeCells count="1">
    <mergeCell ref="A5064:E5064"/>
  </mergeCells>
  <printOptions/>
  <pageMargins bottom="0.75" footer="0.0" header="0.0" left="0.5" right="0.5" top="0.0"/>
  <pageSetup orientation="portrait"/>
  <headerFooter>
    <oddFooter>&amp;L000000© 2014-2019 Fabien Snauwaert&amp;C000000&amp;P&amp;R0096FFhttps://frequencylist.com</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2" width="26.71"/>
    <col customWidth="1" min="3" max="3" width="80.0"/>
    <col customWidth="1" min="4" max="26" width="16.29"/>
  </cols>
  <sheetData>
    <row r="1" ht="27.0" customHeight="1">
      <c r="A1" s="6" t="s">
        <v>10</v>
      </c>
      <c r="D1" s="7"/>
      <c r="E1" s="7"/>
      <c r="F1" s="7"/>
      <c r="G1" s="7"/>
      <c r="H1" s="7"/>
      <c r="I1" s="7"/>
      <c r="J1" s="7"/>
      <c r="K1" s="7"/>
      <c r="L1" s="7"/>
      <c r="M1" s="7"/>
      <c r="N1" s="7"/>
      <c r="O1" s="7"/>
      <c r="P1" s="7"/>
      <c r="Q1" s="7"/>
      <c r="R1" s="7"/>
      <c r="S1" s="7"/>
      <c r="T1" s="7"/>
      <c r="U1" s="7"/>
      <c r="V1" s="7"/>
      <c r="W1" s="7"/>
      <c r="X1" s="7"/>
      <c r="Y1" s="7"/>
      <c r="Z1" s="7"/>
    </row>
    <row r="2" ht="20.25" customHeight="1">
      <c r="A2" s="20" t="s">
        <v>13625</v>
      </c>
      <c r="B2" s="20" t="s">
        <v>13626</v>
      </c>
      <c r="C2" s="20" t="s">
        <v>13627</v>
      </c>
      <c r="D2" s="7"/>
      <c r="E2" s="7"/>
      <c r="F2" s="7"/>
      <c r="G2" s="7"/>
      <c r="H2" s="7"/>
      <c r="I2" s="7"/>
      <c r="J2" s="7"/>
      <c r="K2" s="7"/>
      <c r="L2" s="7"/>
      <c r="M2" s="7"/>
      <c r="N2" s="7"/>
      <c r="O2" s="7"/>
      <c r="P2" s="7"/>
      <c r="Q2" s="7"/>
      <c r="R2" s="7"/>
      <c r="S2" s="7"/>
      <c r="T2" s="7"/>
      <c r="U2" s="7"/>
      <c r="V2" s="7"/>
      <c r="W2" s="7"/>
      <c r="X2" s="7"/>
      <c r="Y2" s="7"/>
      <c r="Z2" s="7"/>
    </row>
    <row r="3" ht="56.25" customHeight="1">
      <c r="A3" s="22" t="s">
        <v>13628</v>
      </c>
      <c r="B3" s="23" t="s">
        <v>13628</v>
      </c>
      <c r="C3" s="24" t="s">
        <v>13629</v>
      </c>
      <c r="D3" s="7"/>
      <c r="E3" s="7"/>
      <c r="F3" s="7"/>
      <c r="G3" s="7"/>
      <c r="H3" s="7"/>
      <c r="I3" s="7"/>
      <c r="J3" s="7"/>
      <c r="K3" s="7"/>
      <c r="L3" s="7"/>
      <c r="M3" s="7"/>
      <c r="N3" s="7"/>
      <c r="O3" s="7"/>
      <c r="P3" s="7"/>
      <c r="Q3" s="7"/>
      <c r="R3" s="7"/>
      <c r="S3" s="7"/>
      <c r="T3" s="7"/>
      <c r="U3" s="7"/>
      <c r="V3" s="7"/>
      <c r="W3" s="7"/>
      <c r="X3" s="7"/>
      <c r="Y3" s="7"/>
      <c r="Z3" s="7"/>
    </row>
    <row r="4" ht="19.5" customHeight="1">
      <c r="A4" s="26" t="s">
        <v>26</v>
      </c>
      <c r="B4" s="27" t="s">
        <v>13630</v>
      </c>
      <c r="C4" s="28" t="s">
        <v>13631</v>
      </c>
      <c r="D4" s="7"/>
      <c r="E4" s="7"/>
      <c r="F4" s="7"/>
      <c r="G4" s="7"/>
      <c r="H4" s="7"/>
      <c r="I4" s="7"/>
      <c r="J4" s="7"/>
      <c r="K4" s="7"/>
      <c r="L4" s="7"/>
      <c r="M4" s="7"/>
      <c r="N4" s="7"/>
      <c r="O4" s="7"/>
      <c r="P4" s="7"/>
      <c r="Q4" s="7"/>
      <c r="R4" s="7"/>
      <c r="S4" s="7"/>
      <c r="T4" s="7"/>
      <c r="U4" s="7"/>
      <c r="V4" s="7"/>
      <c r="W4" s="7"/>
      <c r="X4" s="7"/>
      <c r="Y4" s="7"/>
      <c r="Z4" s="7"/>
    </row>
    <row r="5" ht="19.5" customHeight="1">
      <c r="A5" s="26" t="s">
        <v>13632</v>
      </c>
      <c r="B5" s="27" t="s">
        <v>13632</v>
      </c>
      <c r="C5" s="28" t="s">
        <v>13633</v>
      </c>
      <c r="D5" s="7"/>
      <c r="E5" s="7"/>
      <c r="F5" s="7"/>
      <c r="G5" s="7"/>
      <c r="H5" s="7"/>
      <c r="I5" s="7"/>
      <c r="J5" s="7"/>
      <c r="K5" s="7"/>
      <c r="L5" s="7"/>
      <c r="M5" s="7"/>
      <c r="N5" s="7"/>
      <c r="O5" s="7"/>
      <c r="P5" s="7"/>
      <c r="Q5" s="7"/>
      <c r="R5" s="7"/>
      <c r="S5" s="7"/>
      <c r="T5" s="7"/>
      <c r="U5" s="7"/>
      <c r="V5" s="7"/>
      <c r="W5" s="7"/>
      <c r="X5" s="7"/>
      <c r="Y5" s="7"/>
      <c r="Z5" s="7"/>
    </row>
    <row r="6" ht="31.5" customHeight="1">
      <c r="A6" s="26" t="s">
        <v>13634</v>
      </c>
      <c r="B6" s="27" t="s">
        <v>13634</v>
      </c>
      <c r="C6" s="28" t="s">
        <v>13635</v>
      </c>
      <c r="D6" s="7"/>
      <c r="E6" s="7"/>
      <c r="F6" s="7"/>
      <c r="G6" s="7"/>
      <c r="H6" s="7"/>
      <c r="I6" s="7"/>
      <c r="J6" s="7"/>
      <c r="K6" s="7"/>
      <c r="L6" s="7"/>
      <c r="M6" s="7"/>
      <c r="N6" s="7"/>
      <c r="O6" s="7"/>
      <c r="P6" s="7"/>
      <c r="Q6" s="7"/>
      <c r="R6" s="7"/>
      <c r="S6" s="7"/>
      <c r="T6" s="7"/>
      <c r="U6" s="7"/>
      <c r="V6" s="7"/>
      <c r="W6" s="7"/>
      <c r="X6" s="7"/>
      <c r="Y6" s="7"/>
      <c r="Z6" s="7"/>
    </row>
    <row r="7" ht="43.5" customHeight="1">
      <c r="A7" s="26" t="s">
        <v>36</v>
      </c>
      <c r="B7" s="27" t="s">
        <v>13636</v>
      </c>
      <c r="C7" s="28" t="s">
        <v>13637</v>
      </c>
      <c r="D7" s="7"/>
      <c r="E7" s="7"/>
      <c r="F7" s="7"/>
      <c r="G7" s="7"/>
      <c r="H7" s="7"/>
      <c r="I7" s="7"/>
      <c r="J7" s="7"/>
      <c r="K7" s="7"/>
      <c r="L7" s="7"/>
      <c r="M7" s="7"/>
      <c r="N7" s="7"/>
      <c r="O7" s="7"/>
      <c r="P7" s="7"/>
      <c r="Q7" s="7"/>
      <c r="R7" s="7"/>
      <c r="S7" s="7"/>
      <c r="T7" s="7"/>
      <c r="U7" s="7"/>
      <c r="V7" s="7"/>
      <c r="W7" s="7"/>
      <c r="X7" s="7"/>
      <c r="Y7" s="7"/>
      <c r="Z7" s="7"/>
    </row>
    <row r="8" ht="19.5" customHeight="1">
      <c r="A8" s="26" t="s">
        <v>32</v>
      </c>
      <c r="B8" s="27" t="s">
        <v>13638</v>
      </c>
      <c r="C8" s="28" t="s">
        <v>13639</v>
      </c>
      <c r="D8" s="7"/>
      <c r="E8" s="7"/>
      <c r="F8" s="7"/>
      <c r="G8" s="7"/>
      <c r="H8" s="7"/>
      <c r="I8" s="7"/>
      <c r="J8" s="7"/>
      <c r="K8" s="7"/>
      <c r="L8" s="7"/>
      <c r="M8" s="7"/>
      <c r="N8" s="7"/>
      <c r="O8" s="7"/>
      <c r="P8" s="7"/>
      <c r="Q8" s="7"/>
      <c r="R8" s="7"/>
      <c r="S8" s="7"/>
      <c r="T8" s="7"/>
      <c r="U8" s="7"/>
      <c r="V8" s="7"/>
      <c r="W8" s="7"/>
      <c r="X8" s="7"/>
      <c r="Y8" s="7"/>
      <c r="Z8" s="7"/>
    </row>
    <row r="9" ht="19.5" customHeight="1">
      <c r="A9" s="26" t="s">
        <v>178</v>
      </c>
      <c r="B9" s="27" t="s">
        <v>13640</v>
      </c>
      <c r="C9" s="28" t="s">
        <v>13641</v>
      </c>
      <c r="D9" s="7"/>
      <c r="E9" s="7"/>
      <c r="F9" s="7"/>
      <c r="G9" s="7"/>
      <c r="H9" s="7"/>
      <c r="I9" s="7"/>
      <c r="J9" s="7"/>
      <c r="K9" s="7"/>
      <c r="L9" s="7"/>
      <c r="M9" s="7"/>
      <c r="N9" s="7"/>
      <c r="O9" s="7"/>
      <c r="P9" s="7"/>
      <c r="Q9" s="7"/>
      <c r="R9" s="7"/>
      <c r="S9" s="7"/>
      <c r="T9" s="7"/>
      <c r="U9" s="7"/>
      <c r="V9" s="7"/>
      <c r="W9" s="7"/>
      <c r="X9" s="7"/>
      <c r="Y9" s="7"/>
      <c r="Z9" s="7"/>
    </row>
    <row r="10" ht="19.5" customHeight="1">
      <c r="A10" s="26" t="s">
        <v>100</v>
      </c>
      <c r="B10" s="27" t="s">
        <v>13642</v>
      </c>
      <c r="C10" s="28" t="s">
        <v>13643</v>
      </c>
      <c r="D10" s="7"/>
      <c r="E10" s="7"/>
      <c r="F10" s="7"/>
      <c r="G10" s="7"/>
      <c r="H10" s="7"/>
      <c r="I10" s="7"/>
      <c r="J10" s="7"/>
      <c r="K10" s="7"/>
      <c r="L10" s="7"/>
      <c r="M10" s="7"/>
      <c r="N10" s="7"/>
      <c r="O10" s="7"/>
      <c r="P10" s="7"/>
      <c r="Q10" s="7"/>
      <c r="R10" s="7"/>
      <c r="S10" s="7"/>
      <c r="T10" s="7"/>
      <c r="U10" s="7"/>
      <c r="V10" s="7"/>
      <c r="W10" s="7"/>
      <c r="X10" s="7"/>
      <c r="Y10" s="7"/>
      <c r="Z10" s="7"/>
    </row>
    <row r="11" ht="19.5" customHeight="1">
      <c r="A11" s="26" t="s">
        <v>134</v>
      </c>
      <c r="B11" s="27" t="s">
        <v>13644</v>
      </c>
      <c r="C11" s="28" t="s">
        <v>13645</v>
      </c>
      <c r="D11" s="7"/>
      <c r="E11" s="7"/>
      <c r="F11" s="7"/>
      <c r="G11" s="7"/>
      <c r="H11" s="7"/>
      <c r="I11" s="7"/>
      <c r="J11" s="7"/>
      <c r="K11" s="7"/>
      <c r="L11" s="7"/>
      <c r="M11" s="7"/>
      <c r="N11" s="7"/>
      <c r="O11" s="7"/>
      <c r="P11" s="7"/>
      <c r="Q11" s="7"/>
      <c r="R11" s="7"/>
      <c r="S11" s="7"/>
      <c r="T11" s="7"/>
      <c r="U11" s="7"/>
      <c r="V11" s="7"/>
      <c r="W11" s="7"/>
      <c r="X11" s="7"/>
      <c r="Y11" s="7"/>
      <c r="Z11" s="7"/>
    </row>
    <row r="12" ht="19.5" customHeight="1">
      <c r="A12" s="26" t="s">
        <v>85</v>
      </c>
      <c r="B12" s="27" t="s">
        <v>13646</v>
      </c>
      <c r="C12" s="28" t="s">
        <v>13647</v>
      </c>
      <c r="D12" s="7"/>
      <c r="E12" s="7"/>
      <c r="F12" s="7"/>
      <c r="G12" s="7"/>
      <c r="H12" s="7"/>
      <c r="I12" s="7"/>
      <c r="J12" s="7"/>
      <c r="K12" s="7"/>
      <c r="L12" s="7"/>
      <c r="M12" s="7"/>
      <c r="N12" s="7"/>
      <c r="O12" s="7"/>
      <c r="P12" s="7"/>
      <c r="Q12" s="7"/>
      <c r="R12" s="7"/>
      <c r="S12" s="7"/>
      <c r="T12" s="7"/>
      <c r="U12" s="7"/>
      <c r="V12" s="7"/>
      <c r="W12" s="7"/>
      <c r="X12" s="7"/>
      <c r="Y12" s="7"/>
      <c r="Z12" s="7"/>
    </row>
    <row r="13" ht="19.5" customHeight="1">
      <c r="A13" s="26" t="s">
        <v>150</v>
      </c>
      <c r="B13" s="27" t="s">
        <v>13648</v>
      </c>
      <c r="C13" s="28" t="s">
        <v>13649</v>
      </c>
      <c r="D13" s="7"/>
      <c r="E13" s="7"/>
      <c r="F13" s="7"/>
      <c r="G13" s="7"/>
      <c r="H13" s="7"/>
      <c r="I13" s="7"/>
      <c r="J13" s="7"/>
      <c r="K13" s="7"/>
      <c r="L13" s="7"/>
      <c r="M13" s="7"/>
      <c r="N13" s="7"/>
      <c r="O13" s="7"/>
      <c r="P13" s="7"/>
      <c r="Q13" s="7"/>
      <c r="R13" s="7"/>
      <c r="S13" s="7"/>
      <c r="T13" s="7"/>
      <c r="U13" s="7"/>
      <c r="V13" s="7"/>
      <c r="W13" s="7"/>
      <c r="X13" s="7"/>
      <c r="Y13" s="7"/>
      <c r="Z13" s="7"/>
    </row>
    <row r="14" ht="31.5" customHeight="1">
      <c r="A14" s="26" t="s">
        <v>728</v>
      </c>
      <c r="B14" s="27" t="s">
        <v>13650</v>
      </c>
      <c r="C14" s="28" t="s">
        <v>13651</v>
      </c>
      <c r="D14" s="7"/>
      <c r="E14" s="7"/>
      <c r="F14" s="7"/>
      <c r="G14" s="7"/>
      <c r="H14" s="7"/>
      <c r="I14" s="7"/>
      <c r="J14" s="7"/>
      <c r="K14" s="7"/>
      <c r="L14" s="7"/>
      <c r="M14" s="7"/>
      <c r="N14" s="7"/>
      <c r="O14" s="7"/>
      <c r="P14" s="7"/>
      <c r="Q14" s="7"/>
      <c r="R14" s="7"/>
      <c r="S14" s="7"/>
      <c r="T14" s="7"/>
      <c r="U14" s="7"/>
      <c r="V14" s="7"/>
      <c r="W14" s="7"/>
      <c r="X14" s="7"/>
      <c r="Y14" s="7"/>
      <c r="Z14" s="7"/>
    </row>
    <row r="15" ht="31.5" customHeight="1">
      <c r="A15" s="26" t="s">
        <v>4654</v>
      </c>
      <c r="B15" s="27" t="s">
        <v>13652</v>
      </c>
      <c r="C15" s="28" t="s">
        <v>13653</v>
      </c>
      <c r="D15" s="7"/>
      <c r="E15" s="7"/>
      <c r="F15" s="7"/>
      <c r="G15" s="7"/>
      <c r="H15" s="7"/>
      <c r="I15" s="7"/>
      <c r="J15" s="7"/>
      <c r="K15" s="7"/>
      <c r="L15" s="7"/>
      <c r="M15" s="7"/>
      <c r="N15" s="7"/>
      <c r="O15" s="7"/>
      <c r="P15" s="7"/>
      <c r="Q15" s="7"/>
      <c r="R15" s="7"/>
      <c r="S15" s="7"/>
      <c r="T15" s="7"/>
      <c r="U15" s="7"/>
      <c r="V15" s="7"/>
      <c r="W15" s="7"/>
      <c r="X15" s="7"/>
      <c r="Y15" s="7"/>
      <c r="Z15" s="7"/>
    </row>
    <row r="16" ht="19.5" customHeight="1">
      <c r="A16" s="7"/>
      <c r="B16" s="7"/>
      <c r="C16" s="7"/>
      <c r="D16" s="7"/>
      <c r="E16" s="7"/>
      <c r="F16" s="7"/>
      <c r="G16" s="7"/>
      <c r="H16" s="7"/>
      <c r="I16" s="7"/>
      <c r="J16" s="7"/>
      <c r="K16" s="7"/>
      <c r="L16" s="7"/>
      <c r="M16" s="7"/>
      <c r="N16" s="7"/>
      <c r="O16" s="7"/>
      <c r="P16" s="7"/>
      <c r="Q16" s="7"/>
      <c r="R16" s="7"/>
      <c r="S16" s="7"/>
      <c r="T16" s="7"/>
      <c r="U16" s="7"/>
      <c r="V16" s="7"/>
      <c r="W16" s="7"/>
      <c r="X16" s="7"/>
      <c r="Y16" s="7"/>
      <c r="Z16" s="7"/>
    </row>
    <row r="17" ht="19.5" customHeight="1">
      <c r="A17" s="7"/>
      <c r="B17" s="7"/>
      <c r="C17" s="7"/>
      <c r="D17" s="7"/>
      <c r="E17" s="7"/>
      <c r="F17" s="7"/>
      <c r="G17" s="7"/>
      <c r="H17" s="7"/>
      <c r="I17" s="7"/>
      <c r="J17" s="7"/>
      <c r="K17" s="7"/>
      <c r="L17" s="7"/>
      <c r="M17" s="7"/>
      <c r="N17" s="7"/>
      <c r="O17" s="7"/>
      <c r="P17" s="7"/>
      <c r="Q17" s="7"/>
      <c r="R17" s="7"/>
      <c r="S17" s="7"/>
      <c r="T17" s="7"/>
      <c r="U17" s="7"/>
      <c r="V17" s="7"/>
      <c r="W17" s="7"/>
      <c r="X17" s="7"/>
      <c r="Y17" s="7"/>
      <c r="Z17" s="7"/>
    </row>
    <row r="18" ht="19.5" customHeight="1">
      <c r="A18" s="7"/>
      <c r="B18" s="7"/>
      <c r="C18" s="7"/>
      <c r="D18" s="7"/>
      <c r="E18" s="7"/>
      <c r="F18" s="7"/>
      <c r="G18" s="7"/>
      <c r="H18" s="7"/>
      <c r="I18" s="7"/>
      <c r="J18" s="7"/>
      <c r="K18" s="7"/>
      <c r="L18" s="7"/>
      <c r="M18" s="7"/>
      <c r="N18" s="7"/>
      <c r="O18" s="7"/>
      <c r="P18" s="7"/>
      <c r="Q18" s="7"/>
      <c r="R18" s="7"/>
      <c r="S18" s="7"/>
      <c r="T18" s="7"/>
      <c r="U18" s="7"/>
      <c r="V18" s="7"/>
      <c r="W18" s="7"/>
      <c r="X18" s="7"/>
      <c r="Y18" s="7"/>
      <c r="Z18" s="7"/>
    </row>
    <row r="19" ht="19.5" customHeight="1">
      <c r="A19" s="7"/>
      <c r="B19" s="7"/>
      <c r="C19" s="7"/>
      <c r="D19" s="7"/>
      <c r="E19" s="7"/>
      <c r="F19" s="7"/>
      <c r="G19" s="7"/>
      <c r="H19" s="7"/>
      <c r="I19" s="7"/>
      <c r="J19" s="7"/>
      <c r="K19" s="7"/>
      <c r="L19" s="7"/>
      <c r="M19" s="7"/>
      <c r="N19" s="7"/>
      <c r="O19" s="7"/>
      <c r="P19" s="7"/>
      <c r="Q19" s="7"/>
      <c r="R19" s="7"/>
      <c r="S19" s="7"/>
      <c r="T19" s="7"/>
      <c r="U19" s="7"/>
      <c r="V19" s="7"/>
      <c r="W19" s="7"/>
      <c r="X19" s="7"/>
      <c r="Y19" s="7"/>
      <c r="Z19" s="7"/>
    </row>
    <row r="20" ht="19.5" customHeight="1">
      <c r="A20" s="7"/>
      <c r="B20" s="7"/>
      <c r="C20" s="7"/>
      <c r="D20" s="7"/>
      <c r="E20" s="7"/>
      <c r="F20" s="7"/>
      <c r="G20" s="7"/>
      <c r="H20" s="7"/>
      <c r="I20" s="7"/>
      <c r="J20" s="7"/>
      <c r="K20" s="7"/>
      <c r="L20" s="7"/>
      <c r="M20" s="7"/>
      <c r="N20" s="7"/>
      <c r="O20" s="7"/>
      <c r="P20" s="7"/>
      <c r="Q20" s="7"/>
      <c r="R20" s="7"/>
      <c r="S20" s="7"/>
      <c r="T20" s="7"/>
      <c r="U20" s="7"/>
      <c r="V20" s="7"/>
      <c r="W20" s="7"/>
      <c r="X20" s="7"/>
      <c r="Y20" s="7"/>
      <c r="Z20" s="7"/>
    </row>
    <row r="21" ht="19.5" customHeight="1">
      <c r="A21" s="7"/>
      <c r="B21" s="7"/>
      <c r="C21" s="7"/>
      <c r="D21" s="7"/>
      <c r="E21" s="7"/>
      <c r="F21" s="7"/>
      <c r="G21" s="7"/>
      <c r="H21" s="7"/>
      <c r="I21" s="7"/>
      <c r="J21" s="7"/>
      <c r="K21" s="7"/>
      <c r="L21" s="7"/>
      <c r="M21" s="7"/>
      <c r="N21" s="7"/>
      <c r="O21" s="7"/>
      <c r="P21" s="7"/>
      <c r="Q21" s="7"/>
      <c r="R21" s="7"/>
      <c r="S21" s="7"/>
      <c r="T21" s="7"/>
      <c r="U21" s="7"/>
      <c r="V21" s="7"/>
      <c r="W21" s="7"/>
      <c r="X21" s="7"/>
      <c r="Y21" s="7"/>
      <c r="Z21" s="7"/>
    </row>
    <row r="22" ht="19.5" customHeight="1">
      <c r="A22" s="7"/>
      <c r="B22" s="7"/>
      <c r="C22" s="7"/>
      <c r="D22" s="7"/>
      <c r="E22" s="7"/>
      <c r="F22" s="7"/>
      <c r="G22" s="7"/>
      <c r="H22" s="7"/>
      <c r="I22" s="7"/>
      <c r="J22" s="7"/>
      <c r="K22" s="7"/>
      <c r="L22" s="7"/>
      <c r="M22" s="7"/>
      <c r="N22" s="7"/>
      <c r="O22" s="7"/>
      <c r="P22" s="7"/>
      <c r="Q22" s="7"/>
      <c r="R22" s="7"/>
      <c r="S22" s="7"/>
      <c r="T22" s="7"/>
      <c r="U22" s="7"/>
      <c r="V22" s="7"/>
      <c r="W22" s="7"/>
      <c r="X22" s="7"/>
      <c r="Y22" s="7"/>
      <c r="Z22" s="7"/>
    </row>
    <row r="23" ht="19.5" customHeight="1">
      <c r="A23" s="7"/>
      <c r="B23" s="7"/>
      <c r="C23" s="7"/>
      <c r="D23" s="7"/>
      <c r="E23" s="7"/>
      <c r="F23" s="7"/>
      <c r="G23" s="7"/>
      <c r="H23" s="7"/>
      <c r="I23" s="7"/>
      <c r="J23" s="7"/>
      <c r="K23" s="7"/>
      <c r="L23" s="7"/>
      <c r="M23" s="7"/>
      <c r="N23" s="7"/>
      <c r="O23" s="7"/>
      <c r="P23" s="7"/>
      <c r="Q23" s="7"/>
      <c r="R23" s="7"/>
      <c r="S23" s="7"/>
      <c r="T23" s="7"/>
      <c r="U23" s="7"/>
      <c r="V23" s="7"/>
      <c r="W23" s="7"/>
      <c r="X23" s="7"/>
      <c r="Y23" s="7"/>
      <c r="Z23" s="7"/>
    </row>
    <row r="24" ht="19.5" customHeight="1">
      <c r="A24" s="7"/>
      <c r="B24" s="7"/>
      <c r="C24" s="7"/>
      <c r="D24" s="7"/>
      <c r="E24" s="7"/>
      <c r="F24" s="7"/>
      <c r="G24" s="7"/>
      <c r="H24" s="7"/>
      <c r="I24" s="7"/>
      <c r="J24" s="7"/>
      <c r="K24" s="7"/>
      <c r="L24" s="7"/>
      <c r="M24" s="7"/>
      <c r="N24" s="7"/>
      <c r="O24" s="7"/>
      <c r="P24" s="7"/>
      <c r="Q24" s="7"/>
      <c r="R24" s="7"/>
      <c r="S24" s="7"/>
      <c r="T24" s="7"/>
      <c r="U24" s="7"/>
      <c r="V24" s="7"/>
      <c r="W24" s="7"/>
      <c r="X24" s="7"/>
      <c r="Y24" s="7"/>
      <c r="Z24" s="7"/>
    </row>
    <row r="25" ht="19.5" customHeight="1">
      <c r="A25" s="7"/>
      <c r="B25" s="7"/>
      <c r="C25" s="7"/>
      <c r="D25" s="7"/>
      <c r="E25" s="7"/>
      <c r="F25" s="7"/>
      <c r="G25" s="7"/>
      <c r="H25" s="7"/>
      <c r="I25" s="7"/>
      <c r="J25" s="7"/>
      <c r="K25" s="7"/>
      <c r="L25" s="7"/>
      <c r="M25" s="7"/>
      <c r="N25" s="7"/>
      <c r="O25" s="7"/>
      <c r="P25" s="7"/>
      <c r="Q25" s="7"/>
      <c r="R25" s="7"/>
      <c r="S25" s="7"/>
      <c r="T25" s="7"/>
      <c r="U25" s="7"/>
      <c r="V25" s="7"/>
      <c r="W25" s="7"/>
      <c r="X25" s="7"/>
      <c r="Y25" s="7"/>
      <c r="Z25" s="7"/>
    </row>
    <row r="26" ht="19.5" customHeight="1">
      <c r="A26" s="7"/>
      <c r="B26" s="7"/>
      <c r="C26" s="7"/>
      <c r="D26" s="7"/>
      <c r="E26" s="7"/>
      <c r="F26" s="7"/>
      <c r="G26" s="7"/>
      <c r="H26" s="7"/>
      <c r="I26" s="7"/>
      <c r="J26" s="7"/>
      <c r="K26" s="7"/>
      <c r="L26" s="7"/>
      <c r="M26" s="7"/>
      <c r="N26" s="7"/>
      <c r="O26" s="7"/>
      <c r="P26" s="7"/>
      <c r="Q26" s="7"/>
      <c r="R26" s="7"/>
      <c r="S26" s="7"/>
      <c r="T26" s="7"/>
      <c r="U26" s="7"/>
      <c r="V26" s="7"/>
      <c r="W26" s="7"/>
      <c r="X26" s="7"/>
      <c r="Y26" s="7"/>
      <c r="Z26" s="7"/>
    </row>
    <row r="27" ht="19.5" customHeight="1">
      <c r="A27" s="7"/>
      <c r="B27" s="7"/>
      <c r="C27" s="7"/>
      <c r="D27" s="7"/>
      <c r="E27" s="7"/>
      <c r="F27" s="7"/>
      <c r="G27" s="7"/>
      <c r="H27" s="7"/>
      <c r="I27" s="7"/>
      <c r="J27" s="7"/>
      <c r="K27" s="7"/>
      <c r="L27" s="7"/>
      <c r="M27" s="7"/>
      <c r="N27" s="7"/>
      <c r="O27" s="7"/>
      <c r="P27" s="7"/>
      <c r="Q27" s="7"/>
      <c r="R27" s="7"/>
      <c r="S27" s="7"/>
      <c r="T27" s="7"/>
      <c r="U27" s="7"/>
      <c r="V27" s="7"/>
      <c r="W27" s="7"/>
      <c r="X27" s="7"/>
      <c r="Y27" s="7"/>
      <c r="Z27" s="7"/>
    </row>
    <row r="28" ht="19.5" customHeight="1">
      <c r="A28" s="7"/>
      <c r="B28" s="7"/>
      <c r="C28" s="7"/>
      <c r="D28" s="7"/>
      <c r="E28" s="7"/>
      <c r="F28" s="7"/>
      <c r="G28" s="7"/>
      <c r="H28" s="7"/>
      <c r="I28" s="7"/>
      <c r="J28" s="7"/>
      <c r="K28" s="7"/>
      <c r="L28" s="7"/>
      <c r="M28" s="7"/>
      <c r="N28" s="7"/>
      <c r="O28" s="7"/>
      <c r="P28" s="7"/>
      <c r="Q28" s="7"/>
      <c r="R28" s="7"/>
      <c r="S28" s="7"/>
      <c r="T28" s="7"/>
      <c r="U28" s="7"/>
      <c r="V28" s="7"/>
      <c r="W28" s="7"/>
      <c r="X28" s="7"/>
      <c r="Y28" s="7"/>
      <c r="Z28" s="7"/>
    </row>
    <row r="29" ht="19.5" customHeight="1">
      <c r="A29" s="7"/>
      <c r="B29" s="7"/>
      <c r="C29" s="7"/>
      <c r="D29" s="7"/>
      <c r="E29" s="7"/>
      <c r="F29" s="7"/>
      <c r="G29" s="7"/>
      <c r="H29" s="7"/>
      <c r="I29" s="7"/>
      <c r="J29" s="7"/>
      <c r="K29" s="7"/>
      <c r="L29" s="7"/>
      <c r="M29" s="7"/>
      <c r="N29" s="7"/>
      <c r="O29" s="7"/>
      <c r="P29" s="7"/>
      <c r="Q29" s="7"/>
      <c r="R29" s="7"/>
      <c r="S29" s="7"/>
      <c r="T29" s="7"/>
      <c r="U29" s="7"/>
      <c r="V29" s="7"/>
      <c r="W29" s="7"/>
      <c r="X29" s="7"/>
      <c r="Y29" s="7"/>
      <c r="Z29" s="7"/>
    </row>
    <row r="30" ht="19.5" customHeight="1">
      <c r="A30" s="7"/>
      <c r="B30" s="7"/>
      <c r="C30" s="7"/>
      <c r="D30" s="7"/>
      <c r="E30" s="7"/>
      <c r="F30" s="7"/>
      <c r="G30" s="7"/>
      <c r="H30" s="7"/>
      <c r="I30" s="7"/>
      <c r="J30" s="7"/>
      <c r="K30" s="7"/>
      <c r="L30" s="7"/>
      <c r="M30" s="7"/>
      <c r="N30" s="7"/>
      <c r="O30" s="7"/>
      <c r="P30" s="7"/>
      <c r="Q30" s="7"/>
      <c r="R30" s="7"/>
      <c r="S30" s="7"/>
      <c r="T30" s="7"/>
      <c r="U30" s="7"/>
      <c r="V30" s="7"/>
      <c r="W30" s="7"/>
      <c r="X30" s="7"/>
      <c r="Y30" s="7"/>
      <c r="Z30" s="7"/>
    </row>
    <row r="31" ht="19.5" customHeight="1">
      <c r="A31" s="7"/>
      <c r="B31" s="7"/>
      <c r="C31" s="7"/>
      <c r="D31" s="7"/>
      <c r="E31" s="7"/>
      <c r="F31" s="7"/>
      <c r="G31" s="7"/>
      <c r="H31" s="7"/>
      <c r="I31" s="7"/>
      <c r="J31" s="7"/>
      <c r="K31" s="7"/>
      <c r="L31" s="7"/>
      <c r="M31" s="7"/>
      <c r="N31" s="7"/>
      <c r="O31" s="7"/>
      <c r="P31" s="7"/>
      <c r="Q31" s="7"/>
      <c r="R31" s="7"/>
      <c r="S31" s="7"/>
      <c r="T31" s="7"/>
      <c r="U31" s="7"/>
      <c r="V31" s="7"/>
      <c r="W31" s="7"/>
      <c r="X31" s="7"/>
      <c r="Y31" s="7"/>
      <c r="Z31" s="7"/>
    </row>
    <row r="32" ht="19.5" customHeight="1">
      <c r="A32" s="7"/>
      <c r="B32" s="7"/>
      <c r="C32" s="7"/>
      <c r="D32" s="7"/>
      <c r="E32" s="7"/>
      <c r="F32" s="7"/>
      <c r="G32" s="7"/>
      <c r="H32" s="7"/>
      <c r="I32" s="7"/>
      <c r="J32" s="7"/>
      <c r="K32" s="7"/>
      <c r="L32" s="7"/>
      <c r="M32" s="7"/>
      <c r="N32" s="7"/>
      <c r="O32" s="7"/>
      <c r="P32" s="7"/>
      <c r="Q32" s="7"/>
      <c r="R32" s="7"/>
      <c r="S32" s="7"/>
      <c r="T32" s="7"/>
      <c r="U32" s="7"/>
      <c r="V32" s="7"/>
      <c r="W32" s="7"/>
      <c r="X32" s="7"/>
      <c r="Y32" s="7"/>
      <c r="Z32" s="7"/>
    </row>
    <row r="33" ht="19.5" customHeight="1">
      <c r="A33" s="7"/>
      <c r="B33" s="7"/>
      <c r="C33" s="7"/>
      <c r="D33" s="7"/>
      <c r="E33" s="7"/>
      <c r="F33" s="7"/>
      <c r="G33" s="7"/>
      <c r="H33" s="7"/>
      <c r="I33" s="7"/>
      <c r="J33" s="7"/>
      <c r="K33" s="7"/>
      <c r="L33" s="7"/>
      <c r="M33" s="7"/>
      <c r="N33" s="7"/>
      <c r="O33" s="7"/>
      <c r="P33" s="7"/>
      <c r="Q33" s="7"/>
      <c r="R33" s="7"/>
      <c r="S33" s="7"/>
      <c r="T33" s="7"/>
      <c r="U33" s="7"/>
      <c r="V33" s="7"/>
      <c r="W33" s="7"/>
      <c r="X33" s="7"/>
      <c r="Y33" s="7"/>
      <c r="Z33" s="7"/>
    </row>
    <row r="34" ht="19.5" customHeight="1">
      <c r="A34" s="7"/>
      <c r="B34" s="7"/>
      <c r="C34" s="7"/>
      <c r="D34" s="7"/>
      <c r="E34" s="7"/>
      <c r="F34" s="7"/>
      <c r="G34" s="7"/>
      <c r="H34" s="7"/>
      <c r="I34" s="7"/>
      <c r="J34" s="7"/>
      <c r="K34" s="7"/>
      <c r="L34" s="7"/>
      <c r="M34" s="7"/>
      <c r="N34" s="7"/>
      <c r="O34" s="7"/>
      <c r="P34" s="7"/>
      <c r="Q34" s="7"/>
      <c r="R34" s="7"/>
      <c r="S34" s="7"/>
      <c r="T34" s="7"/>
      <c r="U34" s="7"/>
      <c r="V34" s="7"/>
      <c r="W34" s="7"/>
      <c r="X34" s="7"/>
      <c r="Y34" s="7"/>
      <c r="Z34" s="7"/>
    </row>
    <row r="35" ht="19.5" customHeight="1">
      <c r="A35" s="7"/>
      <c r="B35" s="7"/>
      <c r="C35" s="7"/>
      <c r="D35" s="7"/>
      <c r="E35" s="7"/>
      <c r="F35" s="7"/>
      <c r="G35" s="7"/>
      <c r="H35" s="7"/>
      <c r="I35" s="7"/>
      <c r="J35" s="7"/>
      <c r="K35" s="7"/>
      <c r="L35" s="7"/>
      <c r="M35" s="7"/>
      <c r="N35" s="7"/>
      <c r="O35" s="7"/>
      <c r="P35" s="7"/>
      <c r="Q35" s="7"/>
      <c r="R35" s="7"/>
      <c r="S35" s="7"/>
      <c r="T35" s="7"/>
      <c r="U35" s="7"/>
      <c r="V35" s="7"/>
      <c r="W35" s="7"/>
      <c r="X35" s="7"/>
      <c r="Y35" s="7"/>
      <c r="Z35" s="7"/>
    </row>
    <row r="36" ht="19.5" customHeight="1">
      <c r="A36" s="7"/>
      <c r="B36" s="7"/>
      <c r="C36" s="7"/>
      <c r="D36" s="7"/>
      <c r="E36" s="7"/>
      <c r="F36" s="7"/>
      <c r="G36" s="7"/>
      <c r="H36" s="7"/>
      <c r="I36" s="7"/>
      <c r="J36" s="7"/>
      <c r="K36" s="7"/>
      <c r="L36" s="7"/>
      <c r="M36" s="7"/>
      <c r="N36" s="7"/>
      <c r="O36" s="7"/>
      <c r="P36" s="7"/>
      <c r="Q36" s="7"/>
      <c r="R36" s="7"/>
      <c r="S36" s="7"/>
      <c r="T36" s="7"/>
      <c r="U36" s="7"/>
      <c r="V36" s="7"/>
      <c r="W36" s="7"/>
      <c r="X36" s="7"/>
      <c r="Y36" s="7"/>
      <c r="Z36" s="7"/>
    </row>
    <row r="37" ht="19.5" customHeight="1">
      <c r="A37" s="7"/>
      <c r="B37" s="7"/>
      <c r="C37" s="7"/>
      <c r="D37" s="7"/>
      <c r="E37" s="7"/>
      <c r="F37" s="7"/>
      <c r="G37" s="7"/>
      <c r="H37" s="7"/>
      <c r="I37" s="7"/>
      <c r="J37" s="7"/>
      <c r="K37" s="7"/>
      <c r="L37" s="7"/>
      <c r="M37" s="7"/>
      <c r="N37" s="7"/>
      <c r="O37" s="7"/>
      <c r="P37" s="7"/>
      <c r="Q37" s="7"/>
      <c r="R37" s="7"/>
      <c r="S37" s="7"/>
      <c r="T37" s="7"/>
      <c r="U37" s="7"/>
      <c r="V37" s="7"/>
      <c r="W37" s="7"/>
      <c r="X37" s="7"/>
      <c r="Y37" s="7"/>
      <c r="Z37" s="7"/>
    </row>
    <row r="38" ht="19.5" customHeight="1">
      <c r="A38" s="7"/>
      <c r="B38" s="7"/>
      <c r="C38" s="7"/>
      <c r="D38" s="7"/>
      <c r="E38" s="7"/>
      <c r="F38" s="7"/>
      <c r="G38" s="7"/>
      <c r="H38" s="7"/>
      <c r="I38" s="7"/>
      <c r="J38" s="7"/>
      <c r="K38" s="7"/>
      <c r="L38" s="7"/>
      <c r="M38" s="7"/>
      <c r="N38" s="7"/>
      <c r="O38" s="7"/>
      <c r="P38" s="7"/>
      <c r="Q38" s="7"/>
      <c r="R38" s="7"/>
      <c r="S38" s="7"/>
      <c r="T38" s="7"/>
      <c r="U38" s="7"/>
      <c r="V38" s="7"/>
      <c r="W38" s="7"/>
      <c r="X38" s="7"/>
      <c r="Y38" s="7"/>
      <c r="Z38" s="7"/>
    </row>
    <row r="39" ht="19.5" customHeight="1">
      <c r="A39" s="7"/>
      <c r="B39" s="7"/>
      <c r="C39" s="7"/>
      <c r="D39" s="7"/>
      <c r="E39" s="7"/>
      <c r="F39" s="7"/>
      <c r="G39" s="7"/>
      <c r="H39" s="7"/>
      <c r="I39" s="7"/>
      <c r="J39" s="7"/>
      <c r="K39" s="7"/>
      <c r="L39" s="7"/>
      <c r="M39" s="7"/>
      <c r="N39" s="7"/>
      <c r="O39" s="7"/>
      <c r="P39" s="7"/>
      <c r="Q39" s="7"/>
      <c r="R39" s="7"/>
      <c r="S39" s="7"/>
      <c r="T39" s="7"/>
      <c r="U39" s="7"/>
      <c r="V39" s="7"/>
      <c r="W39" s="7"/>
      <c r="X39" s="7"/>
      <c r="Y39" s="7"/>
      <c r="Z39" s="7"/>
    </row>
    <row r="40" ht="19.5" customHeight="1">
      <c r="A40" s="7"/>
      <c r="B40" s="7"/>
      <c r="C40" s="7"/>
      <c r="D40" s="7"/>
      <c r="E40" s="7"/>
      <c r="F40" s="7"/>
      <c r="G40" s="7"/>
      <c r="H40" s="7"/>
      <c r="I40" s="7"/>
      <c r="J40" s="7"/>
      <c r="K40" s="7"/>
      <c r="L40" s="7"/>
      <c r="M40" s="7"/>
      <c r="N40" s="7"/>
      <c r="O40" s="7"/>
      <c r="P40" s="7"/>
      <c r="Q40" s="7"/>
      <c r="R40" s="7"/>
      <c r="S40" s="7"/>
      <c r="T40" s="7"/>
      <c r="U40" s="7"/>
      <c r="V40" s="7"/>
      <c r="W40" s="7"/>
      <c r="X40" s="7"/>
      <c r="Y40" s="7"/>
      <c r="Z40" s="7"/>
    </row>
    <row r="41" ht="19.5" customHeight="1">
      <c r="A41" s="7"/>
      <c r="B41" s="7"/>
      <c r="C41" s="7"/>
      <c r="D41" s="7"/>
      <c r="E41" s="7"/>
      <c r="F41" s="7"/>
      <c r="G41" s="7"/>
      <c r="H41" s="7"/>
      <c r="I41" s="7"/>
      <c r="J41" s="7"/>
      <c r="K41" s="7"/>
      <c r="L41" s="7"/>
      <c r="M41" s="7"/>
      <c r="N41" s="7"/>
      <c r="O41" s="7"/>
      <c r="P41" s="7"/>
      <c r="Q41" s="7"/>
      <c r="R41" s="7"/>
      <c r="S41" s="7"/>
      <c r="T41" s="7"/>
      <c r="U41" s="7"/>
      <c r="V41" s="7"/>
      <c r="W41" s="7"/>
      <c r="X41" s="7"/>
      <c r="Y41" s="7"/>
      <c r="Z41" s="7"/>
    </row>
    <row r="42" ht="19.5" customHeight="1">
      <c r="A42" s="7"/>
      <c r="B42" s="7"/>
      <c r="C42" s="7"/>
      <c r="D42" s="7"/>
      <c r="E42" s="7"/>
      <c r="F42" s="7"/>
      <c r="G42" s="7"/>
      <c r="H42" s="7"/>
      <c r="I42" s="7"/>
      <c r="J42" s="7"/>
      <c r="K42" s="7"/>
      <c r="L42" s="7"/>
      <c r="M42" s="7"/>
      <c r="N42" s="7"/>
      <c r="O42" s="7"/>
      <c r="P42" s="7"/>
      <c r="Q42" s="7"/>
      <c r="R42" s="7"/>
      <c r="S42" s="7"/>
      <c r="T42" s="7"/>
      <c r="U42" s="7"/>
      <c r="V42" s="7"/>
      <c r="W42" s="7"/>
      <c r="X42" s="7"/>
      <c r="Y42" s="7"/>
      <c r="Z42" s="7"/>
    </row>
    <row r="43" ht="19.5" customHeight="1">
      <c r="A43" s="7"/>
      <c r="B43" s="7"/>
      <c r="C43" s="7"/>
      <c r="D43" s="7"/>
      <c r="E43" s="7"/>
      <c r="F43" s="7"/>
      <c r="G43" s="7"/>
      <c r="H43" s="7"/>
      <c r="I43" s="7"/>
      <c r="J43" s="7"/>
      <c r="K43" s="7"/>
      <c r="L43" s="7"/>
      <c r="M43" s="7"/>
      <c r="N43" s="7"/>
      <c r="O43" s="7"/>
      <c r="P43" s="7"/>
      <c r="Q43" s="7"/>
      <c r="R43" s="7"/>
      <c r="S43" s="7"/>
      <c r="T43" s="7"/>
      <c r="U43" s="7"/>
      <c r="V43" s="7"/>
      <c r="W43" s="7"/>
      <c r="X43" s="7"/>
      <c r="Y43" s="7"/>
      <c r="Z43" s="7"/>
    </row>
    <row r="44" ht="19.5" customHeight="1">
      <c r="A44" s="7"/>
      <c r="B44" s="7"/>
      <c r="C44" s="7"/>
      <c r="D44" s="7"/>
      <c r="E44" s="7"/>
      <c r="F44" s="7"/>
      <c r="G44" s="7"/>
      <c r="H44" s="7"/>
      <c r="I44" s="7"/>
      <c r="J44" s="7"/>
      <c r="K44" s="7"/>
      <c r="L44" s="7"/>
      <c r="M44" s="7"/>
      <c r="N44" s="7"/>
      <c r="O44" s="7"/>
      <c r="P44" s="7"/>
      <c r="Q44" s="7"/>
      <c r="R44" s="7"/>
      <c r="S44" s="7"/>
      <c r="T44" s="7"/>
      <c r="U44" s="7"/>
      <c r="V44" s="7"/>
      <c r="W44" s="7"/>
      <c r="X44" s="7"/>
      <c r="Y44" s="7"/>
      <c r="Z44" s="7"/>
    </row>
    <row r="45" ht="19.5" customHeight="1">
      <c r="A45" s="7"/>
      <c r="B45" s="7"/>
      <c r="C45" s="7"/>
      <c r="D45" s="7"/>
      <c r="E45" s="7"/>
      <c r="F45" s="7"/>
      <c r="G45" s="7"/>
      <c r="H45" s="7"/>
      <c r="I45" s="7"/>
      <c r="J45" s="7"/>
      <c r="K45" s="7"/>
      <c r="L45" s="7"/>
      <c r="M45" s="7"/>
      <c r="N45" s="7"/>
      <c r="O45" s="7"/>
      <c r="P45" s="7"/>
      <c r="Q45" s="7"/>
      <c r="R45" s="7"/>
      <c r="S45" s="7"/>
      <c r="T45" s="7"/>
      <c r="U45" s="7"/>
      <c r="V45" s="7"/>
      <c r="W45" s="7"/>
      <c r="X45" s="7"/>
      <c r="Y45" s="7"/>
      <c r="Z45" s="7"/>
    </row>
    <row r="46" ht="19.5" customHeight="1">
      <c r="A46" s="7"/>
      <c r="B46" s="7"/>
      <c r="C46" s="7"/>
      <c r="D46" s="7"/>
      <c r="E46" s="7"/>
      <c r="F46" s="7"/>
      <c r="G46" s="7"/>
      <c r="H46" s="7"/>
      <c r="I46" s="7"/>
      <c r="J46" s="7"/>
      <c r="K46" s="7"/>
      <c r="L46" s="7"/>
      <c r="M46" s="7"/>
      <c r="N46" s="7"/>
      <c r="O46" s="7"/>
      <c r="P46" s="7"/>
      <c r="Q46" s="7"/>
      <c r="R46" s="7"/>
      <c r="S46" s="7"/>
      <c r="T46" s="7"/>
      <c r="U46" s="7"/>
      <c r="V46" s="7"/>
      <c r="W46" s="7"/>
      <c r="X46" s="7"/>
      <c r="Y46" s="7"/>
      <c r="Z46" s="7"/>
    </row>
    <row r="47" ht="19.5" customHeight="1">
      <c r="A47" s="7"/>
      <c r="B47" s="7"/>
      <c r="C47" s="7"/>
      <c r="D47" s="7"/>
      <c r="E47" s="7"/>
      <c r="F47" s="7"/>
      <c r="G47" s="7"/>
      <c r="H47" s="7"/>
      <c r="I47" s="7"/>
      <c r="J47" s="7"/>
      <c r="K47" s="7"/>
      <c r="L47" s="7"/>
      <c r="M47" s="7"/>
      <c r="N47" s="7"/>
      <c r="O47" s="7"/>
      <c r="P47" s="7"/>
      <c r="Q47" s="7"/>
      <c r="R47" s="7"/>
      <c r="S47" s="7"/>
      <c r="T47" s="7"/>
      <c r="U47" s="7"/>
      <c r="V47" s="7"/>
      <c r="W47" s="7"/>
      <c r="X47" s="7"/>
      <c r="Y47" s="7"/>
      <c r="Z47" s="7"/>
    </row>
    <row r="48" ht="19.5" customHeight="1">
      <c r="A48" s="7"/>
      <c r="B48" s="7"/>
      <c r="C48" s="7"/>
      <c r="D48" s="7"/>
      <c r="E48" s="7"/>
      <c r="F48" s="7"/>
      <c r="G48" s="7"/>
      <c r="H48" s="7"/>
      <c r="I48" s="7"/>
      <c r="J48" s="7"/>
      <c r="K48" s="7"/>
      <c r="L48" s="7"/>
      <c r="M48" s="7"/>
      <c r="N48" s="7"/>
      <c r="O48" s="7"/>
      <c r="P48" s="7"/>
      <c r="Q48" s="7"/>
      <c r="R48" s="7"/>
      <c r="S48" s="7"/>
      <c r="T48" s="7"/>
      <c r="U48" s="7"/>
      <c r="V48" s="7"/>
      <c r="W48" s="7"/>
      <c r="X48" s="7"/>
      <c r="Y48" s="7"/>
      <c r="Z48" s="7"/>
    </row>
    <row r="49" ht="19.5" customHeight="1">
      <c r="A49" s="7"/>
      <c r="B49" s="7"/>
      <c r="C49" s="7"/>
      <c r="D49" s="7"/>
      <c r="E49" s="7"/>
      <c r="F49" s="7"/>
      <c r="G49" s="7"/>
      <c r="H49" s="7"/>
      <c r="I49" s="7"/>
      <c r="J49" s="7"/>
      <c r="K49" s="7"/>
      <c r="L49" s="7"/>
      <c r="M49" s="7"/>
      <c r="N49" s="7"/>
      <c r="O49" s="7"/>
      <c r="P49" s="7"/>
      <c r="Q49" s="7"/>
      <c r="R49" s="7"/>
      <c r="S49" s="7"/>
      <c r="T49" s="7"/>
      <c r="U49" s="7"/>
      <c r="V49" s="7"/>
      <c r="W49" s="7"/>
      <c r="X49" s="7"/>
      <c r="Y49" s="7"/>
      <c r="Z49" s="7"/>
    </row>
    <row r="50" ht="19.5" customHeight="1">
      <c r="A50" s="7"/>
      <c r="B50" s="7"/>
      <c r="C50" s="7"/>
      <c r="D50" s="7"/>
      <c r="E50" s="7"/>
      <c r="F50" s="7"/>
      <c r="G50" s="7"/>
      <c r="H50" s="7"/>
      <c r="I50" s="7"/>
      <c r="J50" s="7"/>
      <c r="K50" s="7"/>
      <c r="L50" s="7"/>
      <c r="M50" s="7"/>
      <c r="N50" s="7"/>
      <c r="O50" s="7"/>
      <c r="P50" s="7"/>
      <c r="Q50" s="7"/>
      <c r="R50" s="7"/>
      <c r="S50" s="7"/>
      <c r="T50" s="7"/>
      <c r="U50" s="7"/>
      <c r="V50" s="7"/>
      <c r="W50" s="7"/>
      <c r="X50" s="7"/>
      <c r="Y50" s="7"/>
      <c r="Z50" s="7"/>
    </row>
    <row r="51" ht="19.5" customHeight="1">
      <c r="A51" s="7"/>
      <c r="B51" s="7"/>
      <c r="C51" s="7"/>
      <c r="D51" s="7"/>
      <c r="E51" s="7"/>
      <c r="F51" s="7"/>
      <c r="G51" s="7"/>
      <c r="H51" s="7"/>
      <c r="I51" s="7"/>
      <c r="J51" s="7"/>
      <c r="K51" s="7"/>
      <c r="L51" s="7"/>
      <c r="M51" s="7"/>
      <c r="N51" s="7"/>
      <c r="O51" s="7"/>
      <c r="P51" s="7"/>
      <c r="Q51" s="7"/>
      <c r="R51" s="7"/>
      <c r="S51" s="7"/>
      <c r="T51" s="7"/>
      <c r="U51" s="7"/>
      <c r="V51" s="7"/>
      <c r="W51" s="7"/>
      <c r="X51" s="7"/>
      <c r="Y51" s="7"/>
      <c r="Z51" s="7"/>
    </row>
    <row r="52" ht="19.5" customHeight="1">
      <c r="A52" s="7"/>
      <c r="B52" s="7"/>
      <c r="C52" s="7"/>
      <c r="D52" s="7"/>
      <c r="E52" s="7"/>
      <c r="F52" s="7"/>
      <c r="G52" s="7"/>
      <c r="H52" s="7"/>
      <c r="I52" s="7"/>
      <c r="J52" s="7"/>
      <c r="K52" s="7"/>
      <c r="L52" s="7"/>
      <c r="M52" s="7"/>
      <c r="N52" s="7"/>
      <c r="O52" s="7"/>
      <c r="P52" s="7"/>
      <c r="Q52" s="7"/>
      <c r="R52" s="7"/>
      <c r="S52" s="7"/>
      <c r="T52" s="7"/>
      <c r="U52" s="7"/>
      <c r="V52" s="7"/>
      <c r="W52" s="7"/>
      <c r="X52" s="7"/>
      <c r="Y52" s="7"/>
      <c r="Z52" s="7"/>
    </row>
    <row r="53" ht="19.5" customHeight="1">
      <c r="A53" s="7"/>
      <c r="B53" s="7"/>
      <c r="C53" s="7"/>
      <c r="D53" s="7"/>
      <c r="E53" s="7"/>
      <c r="F53" s="7"/>
      <c r="G53" s="7"/>
      <c r="H53" s="7"/>
      <c r="I53" s="7"/>
      <c r="J53" s="7"/>
      <c r="K53" s="7"/>
      <c r="L53" s="7"/>
      <c r="M53" s="7"/>
      <c r="N53" s="7"/>
      <c r="O53" s="7"/>
      <c r="P53" s="7"/>
      <c r="Q53" s="7"/>
      <c r="R53" s="7"/>
      <c r="S53" s="7"/>
      <c r="T53" s="7"/>
      <c r="U53" s="7"/>
      <c r="V53" s="7"/>
      <c r="W53" s="7"/>
      <c r="X53" s="7"/>
      <c r="Y53" s="7"/>
      <c r="Z53" s="7"/>
    </row>
    <row r="54" ht="19.5" customHeight="1">
      <c r="A54" s="7"/>
      <c r="B54" s="7"/>
      <c r="C54" s="7"/>
      <c r="D54" s="7"/>
      <c r="E54" s="7"/>
      <c r="F54" s="7"/>
      <c r="G54" s="7"/>
      <c r="H54" s="7"/>
      <c r="I54" s="7"/>
      <c r="J54" s="7"/>
      <c r="K54" s="7"/>
      <c r="L54" s="7"/>
      <c r="M54" s="7"/>
      <c r="N54" s="7"/>
      <c r="O54" s="7"/>
      <c r="P54" s="7"/>
      <c r="Q54" s="7"/>
      <c r="R54" s="7"/>
      <c r="S54" s="7"/>
      <c r="T54" s="7"/>
      <c r="U54" s="7"/>
      <c r="V54" s="7"/>
      <c r="W54" s="7"/>
      <c r="X54" s="7"/>
      <c r="Y54" s="7"/>
      <c r="Z54" s="7"/>
    </row>
    <row r="55" ht="19.5" customHeight="1">
      <c r="A55" s="7"/>
      <c r="B55" s="7"/>
      <c r="C55" s="7"/>
      <c r="D55" s="7"/>
      <c r="E55" s="7"/>
      <c r="F55" s="7"/>
      <c r="G55" s="7"/>
      <c r="H55" s="7"/>
      <c r="I55" s="7"/>
      <c r="J55" s="7"/>
      <c r="K55" s="7"/>
      <c r="L55" s="7"/>
      <c r="M55" s="7"/>
      <c r="N55" s="7"/>
      <c r="O55" s="7"/>
      <c r="P55" s="7"/>
      <c r="Q55" s="7"/>
      <c r="R55" s="7"/>
      <c r="S55" s="7"/>
      <c r="T55" s="7"/>
      <c r="U55" s="7"/>
      <c r="V55" s="7"/>
      <c r="W55" s="7"/>
      <c r="X55" s="7"/>
      <c r="Y55" s="7"/>
      <c r="Z55" s="7"/>
    </row>
    <row r="56" ht="19.5" customHeight="1">
      <c r="A56" s="7"/>
      <c r="B56" s="7"/>
      <c r="C56" s="7"/>
      <c r="D56" s="7"/>
      <c r="E56" s="7"/>
      <c r="F56" s="7"/>
      <c r="G56" s="7"/>
      <c r="H56" s="7"/>
      <c r="I56" s="7"/>
      <c r="J56" s="7"/>
      <c r="K56" s="7"/>
      <c r="L56" s="7"/>
      <c r="M56" s="7"/>
      <c r="N56" s="7"/>
      <c r="O56" s="7"/>
      <c r="P56" s="7"/>
      <c r="Q56" s="7"/>
      <c r="R56" s="7"/>
      <c r="S56" s="7"/>
      <c r="T56" s="7"/>
      <c r="U56" s="7"/>
      <c r="V56" s="7"/>
      <c r="W56" s="7"/>
      <c r="X56" s="7"/>
      <c r="Y56" s="7"/>
      <c r="Z56" s="7"/>
    </row>
    <row r="57" ht="19.5" customHeight="1">
      <c r="A57" s="7"/>
      <c r="B57" s="7"/>
      <c r="C57" s="7"/>
      <c r="D57" s="7"/>
      <c r="E57" s="7"/>
      <c r="F57" s="7"/>
      <c r="G57" s="7"/>
      <c r="H57" s="7"/>
      <c r="I57" s="7"/>
      <c r="J57" s="7"/>
      <c r="K57" s="7"/>
      <c r="L57" s="7"/>
      <c r="M57" s="7"/>
      <c r="N57" s="7"/>
      <c r="O57" s="7"/>
      <c r="P57" s="7"/>
      <c r="Q57" s="7"/>
      <c r="R57" s="7"/>
      <c r="S57" s="7"/>
      <c r="T57" s="7"/>
      <c r="U57" s="7"/>
      <c r="V57" s="7"/>
      <c r="W57" s="7"/>
      <c r="X57" s="7"/>
      <c r="Y57" s="7"/>
      <c r="Z57" s="7"/>
    </row>
    <row r="58" ht="19.5" customHeight="1">
      <c r="A58" s="7"/>
      <c r="B58" s="7"/>
      <c r="C58" s="7"/>
      <c r="D58" s="7"/>
      <c r="E58" s="7"/>
      <c r="F58" s="7"/>
      <c r="G58" s="7"/>
      <c r="H58" s="7"/>
      <c r="I58" s="7"/>
      <c r="J58" s="7"/>
      <c r="K58" s="7"/>
      <c r="L58" s="7"/>
      <c r="M58" s="7"/>
      <c r="N58" s="7"/>
      <c r="O58" s="7"/>
      <c r="P58" s="7"/>
      <c r="Q58" s="7"/>
      <c r="R58" s="7"/>
      <c r="S58" s="7"/>
      <c r="T58" s="7"/>
      <c r="U58" s="7"/>
      <c r="V58" s="7"/>
      <c r="W58" s="7"/>
      <c r="X58" s="7"/>
      <c r="Y58" s="7"/>
      <c r="Z58" s="7"/>
    </row>
    <row r="59" ht="19.5" customHeight="1">
      <c r="A59" s="7"/>
      <c r="B59" s="7"/>
      <c r="C59" s="7"/>
      <c r="D59" s="7"/>
      <c r="E59" s="7"/>
      <c r="F59" s="7"/>
      <c r="G59" s="7"/>
      <c r="H59" s="7"/>
      <c r="I59" s="7"/>
      <c r="J59" s="7"/>
      <c r="K59" s="7"/>
      <c r="L59" s="7"/>
      <c r="M59" s="7"/>
      <c r="N59" s="7"/>
      <c r="O59" s="7"/>
      <c r="P59" s="7"/>
      <c r="Q59" s="7"/>
      <c r="R59" s="7"/>
      <c r="S59" s="7"/>
      <c r="T59" s="7"/>
      <c r="U59" s="7"/>
      <c r="V59" s="7"/>
      <c r="W59" s="7"/>
      <c r="X59" s="7"/>
      <c r="Y59" s="7"/>
      <c r="Z59" s="7"/>
    </row>
    <row r="60" ht="19.5" customHeight="1">
      <c r="A60" s="7"/>
      <c r="B60" s="7"/>
      <c r="C60" s="7"/>
      <c r="D60" s="7"/>
      <c r="E60" s="7"/>
      <c r="F60" s="7"/>
      <c r="G60" s="7"/>
      <c r="H60" s="7"/>
      <c r="I60" s="7"/>
      <c r="J60" s="7"/>
      <c r="K60" s="7"/>
      <c r="L60" s="7"/>
      <c r="M60" s="7"/>
      <c r="N60" s="7"/>
      <c r="O60" s="7"/>
      <c r="P60" s="7"/>
      <c r="Q60" s="7"/>
      <c r="R60" s="7"/>
      <c r="S60" s="7"/>
      <c r="T60" s="7"/>
      <c r="U60" s="7"/>
      <c r="V60" s="7"/>
      <c r="W60" s="7"/>
      <c r="X60" s="7"/>
      <c r="Y60" s="7"/>
      <c r="Z60" s="7"/>
    </row>
    <row r="61" ht="19.5" customHeight="1">
      <c r="A61" s="7"/>
      <c r="B61" s="7"/>
      <c r="C61" s="7"/>
      <c r="D61" s="7"/>
      <c r="E61" s="7"/>
      <c r="F61" s="7"/>
      <c r="G61" s="7"/>
      <c r="H61" s="7"/>
      <c r="I61" s="7"/>
      <c r="J61" s="7"/>
      <c r="K61" s="7"/>
      <c r="L61" s="7"/>
      <c r="M61" s="7"/>
      <c r="N61" s="7"/>
      <c r="O61" s="7"/>
      <c r="P61" s="7"/>
      <c r="Q61" s="7"/>
      <c r="R61" s="7"/>
      <c r="S61" s="7"/>
      <c r="T61" s="7"/>
      <c r="U61" s="7"/>
      <c r="V61" s="7"/>
      <c r="W61" s="7"/>
      <c r="X61" s="7"/>
      <c r="Y61" s="7"/>
      <c r="Z61" s="7"/>
    </row>
    <row r="62" ht="19.5" customHeight="1">
      <c r="A62" s="7"/>
      <c r="B62" s="7"/>
      <c r="C62" s="7"/>
      <c r="D62" s="7"/>
      <c r="E62" s="7"/>
      <c r="F62" s="7"/>
      <c r="G62" s="7"/>
      <c r="H62" s="7"/>
      <c r="I62" s="7"/>
      <c r="J62" s="7"/>
      <c r="K62" s="7"/>
      <c r="L62" s="7"/>
      <c r="M62" s="7"/>
      <c r="N62" s="7"/>
      <c r="O62" s="7"/>
      <c r="P62" s="7"/>
      <c r="Q62" s="7"/>
      <c r="R62" s="7"/>
      <c r="S62" s="7"/>
      <c r="T62" s="7"/>
      <c r="U62" s="7"/>
      <c r="V62" s="7"/>
      <c r="W62" s="7"/>
      <c r="X62" s="7"/>
      <c r="Y62" s="7"/>
      <c r="Z62" s="7"/>
    </row>
    <row r="63" ht="19.5" customHeight="1">
      <c r="A63" s="7"/>
      <c r="B63" s="7"/>
      <c r="C63" s="7"/>
      <c r="D63" s="7"/>
      <c r="E63" s="7"/>
      <c r="F63" s="7"/>
      <c r="G63" s="7"/>
      <c r="H63" s="7"/>
      <c r="I63" s="7"/>
      <c r="J63" s="7"/>
      <c r="K63" s="7"/>
      <c r="L63" s="7"/>
      <c r="M63" s="7"/>
      <c r="N63" s="7"/>
      <c r="O63" s="7"/>
      <c r="P63" s="7"/>
      <c r="Q63" s="7"/>
      <c r="R63" s="7"/>
      <c r="S63" s="7"/>
      <c r="T63" s="7"/>
      <c r="U63" s="7"/>
      <c r="V63" s="7"/>
      <c r="W63" s="7"/>
      <c r="X63" s="7"/>
      <c r="Y63" s="7"/>
      <c r="Z63" s="7"/>
    </row>
    <row r="64" ht="19.5" customHeight="1">
      <c r="A64" s="7"/>
      <c r="B64" s="7"/>
      <c r="C64" s="7"/>
      <c r="D64" s="7"/>
      <c r="E64" s="7"/>
      <c r="F64" s="7"/>
      <c r="G64" s="7"/>
      <c r="H64" s="7"/>
      <c r="I64" s="7"/>
      <c r="J64" s="7"/>
      <c r="K64" s="7"/>
      <c r="L64" s="7"/>
      <c r="M64" s="7"/>
      <c r="N64" s="7"/>
      <c r="O64" s="7"/>
      <c r="P64" s="7"/>
      <c r="Q64" s="7"/>
      <c r="R64" s="7"/>
      <c r="S64" s="7"/>
      <c r="T64" s="7"/>
      <c r="U64" s="7"/>
      <c r="V64" s="7"/>
      <c r="W64" s="7"/>
      <c r="X64" s="7"/>
      <c r="Y64" s="7"/>
      <c r="Z64" s="7"/>
    </row>
    <row r="65" ht="19.5" customHeight="1">
      <c r="A65" s="7"/>
      <c r="B65" s="7"/>
      <c r="C65" s="7"/>
      <c r="D65" s="7"/>
      <c r="E65" s="7"/>
      <c r="F65" s="7"/>
      <c r="G65" s="7"/>
      <c r="H65" s="7"/>
      <c r="I65" s="7"/>
      <c r="J65" s="7"/>
      <c r="K65" s="7"/>
      <c r="L65" s="7"/>
      <c r="M65" s="7"/>
      <c r="N65" s="7"/>
      <c r="O65" s="7"/>
      <c r="P65" s="7"/>
      <c r="Q65" s="7"/>
      <c r="R65" s="7"/>
      <c r="S65" s="7"/>
      <c r="T65" s="7"/>
      <c r="U65" s="7"/>
      <c r="V65" s="7"/>
      <c r="W65" s="7"/>
      <c r="X65" s="7"/>
      <c r="Y65" s="7"/>
      <c r="Z65" s="7"/>
    </row>
    <row r="66" ht="19.5" customHeight="1">
      <c r="A66" s="7"/>
      <c r="B66" s="7"/>
      <c r="C66" s="7"/>
      <c r="D66" s="7"/>
      <c r="E66" s="7"/>
      <c r="F66" s="7"/>
      <c r="G66" s="7"/>
      <c r="H66" s="7"/>
      <c r="I66" s="7"/>
      <c r="J66" s="7"/>
      <c r="K66" s="7"/>
      <c r="L66" s="7"/>
      <c r="M66" s="7"/>
      <c r="N66" s="7"/>
      <c r="O66" s="7"/>
      <c r="P66" s="7"/>
      <c r="Q66" s="7"/>
      <c r="R66" s="7"/>
      <c r="S66" s="7"/>
      <c r="T66" s="7"/>
      <c r="U66" s="7"/>
      <c r="V66" s="7"/>
      <c r="W66" s="7"/>
      <c r="X66" s="7"/>
      <c r="Y66" s="7"/>
      <c r="Z66" s="7"/>
    </row>
    <row r="67" ht="19.5" customHeight="1">
      <c r="A67" s="7"/>
      <c r="B67" s="7"/>
      <c r="C67" s="7"/>
      <c r="D67" s="7"/>
      <c r="E67" s="7"/>
      <c r="F67" s="7"/>
      <c r="G67" s="7"/>
      <c r="H67" s="7"/>
      <c r="I67" s="7"/>
      <c r="J67" s="7"/>
      <c r="K67" s="7"/>
      <c r="L67" s="7"/>
      <c r="M67" s="7"/>
      <c r="N67" s="7"/>
      <c r="O67" s="7"/>
      <c r="P67" s="7"/>
      <c r="Q67" s="7"/>
      <c r="R67" s="7"/>
      <c r="S67" s="7"/>
      <c r="T67" s="7"/>
      <c r="U67" s="7"/>
      <c r="V67" s="7"/>
      <c r="W67" s="7"/>
      <c r="X67" s="7"/>
      <c r="Y67" s="7"/>
      <c r="Z67" s="7"/>
    </row>
    <row r="68" ht="19.5" customHeight="1">
      <c r="A68" s="7"/>
      <c r="B68" s="7"/>
      <c r="C68" s="7"/>
      <c r="D68" s="7"/>
      <c r="E68" s="7"/>
      <c r="F68" s="7"/>
      <c r="G68" s="7"/>
      <c r="H68" s="7"/>
      <c r="I68" s="7"/>
      <c r="J68" s="7"/>
      <c r="K68" s="7"/>
      <c r="L68" s="7"/>
      <c r="M68" s="7"/>
      <c r="N68" s="7"/>
      <c r="O68" s="7"/>
      <c r="P68" s="7"/>
      <c r="Q68" s="7"/>
      <c r="R68" s="7"/>
      <c r="S68" s="7"/>
      <c r="T68" s="7"/>
      <c r="U68" s="7"/>
      <c r="V68" s="7"/>
      <c r="W68" s="7"/>
      <c r="X68" s="7"/>
      <c r="Y68" s="7"/>
      <c r="Z68" s="7"/>
    </row>
    <row r="69" ht="19.5" customHeight="1">
      <c r="A69" s="7"/>
      <c r="B69" s="7"/>
      <c r="C69" s="7"/>
      <c r="D69" s="7"/>
      <c r="E69" s="7"/>
      <c r="F69" s="7"/>
      <c r="G69" s="7"/>
      <c r="H69" s="7"/>
      <c r="I69" s="7"/>
      <c r="J69" s="7"/>
      <c r="K69" s="7"/>
      <c r="L69" s="7"/>
      <c r="M69" s="7"/>
      <c r="N69" s="7"/>
      <c r="O69" s="7"/>
      <c r="P69" s="7"/>
      <c r="Q69" s="7"/>
      <c r="R69" s="7"/>
      <c r="S69" s="7"/>
      <c r="T69" s="7"/>
      <c r="U69" s="7"/>
      <c r="V69" s="7"/>
      <c r="W69" s="7"/>
      <c r="X69" s="7"/>
      <c r="Y69" s="7"/>
      <c r="Z69" s="7"/>
    </row>
    <row r="70" ht="19.5" customHeight="1">
      <c r="A70" s="7"/>
      <c r="B70" s="7"/>
      <c r="C70" s="7"/>
      <c r="D70" s="7"/>
      <c r="E70" s="7"/>
      <c r="F70" s="7"/>
      <c r="G70" s="7"/>
      <c r="H70" s="7"/>
      <c r="I70" s="7"/>
      <c r="J70" s="7"/>
      <c r="K70" s="7"/>
      <c r="L70" s="7"/>
      <c r="M70" s="7"/>
      <c r="N70" s="7"/>
      <c r="O70" s="7"/>
      <c r="P70" s="7"/>
      <c r="Q70" s="7"/>
      <c r="R70" s="7"/>
      <c r="S70" s="7"/>
      <c r="T70" s="7"/>
      <c r="U70" s="7"/>
      <c r="V70" s="7"/>
      <c r="W70" s="7"/>
      <c r="X70" s="7"/>
      <c r="Y70" s="7"/>
      <c r="Z70" s="7"/>
    </row>
    <row r="71" ht="19.5" customHeight="1">
      <c r="A71" s="7"/>
      <c r="B71" s="7"/>
      <c r="C71" s="7"/>
      <c r="D71" s="7"/>
      <c r="E71" s="7"/>
      <c r="F71" s="7"/>
      <c r="G71" s="7"/>
      <c r="H71" s="7"/>
      <c r="I71" s="7"/>
      <c r="J71" s="7"/>
      <c r="K71" s="7"/>
      <c r="L71" s="7"/>
      <c r="M71" s="7"/>
      <c r="N71" s="7"/>
      <c r="O71" s="7"/>
      <c r="P71" s="7"/>
      <c r="Q71" s="7"/>
      <c r="R71" s="7"/>
      <c r="S71" s="7"/>
      <c r="T71" s="7"/>
      <c r="U71" s="7"/>
      <c r="V71" s="7"/>
      <c r="W71" s="7"/>
      <c r="X71" s="7"/>
      <c r="Y71" s="7"/>
      <c r="Z71" s="7"/>
    </row>
    <row r="72" ht="19.5" customHeight="1">
      <c r="A72" s="7"/>
      <c r="B72" s="7"/>
      <c r="C72" s="7"/>
      <c r="D72" s="7"/>
      <c r="E72" s="7"/>
      <c r="F72" s="7"/>
      <c r="G72" s="7"/>
      <c r="H72" s="7"/>
      <c r="I72" s="7"/>
      <c r="J72" s="7"/>
      <c r="K72" s="7"/>
      <c r="L72" s="7"/>
      <c r="M72" s="7"/>
      <c r="N72" s="7"/>
      <c r="O72" s="7"/>
      <c r="P72" s="7"/>
      <c r="Q72" s="7"/>
      <c r="R72" s="7"/>
      <c r="S72" s="7"/>
      <c r="T72" s="7"/>
      <c r="U72" s="7"/>
      <c r="V72" s="7"/>
      <c r="W72" s="7"/>
      <c r="X72" s="7"/>
      <c r="Y72" s="7"/>
      <c r="Z72" s="7"/>
    </row>
    <row r="73" ht="19.5" customHeight="1">
      <c r="A73" s="7"/>
      <c r="B73" s="7"/>
      <c r="C73" s="7"/>
      <c r="D73" s="7"/>
      <c r="E73" s="7"/>
      <c r="F73" s="7"/>
      <c r="G73" s="7"/>
      <c r="H73" s="7"/>
      <c r="I73" s="7"/>
      <c r="J73" s="7"/>
      <c r="K73" s="7"/>
      <c r="L73" s="7"/>
      <c r="M73" s="7"/>
      <c r="N73" s="7"/>
      <c r="O73" s="7"/>
      <c r="P73" s="7"/>
      <c r="Q73" s="7"/>
      <c r="R73" s="7"/>
      <c r="S73" s="7"/>
      <c r="T73" s="7"/>
      <c r="U73" s="7"/>
      <c r="V73" s="7"/>
      <c r="W73" s="7"/>
      <c r="X73" s="7"/>
      <c r="Y73" s="7"/>
      <c r="Z73" s="7"/>
    </row>
    <row r="74" ht="19.5" customHeight="1">
      <c r="A74" s="7"/>
      <c r="B74" s="7"/>
      <c r="C74" s="7"/>
      <c r="D74" s="7"/>
      <c r="E74" s="7"/>
      <c r="F74" s="7"/>
      <c r="G74" s="7"/>
      <c r="H74" s="7"/>
      <c r="I74" s="7"/>
      <c r="J74" s="7"/>
      <c r="K74" s="7"/>
      <c r="L74" s="7"/>
      <c r="M74" s="7"/>
      <c r="N74" s="7"/>
      <c r="O74" s="7"/>
      <c r="P74" s="7"/>
      <c r="Q74" s="7"/>
      <c r="R74" s="7"/>
      <c r="S74" s="7"/>
      <c r="T74" s="7"/>
      <c r="U74" s="7"/>
      <c r="V74" s="7"/>
      <c r="W74" s="7"/>
      <c r="X74" s="7"/>
      <c r="Y74" s="7"/>
      <c r="Z74" s="7"/>
    </row>
    <row r="75" ht="19.5" customHeight="1">
      <c r="A75" s="7"/>
      <c r="B75" s="7"/>
      <c r="C75" s="7"/>
      <c r="D75" s="7"/>
      <c r="E75" s="7"/>
      <c r="F75" s="7"/>
      <c r="G75" s="7"/>
      <c r="H75" s="7"/>
      <c r="I75" s="7"/>
      <c r="J75" s="7"/>
      <c r="K75" s="7"/>
      <c r="L75" s="7"/>
      <c r="M75" s="7"/>
      <c r="N75" s="7"/>
      <c r="O75" s="7"/>
      <c r="P75" s="7"/>
      <c r="Q75" s="7"/>
      <c r="R75" s="7"/>
      <c r="S75" s="7"/>
      <c r="T75" s="7"/>
      <c r="U75" s="7"/>
      <c r="V75" s="7"/>
      <c r="W75" s="7"/>
      <c r="X75" s="7"/>
      <c r="Y75" s="7"/>
      <c r="Z75" s="7"/>
    </row>
    <row r="76" ht="19.5" customHeight="1">
      <c r="A76" s="7"/>
      <c r="B76" s="7"/>
      <c r="C76" s="7"/>
      <c r="D76" s="7"/>
      <c r="E76" s="7"/>
      <c r="F76" s="7"/>
      <c r="G76" s="7"/>
      <c r="H76" s="7"/>
      <c r="I76" s="7"/>
      <c r="J76" s="7"/>
      <c r="K76" s="7"/>
      <c r="L76" s="7"/>
      <c r="M76" s="7"/>
      <c r="N76" s="7"/>
      <c r="O76" s="7"/>
      <c r="P76" s="7"/>
      <c r="Q76" s="7"/>
      <c r="R76" s="7"/>
      <c r="S76" s="7"/>
      <c r="T76" s="7"/>
      <c r="U76" s="7"/>
      <c r="V76" s="7"/>
      <c r="W76" s="7"/>
      <c r="X76" s="7"/>
      <c r="Y76" s="7"/>
      <c r="Z76" s="7"/>
    </row>
    <row r="77" ht="19.5" customHeight="1">
      <c r="A77" s="7"/>
      <c r="B77" s="7"/>
      <c r="C77" s="7"/>
      <c r="D77" s="7"/>
      <c r="E77" s="7"/>
      <c r="F77" s="7"/>
      <c r="G77" s="7"/>
      <c r="H77" s="7"/>
      <c r="I77" s="7"/>
      <c r="J77" s="7"/>
      <c r="K77" s="7"/>
      <c r="L77" s="7"/>
      <c r="M77" s="7"/>
      <c r="N77" s="7"/>
      <c r="O77" s="7"/>
      <c r="P77" s="7"/>
      <c r="Q77" s="7"/>
      <c r="R77" s="7"/>
      <c r="S77" s="7"/>
      <c r="T77" s="7"/>
      <c r="U77" s="7"/>
      <c r="V77" s="7"/>
      <c r="W77" s="7"/>
      <c r="X77" s="7"/>
      <c r="Y77" s="7"/>
      <c r="Z77" s="7"/>
    </row>
    <row r="78" ht="19.5" customHeight="1">
      <c r="A78" s="7"/>
      <c r="B78" s="7"/>
      <c r="C78" s="7"/>
      <c r="D78" s="7"/>
      <c r="E78" s="7"/>
      <c r="F78" s="7"/>
      <c r="G78" s="7"/>
      <c r="H78" s="7"/>
      <c r="I78" s="7"/>
      <c r="J78" s="7"/>
      <c r="K78" s="7"/>
      <c r="L78" s="7"/>
      <c r="M78" s="7"/>
      <c r="N78" s="7"/>
      <c r="O78" s="7"/>
      <c r="P78" s="7"/>
      <c r="Q78" s="7"/>
      <c r="R78" s="7"/>
      <c r="S78" s="7"/>
      <c r="T78" s="7"/>
      <c r="U78" s="7"/>
      <c r="V78" s="7"/>
      <c r="W78" s="7"/>
      <c r="X78" s="7"/>
      <c r="Y78" s="7"/>
      <c r="Z78" s="7"/>
    </row>
    <row r="79" ht="19.5" customHeight="1">
      <c r="A79" s="7"/>
      <c r="B79" s="7"/>
      <c r="C79" s="7"/>
      <c r="D79" s="7"/>
      <c r="E79" s="7"/>
      <c r="F79" s="7"/>
      <c r="G79" s="7"/>
      <c r="H79" s="7"/>
      <c r="I79" s="7"/>
      <c r="J79" s="7"/>
      <c r="K79" s="7"/>
      <c r="L79" s="7"/>
      <c r="M79" s="7"/>
      <c r="N79" s="7"/>
      <c r="O79" s="7"/>
      <c r="P79" s="7"/>
      <c r="Q79" s="7"/>
      <c r="R79" s="7"/>
      <c r="S79" s="7"/>
      <c r="T79" s="7"/>
      <c r="U79" s="7"/>
      <c r="V79" s="7"/>
      <c r="W79" s="7"/>
      <c r="X79" s="7"/>
      <c r="Y79" s="7"/>
      <c r="Z79" s="7"/>
    </row>
    <row r="80" ht="19.5" customHeight="1">
      <c r="A80" s="7"/>
      <c r="B80" s="7"/>
      <c r="C80" s="7"/>
      <c r="D80" s="7"/>
      <c r="E80" s="7"/>
      <c r="F80" s="7"/>
      <c r="G80" s="7"/>
      <c r="H80" s="7"/>
      <c r="I80" s="7"/>
      <c r="J80" s="7"/>
      <c r="K80" s="7"/>
      <c r="L80" s="7"/>
      <c r="M80" s="7"/>
      <c r="N80" s="7"/>
      <c r="O80" s="7"/>
      <c r="P80" s="7"/>
      <c r="Q80" s="7"/>
      <c r="R80" s="7"/>
      <c r="S80" s="7"/>
      <c r="T80" s="7"/>
      <c r="U80" s="7"/>
      <c r="V80" s="7"/>
      <c r="W80" s="7"/>
      <c r="X80" s="7"/>
      <c r="Y80" s="7"/>
      <c r="Z80" s="7"/>
    </row>
    <row r="81" ht="19.5" customHeight="1">
      <c r="A81" s="7"/>
      <c r="B81" s="7"/>
      <c r="C81" s="7"/>
      <c r="D81" s="7"/>
      <c r="E81" s="7"/>
      <c r="F81" s="7"/>
      <c r="G81" s="7"/>
      <c r="H81" s="7"/>
      <c r="I81" s="7"/>
      <c r="J81" s="7"/>
      <c r="K81" s="7"/>
      <c r="L81" s="7"/>
      <c r="M81" s="7"/>
      <c r="N81" s="7"/>
      <c r="O81" s="7"/>
      <c r="P81" s="7"/>
      <c r="Q81" s="7"/>
      <c r="R81" s="7"/>
      <c r="S81" s="7"/>
      <c r="T81" s="7"/>
      <c r="U81" s="7"/>
      <c r="V81" s="7"/>
      <c r="W81" s="7"/>
      <c r="X81" s="7"/>
      <c r="Y81" s="7"/>
      <c r="Z81" s="7"/>
    </row>
    <row r="82" ht="19.5" customHeight="1">
      <c r="A82" s="7"/>
      <c r="B82" s="7"/>
      <c r="C82" s="7"/>
      <c r="D82" s="7"/>
      <c r="E82" s="7"/>
      <c r="F82" s="7"/>
      <c r="G82" s="7"/>
      <c r="H82" s="7"/>
      <c r="I82" s="7"/>
      <c r="J82" s="7"/>
      <c r="K82" s="7"/>
      <c r="L82" s="7"/>
      <c r="M82" s="7"/>
      <c r="N82" s="7"/>
      <c r="O82" s="7"/>
      <c r="P82" s="7"/>
      <c r="Q82" s="7"/>
      <c r="R82" s="7"/>
      <c r="S82" s="7"/>
      <c r="T82" s="7"/>
      <c r="U82" s="7"/>
      <c r="V82" s="7"/>
      <c r="W82" s="7"/>
      <c r="X82" s="7"/>
      <c r="Y82" s="7"/>
      <c r="Z82" s="7"/>
    </row>
    <row r="83" ht="19.5" customHeight="1">
      <c r="A83" s="7"/>
      <c r="B83" s="7"/>
      <c r="C83" s="7"/>
      <c r="D83" s="7"/>
      <c r="E83" s="7"/>
      <c r="F83" s="7"/>
      <c r="G83" s="7"/>
      <c r="H83" s="7"/>
      <c r="I83" s="7"/>
      <c r="J83" s="7"/>
      <c r="K83" s="7"/>
      <c r="L83" s="7"/>
      <c r="M83" s="7"/>
      <c r="N83" s="7"/>
      <c r="O83" s="7"/>
      <c r="P83" s="7"/>
      <c r="Q83" s="7"/>
      <c r="R83" s="7"/>
      <c r="S83" s="7"/>
      <c r="T83" s="7"/>
      <c r="U83" s="7"/>
      <c r="V83" s="7"/>
      <c r="W83" s="7"/>
      <c r="X83" s="7"/>
      <c r="Y83" s="7"/>
      <c r="Z83" s="7"/>
    </row>
    <row r="84" ht="19.5" customHeight="1">
      <c r="A84" s="7"/>
      <c r="B84" s="7"/>
      <c r="C84" s="7"/>
      <c r="D84" s="7"/>
      <c r="E84" s="7"/>
      <c r="F84" s="7"/>
      <c r="G84" s="7"/>
      <c r="H84" s="7"/>
      <c r="I84" s="7"/>
      <c r="J84" s="7"/>
      <c r="K84" s="7"/>
      <c r="L84" s="7"/>
      <c r="M84" s="7"/>
      <c r="N84" s="7"/>
      <c r="O84" s="7"/>
      <c r="P84" s="7"/>
      <c r="Q84" s="7"/>
      <c r="R84" s="7"/>
      <c r="S84" s="7"/>
      <c r="T84" s="7"/>
      <c r="U84" s="7"/>
      <c r="V84" s="7"/>
      <c r="W84" s="7"/>
      <c r="X84" s="7"/>
      <c r="Y84" s="7"/>
      <c r="Z84" s="7"/>
    </row>
    <row r="85" ht="19.5" customHeight="1">
      <c r="A85" s="7"/>
      <c r="B85" s="7"/>
      <c r="C85" s="7"/>
      <c r="D85" s="7"/>
      <c r="E85" s="7"/>
      <c r="F85" s="7"/>
      <c r="G85" s="7"/>
      <c r="H85" s="7"/>
      <c r="I85" s="7"/>
      <c r="J85" s="7"/>
      <c r="K85" s="7"/>
      <c r="L85" s="7"/>
      <c r="M85" s="7"/>
      <c r="N85" s="7"/>
      <c r="O85" s="7"/>
      <c r="P85" s="7"/>
      <c r="Q85" s="7"/>
      <c r="R85" s="7"/>
      <c r="S85" s="7"/>
      <c r="T85" s="7"/>
      <c r="U85" s="7"/>
      <c r="V85" s="7"/>
      <c r="W85" s="7"/>
      <c r="X85" s="7"/>
      <c r="Y85" s="7"/>
      <c r="Z85" s="7"/>
    </row>
    <row r="86" ht="19.5" customHeight="1">
      <c r="A86" s="7"/>
      <c r="B86" s="7"/>
      <c r="C86" s="7"/>
      <c r="D86" s="7"/>
      <c r="E86" s="7"/>
      <c r="F86" s="7"/>
      <c r="G86" s="7"/>
      <c r="H86" s="7"/>
      <c r="I86" s="7"/>
      <c r="J86" s="7"/>
      <c r="K86" s="7"/>
      <c r="L86" s="7"/>
      <c r="M86" s="7"/>
      <c r="N86" s="7"/>
      <c r="O86" s="7"/>
      <c r="P86" s="7"/>
      <c r="Q86" s="7"/>
      <c r="R86" s="7"/>
      <c r="S86" s="7"/>
      <c r="T86" s="7"/>
      <c r="U86" s="7"/>
      <c r="V86" s="7"/>
      <c r="W86" s="7"/>
      <c r="X86" s="7"/>
      <c r="Y86" s="7"/>
      <c r="Z86" s="7"/>
    </row>
    <row r="87" ht="19.5" customHeight="1">
      <c r="A87" s="7"/>
      <c r="B87" s="7"/>
      <c r="C87" s="7"/>
      <c r="D87" s="7"/>
      <c r="E87" s="7"/>
      <c r="F87" s="7"/>
      <c r="G87" s="7"/>
      <c r="H87" s="7"/>
      <c r="I87" s="7"/>
      <c r="J87" s="7"/>
      <c r="K87" s="7"/>
      <c r="L87" s="7"/>
      <c r="M87" s="7"/>
      <c r="N87" s="7"/>
      <c r="O87" s="7"/>
      <c r="P87" s="7"/>
      <c r="Q87" s="7"/>
      <c r="R87" s="7"/>
      <c r="S87" s="7"/>
      <c r="T87" s="7"/>
      <c r="U87" s="7"/>
      <c r="V87" s="7"/>
      <c r="W87" s="7"/>
      <c r="X87" s="7"/>
      <c r="Y87" s="7"/>
      <c r="Z87" s="7"/>
    </row>
    <row r="88" ht="19.5" customHeight="1">
      <c r="A88" s="7"/>
      <c r="B88" s="7"/>
      <c r="C88" s="7"/>
      <c r="D88" s="7"/>
      <c r="E88" s="7"/>
      <c r="F88" s="7"/>
      <c r="G88" s="7"/>
      <c r="H88" s="7"/>
      <c r="I88" s="7"/>
      <c r="J88" s="7"/>
      <c r="K88" s="7"/>
      <c r="L88" s="7"/>
      <c r="M88" s="7"/>
      <c r="N88" s="7"/>
      <c r="O88" s="7"/>
      <c r="P88" s="7"/>
      <c r="Q88" s="7"/>
      <c r="R88" s="7"/>
      <c r="S88" s="7"/>
      <c r="T88" s="7"/>
      <c r="U88" s="7"/>
      <c r="V88" s="7"/>
      <c r="W88" s="7"/>
      <c r="X88" s="7"/>
      <c r="Y88" s="7"/>
      <c r="Z88" s="7"/>
    </row>
    <row r="89" ht="19.5" customHeight="1">
      <c r="A89" s="7"/>
      <c r="B89" s="7"/>
      <c r="C89" s="7"/>
      <c r="D89" s="7"/>
      <c r="E89" s="7"/>
      <c r="F89" s="7"/>
      <c r="G89" s="7"/>
      <c r="H89" s="7"/>
      <c r="I89" s="7"/>
      <c r="J89" s="7"/>
      <c r="K89" s="7"/>
      <c r="L89" s="7"/>
      <c r="M89" s="7"/>
      <c r="N89" s="7"/>
      <c r="O89" s="7"/>
      <c r="P89" s="7"/>
      <c r="Q89" s="7"/>
      <c r="R89" s="7"/>
      <c r="S89" s="7"/>
      <c r="T89" s="7"/>
      <c r="U89" s="7"/>
      <c r="V89" s="7"/>
      <c r="W89" s="7"/>
      <c r="X89" s="7"/>
      <c r="Y89" s="7"/>
      <c r="Z89" s="7"/>
    </row>
    <row r="90" ht="19.5" customHeight="1">
      <c r="A90" s="7"/>
      <c r="B90" s="7"/>
      <c r="C90" s="7"/>
      <c r="D90" s="7"/>
      <c r="E90" s="7"/>
      <c r="F90" s="7"/>
      <c r="G90" s="7"/>
      <c r="H90" s="7"/>
      <c r="I90" s="7"/>
      <c r="J90" s="7"/>
      <c r="K90" s="7"/>
      <c r="L90" s="7"/>
      <c r="M90" s="7"/>
      <c r="N90" s="7"/>
      <c r="O90" s="7"/>
      <c r="P90" s="7"/>
      <c r="Q90" s="7"/>
      <c r="R90" s="7"/>
      <c r="S90" s="7"/>
      <c r="T90" s="7"/>
      <c r="U90" s="7"/>
      <c r="V90" s="7"/>
      <c r="W90" s="7"/>
      <c r="X90" s="7"/>
      <c r="Y90" s="7"/>
      <c r="Z90" s="7"/>
    </row>
    <row r="91" ht="19.5" customHeight="1">
      <c r="A91" s="7"/>
      <c r="B91" s="7"/>
      <c r="C91" s="7"/>
      <c r="D91" s="7"/>
      <c r="E91" s="7"/>
      <c r="F91" s="7"/>
      <c r="G91" s="7"/>
      <c r="H91" s="7"/>
      <c r="I91" s="7"/>
      <c r="J91" s="7"/>
      <c r="K91" s="7"/>
      <c r="L91" s="7"/>
      <c r="M91" s="7"/>
      <c r="N91" s="7"/>
      <c r="O91" s="7"/>
      <c r="P91" s="7"/>
      <c r="Q91" s="7"/>
      <c r="R91" s="7"/>
      <c r="S91" s="7"/>
      <c r="T91" s="7"/>
      <c r="U91" s="7"/>
      <c r="V91" s="7"/>
      <c r="W91" s="7"/>
      <c r="X91" s="7"/>
      <c r="Y91" s="7"/>
      <c r="Z91" s="7"/>
    </row>
    <row r="92" ht="19.5" customHeight="1">
      <c r="A92" s="7"/>
      <c r="B92" s="7"/>
      <c r="C92" s="7"/>
      <c r="D92" s="7"/>
      <c r="E92" s="7"/>
      <c r="F92" s="7"/>
      <c r="G92" s="7"/>
      <c r="H92" s="7"/>
      <c r="I92" s="7"/>
      <c r="J92" s="7"/>
      <c r="K92" s="7"/>
      <c r="L92" s="7"/>
      <c r="M92" s="7"/>
      <c r="N92" s="7"/>
      <c r="O92" s="7"/>
      <c r="P92" s="7"/>
      <c r="Q92" s="7"/>
      <c r="R92" s="7"/>
      <c r="S92" s="7"/>
      <c r="T92" s="7"/>
      <c r="U92" s="7"/>
      <c r="V92" s="7"/>
      <c r="W92" s="7"/>
      <c r="X92" s="7"/>
      <c r="Y92" s="7"/>
      <c r="Z92" s="7"/>
    </row>
    <row r="93" ht="19.5" customHeight="1">
      <c r="A93" s="7"/>
      <c r="B93" s="7"/>
      <c r="C93" s="7"/>
      <c r="D93" s="7"/>
      <c r="E93" s="7"/>
      <c r="F93" s="7"/>
      <c r="G93" s="7"/>
      <c r="H93" s="7"/>
      <c r="I93" s="7"/>
      <c r="J93" s="7"/>
      <c r="K93" s="7"/>
      <c r="L93" s="7"/>
      <c r="M93" s="7"/>
      <c r="N93" s="7"/>
      <c r="O93" s="7"/>
      <c r="P93" s="7"/>
      <c r="Q93" s="7"/>
      <c r="R93" s="7"/>
      <c r="S93" s="7"/>
      <c r="T93" s="7"/>
      <c r="U93" s="7"/>
      <c r="V93" s="7"/>
      <c r="W93" s="7"/>
      <c r="X93" s="7"/>
      <c r="Y93" s="7"/>
      <c r="Z93" s="7"/>
    </row>
    <row r="94" ht="19.5" customHeight="1">
      <c r="A94" s="7"/>
      <c r="B94" s="7"/>
      <c r="C94" s="7"/>
      <c r="D94" s="7"/>
      <c r="E94" s="7"/>
      <c r="F94" s="7"/>
      <c r="G94" s="7"/>
      <c r="H94" s="7"/>
      <c r="I94" s="7"/>
      <c r="J94" s="7"/>
      <c r="K94" s="7"/>
      <c r="L94" s="7"/>
      <c r="M94" s="7"/>
      <c r="N94" s="7"/>
      <c r="O94" s="7"/>
      <c r="P94" s="7"/>
      <c r="Q94" s="7"/>
      <c r="R94" s="7"/>
      <c r="S94" s="7"/>
      <c r="T94" s="7"/>
      <c r="U94" s="7"/>
      <c r="V94" s="7"/>
      <c r="W94" s="7"/>
      <c r="X94" s="7"/>
      <c r="Y94" s="7"/>
      <c r="Z94" s="7"/>
    </row>
    <row r="95" ht="19.5" customHeight="1">
      <c r="A95" s="7"/>
      <c r="B95" s="7"/>
      <c r="C95" s="7"/>
      <c r="D95" s="7"/>
      <c r="E95" s="7"/>
      <c r="F95" s="7"/>
      <c r="G95" s="7"/>
      <c r="H95" s="7"/>
      <c r="I95" s="7"/>
      <c r="J95" s="7"/>
      <c r="K95" s="7"/>
      <c r="L95" s="7"/>
      <c r="M95" s="7"/>
      <c r="N95" s="7"/>
      <c r="O95" s="7"/>
      <c r="P95" s="7"/>
      <c r="Q95" s="7"/>
      <c r="R95" s="7"/>
      <c r="S95" s="7"/>
      <c r="T95" s="7"/>
      <c r="U95" s="7"/>
      <c r="V95" s="7"/>
      <c r="W95" s="7"/>
      <c r="X95" s="7"/>
      <c r="Y95" s="7"/>
      <c r="Z95" s="7"/>
    </row>
    <row r="96" ht="19.5" customHeight="1">
      <c r="A96" s="7"/>
      <c r="B96" s="7"/>
      <c r="C96" s="7"/>
      <c r="D96" s="7"/>
      <c r="E96" s="7"/>
      <c r="F96" s="7"/>
      <c r="G96" s="7"/>
      <c r="H96" s="7"/>
      <c r="I96" s="7"/>
      <c r="J96" s="7"/>
      <c r="K96" s="7"/>
      <c r="L96" s="7"/>
      <c r="M96" s="7"/>
      <c r="N96" s="7"/>
      <c r="O96" s="7"/>
      <c r="P96" s="7"/>
      <c r="Q96" s="7"/>
      <c r="R96" s="7"/>
      <c r="S96" s="7"/>
      <c r="T96" s="7"/>
      <c r="U96" s="7"/>
      <c r="V96" s="7"/>
      <c r="W96" s="7"/>
      <c r="X96" s="7"/>
      <c r="Y96" s="7"/>
      <c r="Z96" s="7"/>
    </row>
    <row r="97" ht="19.5" customHeight="1">
      <c r="A97" s="7"/>
      <c r="B97" s="7"/>
      <c r="C97" s="7"/>
      <c r="D97" s="7"/>
      <c r="E97" s="7"/>
      <c r="F97" s="7"/>
      <c r="G97" s="7"/>
      <c r="H97" s="7"/>
      <c r="I97" s="7"/>
      <c r="J97" s="7"/>
      <c r="K97" s="7"/>
      <c r="L97" s="7"/>
      <c r="M97" s="7"/>
      <c r="N97" s="7"/>
      <c r="O97" s="7"/>
      <c r="P97" s="7"/>
      <c r="Q97" s="7"/>
      <c r="R97" s="7"/>
      <c r="S97" s="7"/>
      <c r="T97" s="7"/>
      <c r="U97" s="7"/>
      <c r="V97" s="7"/>
      <c r="W97" s="7"/>
      <c r="X97" s="7"/>
      <c r="Y97" s="7"/>
      <c r="Z97" s="7"/>
    </row>
    <row r="98" ht="19.5" customHeight="1">
      <c r="A98" s="7"/>
      <c r="B98" s="7"/>
      <c r="C98" s="7"/>
      <c r="D98" s="7"/>
      <c r="E98" s="7"/>
      <c r="F98" s="7"/>
      <c r="G98" s="7"/>
      <c r="H98" s="7"/>
      <c r="I98" s="7"/>
      <c r="J98" s="7"/>
      <c r="K98" s="7"/>
      <c r="L98" s="7"/>
      <c r="M98" s="7"/>
      <c r="N98" s="7"/>
      <c r="O98" s="7"/>
      <c r="P98" s="7"/>
      <c r="Q98" s="7"/>
      <c r="R98" s="7"/>
      <c r="S98" s="7"/>
      <c r="T98" s="7"/>
      <c r="U98" s="7"/>
      <c r="V98" s="7"/>
      <c r="W98" s="7"/>
      <c r="X98" s="7"/>
      <c r="Y98" s="7"/>
      <c r="Z98" s="7"/>
    </row>
    <row r="99" ht="19.5" customHeight="1">
      <c r="A99" s="7"/>
      <c r="B99" s="7"/>
      <c r="C99" s="7"/>
      <c r="D99" s="7"/>
      <c r="E99" s="7"/>
      <c r="F99" s="7"/>
      <c r="G99" s="7"/>
      <c r="H99" s="7"/>
      <c r="I99" s="7"/>
      <c r="J99" s="7"/>
      <c r="K99" s="7"/>
      <c r="L99" s="7"/>
      <c r="M99" s="7"/>
      <c r="N99" s="7"/>
      <c r="O99" s="7"/>
      <c r="P99" s="7"/>
      <c r="Q99" s="7"/>
      <c r="R99" s="7"/>
      <c r="S99" s="7"/>
      <c r="T99" s="7"/>
      <c r="U99" s="7"/>
      <c r="V99" s="7"/>
      <c r="W99" s="7"/>
      <c r="X99" s="7"/>
      <c r="Y99" s="7"/>
      <c r="Z99" s="7"/>
    </row>
    <row r="100" ht="19.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ht="19.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ht="19.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ht="19.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ht="19.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ht="19.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ht="19.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ht="19.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ht="19.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ht="19.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ht="19.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ht="19.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ht="19.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ht="19.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ht="19.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ht="19.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ht="19.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ht="19.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ht="19.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ht="19.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ht="19.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ht="19.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ht="19.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ht="19.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ht="19.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ht="19.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ht="19.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ht="19.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ht="19.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ht="19.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ht="19.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ht="19.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ht="19.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ht="19.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ht="19.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ht="19.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ht="19.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ht="19.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ht="19.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ht="19.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ht="19.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ht="19.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ht="19.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ht="19.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ht="19.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ht="19.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ht="19.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ht="19.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ht="19.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ht="19.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ht="19.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ht="19.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ht="19.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ht="19.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ht="19.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ht="19.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ht="19.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ht="19.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ht="19.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ht="19.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ht="19.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ht="19.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ht="19.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ht="19.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ht="19.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ht="19.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ht="19.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ht="19.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ht="19.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ht="19.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ht="19.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ht="19.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ht="19.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ht="19.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ht="19.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ht="19.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ht="19.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ht="19.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ht="19.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ht="19.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ht="19.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ht="19.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ht="19.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ht="19.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ht="19.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ht="19.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ht="19.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ht="19.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ht="19.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ht="19.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ht="19.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ht="19.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ht="19.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ht="19.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ht="19.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ht="19.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ht="19.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ht="19.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ht="19.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ht="19.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ht="19.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ht="19.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ht="19.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ht="19.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ht="19.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ht="19.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ht="19.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ht="19.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ht="19.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ht="19.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ht="19.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ht="19.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ht="19.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ht="19.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ht="19.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ht="19.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ht="19.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ht="19.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ht="19.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ht="19.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ht="19.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ht="19.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ht="19.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ht="19.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ht="19.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ht="19.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ht="19.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ht="19.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ht="19.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ht="19.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ht="19.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ht="19.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ht="19.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ht="19.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ht="19.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ht="19.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ht="19.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ht="19.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ht="19.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ht="19.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ht="19.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ht="19.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ht="19.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ht="19.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ht="19.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ht="19.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ht="19.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ht="19.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ht="19.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ht="19.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ht="19.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ht="19.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ht="19.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ht="19.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ht="19.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ht="19.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ht="19.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ht="19.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ht="19.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ht="19.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ht="19.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ht="19.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ht="19.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ht="19.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ht="19.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ht="19.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ht="19.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ht="19.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ht="19.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ht="19.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ht="19.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ht="19.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ht="19.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ht="19.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ht="19.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ht="19.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ht="19.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ht="19.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ht="19.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ht="19.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ht="19.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ht="19.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ht="19.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ht="19.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ht="19.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ht="19.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ht="19.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ht="19.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ht="19.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ht="19.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ht="19.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ht="19.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ht="19.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ht="19.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ht="19.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ht="19.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ht="19.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ht="19.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ht="19.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ht="19.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ht="19.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ht="19.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ht="19.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ht="19.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ht="19.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ht="19.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ht="19.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ht="19.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ht="19.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ht="19.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ht="19.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ht="19.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ht="19.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ht="19.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ht="19.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ht="19.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ht="19.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ht="19.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ht="19.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ht="19.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ht="19.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ht="19.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ht="19.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ht="19.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ht="19.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ht="19.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ht="19.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ht="19.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ht="19.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ht="19.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ht="19.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ht="19.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ht="19.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ht="19.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ht="19.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ht="19.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ht="19.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ht="19.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ht="19.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ht="19.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ht="19.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ht="19.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ht="19.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ht="19.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ht="19.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ht="19.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ht="19.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ht="19.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ht="19.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ht="19.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ht="19.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ht="19.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ht="19.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ht="19.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ht="19.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ht="19.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ht="19.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ht="19.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ht="19.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ht="19.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ht="19.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ht="19.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ht="19.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ht="19.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ht="19.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ht="19.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ht="19.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ht="19.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ht="19.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ht="19.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ht="19.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ht="19.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ht="19.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ht="19.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ht="19.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ht="19.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ht="19.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ht="19.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ht="19.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ht="19.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ht="19.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ht="19.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ht="19.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ht="19.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ht="19.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ht="19.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ht="19.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ht="19.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ht="19.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ht="19.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ht="19.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ht="19.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ht="19.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ht="19.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ht="19.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ht="19.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ht="19.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ht="19.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ht="19.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ht="19.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ht="19.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ht="19.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ht="19.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ht="19.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ht="19.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ht="19.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ht="19.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ht="19.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ht="19.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ht="19.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ht="19.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ht="19.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ht="19.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ht="19.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ht="19.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ht="19.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ht="19.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ht="19.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ht="19.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ht="19.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ht="19.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ht="19.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ht="19.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ht="19.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ht="19.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ht="19.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ht="19.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ht="19.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ht="19.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ht="19.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ht="19.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ht="19.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ht="19.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ht="19.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ht="19.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ht="19.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ht="19.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ht="19.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ht="19.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ht="19.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ht="19.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ht="19.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ht="19.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ht="19.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ht="19.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ht="19.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ht="19.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ht="19.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ht="19.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ht="19.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ht="19.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ht="19.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ht="19.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ht="19.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ht="19.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ht="19.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ht="19.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ht="19.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ht="19.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ht="19.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ht="19.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ht="19.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ht="19.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ht="19.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ht="19.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ht="19.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ht="19.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ht="19.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ht="19.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ht="19.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ht="19.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ht="19.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ht="19.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ht="19.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ht="19.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ht="19.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ht="19.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ht="19.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ht="19.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ht="19.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ht="19.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ht="19.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ht="19.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ht="19.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ht="19.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ht="19.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ht="19.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ht="19.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ht="19.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ht="19.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ht="19.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ht="19.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ht="19.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ht="19.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ht="19.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ht="19.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ht="19.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ht="19.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ht="19.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ht="19.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ht="19.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ht="19.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ht="19.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ht="19.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ht="19.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ht="19.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ht="19.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ht="19.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ht="19.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ht="19.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ht="19.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ht="19.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ht="19.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ht="19.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ht="19.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ht="19.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ht="19.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ht="19.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ht="19.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ht="19.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ht="19.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ht="19.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ht="19.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ht="19.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ht="19.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ht="19.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ht="19.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ht="19.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ht="19.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ht="19.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ht="19.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ht="19.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ht="19.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ht="19.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ht="19.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ht="19.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ht="19.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ht="19.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ht="19.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ht="19.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ht="19.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ht="19.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ht="19.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ht="19.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ht="19.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ht="19.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ht="19.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ht="19.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ht="19.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ht="19.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ht="19.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ht="19.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ht="19.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ht="19.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ht="19.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ht="19.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ht="19.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ht="19.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ht="19.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ht="19.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ht="19.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ht="19.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ht="19.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ht="19.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ht="19.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ht="19.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ht="19.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ht="19.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ht="19.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ht="19.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ht="19.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ht="19.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ht="19.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ht="19.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ht="19.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ht="19.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ht="19.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ht="19.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ht="19.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ht="19.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ht="19.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ht="19.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ht="19.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ht="19.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ht="19.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ht="19.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ht="19.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ht="19.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ht="19.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ht="19.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ht="19.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ht="19.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ht="19.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ht="19.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ht="19.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ht="19.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ht="19.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ht="19.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ht="19.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ht="19.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ht="19.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ht="19.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ht="19.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ht="19.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ht="19.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ht="19.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ht="19.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ht="19.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ht="19.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ht="19.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ht="19.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ht="19.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ht="19.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ht="19.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ht="19.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ht="19.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ht="19.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ht="19.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ht="19.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ht="19.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ht="19.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ht="19.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ht="19.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ht="19.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ht="19.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ht="19.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ht="19.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ht="19.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ht="19.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ht="19.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ht="19.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ht="19.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ht="19.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ht="19.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ht="19.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ht="19.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ht="19.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ht="19.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ht="19.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ht="19.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ht="19.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ht="19.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ht="19.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ht="19.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ht="19.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ht="19.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ht="19.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ht="19.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ht="19.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ht="19.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ht="19.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ht="19.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ht="19.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ht="19.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ht="19.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ht="19.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ht="19.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ht="19.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ht="19.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ht="19.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ht="19.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ht="19.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ht="19.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ht="19.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ht="19.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ht="19.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ht="19.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ht="19.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ht="19.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ht="19.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ht="19.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ht="19.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ht="19.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ht="19.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ht="19.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ht="19.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ht="19.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ht="19.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ht="19.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ht="19.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ht="19.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ht="19.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ht="19.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ht="19.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ht="19.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ht="19.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ht="19.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ht="19.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ht="19.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ht="19.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ht="19.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ht="19.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ht="19.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ht="19.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ht="19.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ht="19.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ht="19.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ht="19.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ht="19.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ht="19.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ht="19.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ht="19.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ht="19.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ht="19.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ht="19.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ht="19.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ht="19.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ht="19.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ht="19.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ht="19.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ht="19.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ht="19.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ht="19.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ht="19.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ht="19.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ht="19.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ht="19.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ht="19.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ht="19.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ht="19.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ht="19.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ht="19.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ht="19.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ht="19.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ht="19.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ht="19.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ht="19.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ht="19.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ht="19.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ht="19.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ht="19.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ht="19.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ht="19.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ht="19.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ht="19.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ht="19.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ht="19.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ht="19.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ht="19.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ht="19.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ht="19.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ht="19.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ht="19.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ht="19.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ht="19.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ht="19.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ht="19.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ht="19.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ht="19.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ht="19.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ht="19.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ht="19.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ht="19.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ht="19.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ht="19.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ht="19.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ht="19.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ht="19.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ht="19.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ht="19.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ht="19.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ht="19.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ht="19.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ht="19.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ht="19.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ht="19.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ht="19.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ht="19.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ht="19.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ht="19.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ht="19.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ht="19.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ht="19.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ht="19.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ht="19.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ht="19.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ht="19.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ht="19.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ht="19.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ht="19.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ht="19.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ht="19.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ht="19.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ht="19.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ht="19.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ht="19.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ht="19.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ht="19.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ht="19.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ht="19.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ht="19.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ht="19.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ht="19.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ht="19.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ht="19.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ht="19.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ht="19.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ht="19.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ht="19.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ht="19.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ht="19.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ht="19.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ht="19.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ht="19.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ht="19.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ht="19.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ht="19.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ht="19.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ht="19.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ht="19.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ht="19.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ht="19.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ht="19.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ht="19.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ht="19.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ht="19.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ht="19.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ht="19.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ht="19.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ht="19.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ht="19.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ht="19.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ht="19.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ht="19.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ht="19.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ht="19.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ht="19.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ht="19.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ht="19.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ht="19.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ht="19.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ht="19.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ht="19.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ht="19.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ht="19.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ht="19.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ht="19.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ht="19.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ht="19.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ht="19.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ht="19.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ht="19.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ht="19.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ht="19.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ht="19.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ht="19.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ht="19.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ht="19.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ht="19.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ht="19.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ht="19.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ht="19.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ht="19.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ht="19.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ht="19.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ht="19.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ht="19.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ht="19.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ht="19.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ht="19.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ht="19.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ht="19.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ht="19.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ht="19.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ht="19.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ht="19.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ht="19.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ht="19.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ht="19.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ht="19.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ht="19.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ht="19.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ht="19.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ht="19.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ht="19.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ht="19.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ht="19.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ht="19.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ht="19.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ht="19.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ht="19.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ht="19.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ht="19.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ht="19.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ht="19.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ht="19.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ht="19.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ht="19.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ht="19.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ht="19.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ht="19.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ht="19.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ht="19.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ht="19.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ht="19.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ht="19.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ht="19.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ht="19.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ht="19.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ht="19.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ht="19.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ht="19.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ht="19.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ht="19.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ht="19.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ht="19.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ht="19.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ht="19.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ht="19.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ht="19.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ht="19.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ht="19.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ht="19.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ht="19.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ht="19.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ht="19.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ht="19.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ht="19.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ht="19.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ht="19.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ht="19.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ht="19.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ht="19.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ht="19.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ht="19.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ht="19.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ht="19.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ht="19.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ht="19.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ht="19.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ht="19.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ht="19.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ht="19.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ht="19.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ht="19.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ht="19.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ht="19.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ht="19.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ht="19.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ht="19.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ht="19.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ht="19.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ht="19.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ht="19.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ht="19.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ht="19.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ht="19.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ht="19.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ht="19.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ht="19.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ht="19.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ht="19.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ht="19.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ht="19.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ht="19.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ht="19.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ht="19.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ht="19.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ht="19.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ht="19.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ht="19.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ht="19.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ht="19.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ht="19.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ht="19.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ht="19.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ht="19.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ht="19.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ht="19.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ht="19.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ht="19.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ht="19.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ht="19.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ht="19.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ht="19.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ht="19.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ht="19.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ht="19.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ht="19.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ht="19.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ht="19.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ht="19.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ht="19.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ht="19.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ht="19.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ht="19.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ht="19.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ht="19.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ht="19.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ht="19.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ht="19.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ht="19.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ht="19.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ht="19.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ht="19.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ht="19.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ht="19.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ht="19.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ht="19.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ht="19.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ht="19.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1">
    <mergeCell ref="A1:C1"/>
  </mergeCells>
  <printOptions/>
  <pageMargins bottom="1.0" footer="0.0" header="0.0" left="1.0" right="1.0" top="1.0"/>
  <pageSetup orientation="portrait"/>
  <headerFooter>
    <oddFooter>&amp;C000000&amp;P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2.0" topLeftCell="A3" activePane="bottomLeft" state="frozen"/>
      <selection activeCell="B4" sqref="B4" pane="bottomLeft"/>
    </sheetView>
  </sheetViews>
  <sheetFormatPr customHeight="1" defaultColWidth="14.43" defaultRowHeight="15.0"/>
  <cols>
    <col customWidth="1" min="1" max="2" width="26.71"/>
    <col customWidth="1" min="3" max="3" width="80.0"/>
    <col customWidth="1" min="4" max="26" width="16.29"/>
  </cols>
  <sheetData>
    <row r="1" ht="27.0" customHeight="1">
      <c r="A1" s="6" t="s">
        <v>12</v>
      </c>
      <c r="D1" s="7"/>
      <c r="E1" s="7"/>
      <c r="F1" s="7"/>
      <c r="G1" s="7"/>
      <c r="H1" s="7"/>
      <c r="I1" s="7"/>
      <c r="J1" s="7"/>
      <c r="K1" s="7"/>
      <c r="L1" s="7"/>
      <c r="M1" s="7"/>
      <c r="N1" s="7"/>
      <c r="O1" s="7"/>
      <c r="P1" s="7"/>
      <c r="Q1" s="7"/>
      <c r="R1" s="7"/>
      <c r="S1" s="7"/>
      <c r="T1" s="7"/>
      <c r="U1" s="7"/>
      <c r="V1" s="7"/>
      <c r="W1" s="7"/>
      <c r="X1" s="7"/>
      <c r="Y1" s="7"/>
      <c r="Z1" s="7"/>
    </row>
    <row r="2" ht="20.25" customHeight="1">
      <c r="A2" s="20" t="s">
        <v>13654</v>
      </c>
      <c r="B2" s="20" t="s">
        <v>13655</v>
      </c>
      <c r="C2" s="20" t="s">
        <v>13656</v>
      </c>
      <c r="D2" s="7"/>
      <c r="E2" s="7"/>
      <c r="F2" s="7"/>
      <c r="G2" s="7"/>
      <c r="H2" s="7"/>
      <c r="I2" s="7"/>
      <c r="J2" s="7"/>
      <c r="K2" s="7"/>
      <c r="L2" s="7"/>
      <c r="M2" s="7"/>
      <c r="N2" s="7"/>
      <c r="O2" s="7"/>
      <c r="P2" s="7"/>
      <c r="Q2" s="7"/>
      <c r="R2" s="7"/>
      <c r="S2" s="7"/>
      <c r="T2" s="7"/>
      <c r="U2" s="7"/>
      <c r="V2" s="7"/>
      <c r="W2" s="7"/>
      <c r="X2" s="7"/>
      <c r="Y2" s="7"/>
      <c r="Z2" s="7"/>
    </row>
    <row r="3" ht="20.25" customHeight="1">
      <c r="A3" s="37" t="s">
        <v>13657</v>
      </c>
      <c r="B3" s="38" t="s">
        <v>13658</v>
      </c>
      <c r="C3" s="24" t="s">
        <v>13659</v>
      </c>
      <c r="D3" s="7"/>
      <c r="E3" s="7"/>
      <c r="F3" s="7"/>
      <c r="G3" s="7"/>
      <c r="H3" s="7"/>
      <c r="I3" s="7"/>
      <c r="J3" s="7"/>
      <c r="K3" s="7"/>
      <c r="L3" s="7"/>
      <c r="M3" s="7"/>
      <c r="N3" s="7"/>
      <c r="O3" s="7"/>
      <c r="P3" s="7"/>
      <c r="Q3" s="7"/>
      <c r="R3" s="7"/>
      <c r="S3" s="7"/>
      <c r="T3" s="7"/>
      <c r="U3" s="7"/>
      <c r="V3" s="7"/>
      <c r="W3" s="7"/>
      <c r="X3" s="7"/>
      <c r="Y3" s="7"/>
      <c r="Z3" s="7"/>
    </row>
    <row r="4" ht="19.5" customHeight="1">
      <c r="A4" s="39" t="s">
        <v>13660</v>
      </c>
      <c r="B4" s="40" t="s">
        <v>13661</v>
      </c>
      <c r="C4" s="28" t="s">
        <v>13662</v>
      </c>
      <c r="D4" s="7"/>
      <c r="E4" s="7"/>
      <c r="F4" s="7"/>
      <c r="G4" s="7"/>
      <c r="H4" s="7"/>
      <c r="I4" s="7"/>
      <c r="J4" s="7"/>
      <c r="K4" s="7"/>
      <c r="L4" s="7"/>
      <c r="M4" s="7"/>
      <c r="N4" s="7"/>
      <c r="O4" s="7"/>
      <c r="P4" s="7"/>
      <c r="Q4" s="7"/>
      <c r="R4" s="7"/>
      <c r="S4" s="7"/>
      <c r="T4" s="7"/>
      <c r="U4" s="7"/>
      <c r="V4" s="7"/>
      <c r="W4" s="7"/>
      <c r="X4" s="7"/>
      <c r="Y4" s="7"/>
      <c r="Z4" s="7"/>
    </row>
    <row r="5" ht="19.5" customHeight="1">
      <c r="A5" s="39" t="s">
        <v>13663</v>
      </c>
      <c r="B5" s="40" t="s">
        <v>13664</v>
      </c>
      <c r="C5" s="28" t="s">
        <v>13665</v>
      </c>
      <c r="D5" s="7"/>
      <c r="E5" s="7"/>
      <c r="F5" s="7"/>
      <c r="G5" s="7"/>
      <c r="H5" s="7"/>
      <c r="I5" s="7"/>
      <c r="J5" s="7"/>
      <c r="K5" s="7"/>
      <c r="L5" s="7"/>
      <c r="M5" s="7"/>
      <c r="N5" s="7"/>
      <c r="O5" s="7"/>
      <c r="P5" s="7"/>
      <c r="Q5" s="7"/>
      <c r="R5" s="7"/>
      <c r="S5" s="7"/>
      <c r="T5" s="7"/>
      <c r="U5" s="7"/>
      <c r="V5" s="7"/>
      <c r="W5" s="7"/>
      <c r="X5" s="7"/>
      <c r="Y5" s="7"/>
      <c r="Z5" s="7"/>
    </row>
    <row r="6" ht="19.5" customHeight="1">
      <c r="A6" s="7"/>
      <c r="B6" s="7"/>
      <c r="C6" s="7"/>
      <c r="D6" s="7"/>
      <c r="E6" s="7"/>
      <c r="F6" s="7"/>
      <c r="G6" s="7"/>
      <c r="H6" s="7"/>
      <c r="I6" s="7"/>
      <c r="J6" s="7"/>
      <c r="K6" s="7"/>
      <c r="L6" s="7"/>
      <c r="M6" s="7"/>
      <c r="N6" s="7"/>
      <c r="O6" s="7"/>
      <c r="P6" s="7"/>
      <c r="Q6" s="7"/>
      <c r="R6" s="7"/>
      <c r="S6" s="7"/>
      <c r="T6" s="7"/>
      <c r="U6" s="7"/>
      <c r="V6" s="7"/>
      <c r="W6" s="7"/>
      <c r="X6" s="7"/>
      <c r="Y6" s="7"/>
      <c r="Z6" s="7"/>
    </row>
    <row r="7" ht="19.5" customHeight="1">
      <c r="A7" s="7"/>
      <c r="B7" s="7"/>
      <c r="C7" s="7"/>
      <c r="D7" s="7"/>
      <c r="E7" s="7"/>
      <c r="F7" s="7"/>
      <c r="G7" s="7"/>
      <c r="H7" s="7"/>
      <c r="I7" s="7"/>
      <c r="J7" s="7"/>
      <c r="K7" s="7"/>
      <c r="L7" s="7"/>
      <c r="M7" s="7"/>
      <c r="N7" s="7"/>
      <c r="O7" s="7"/>
      <c r="P7" s="7"/>
      <c r="Q7" s="7"/>
      <c r="R7" s="7"/>
      <c r="S7" s="7"/>
      <c r="T7" s="7"/>
      <c r="U7" s="7"/>
      <c r="V7" s="7"/>
      <c r="W7" s="7"/>
      <c r="X7" s="7"/>
      <c r="Y7" s="7"/>
      <c r="Z7" s="7"/>
    </row>
    <row r="8" ht="19.5" customHeight="1">
      <c r="A8" s="7"/>
      <c r="B8" s="7"/>
      <c r="C8" s="7"/>
      <c r="D8" s="7"/>
      <c r="E8" s="7"/>
      <c r="F8" s="7"/>
      <c r="G8" s="7"/>
      <c r="H8" s="7"/>
      <c r="I8" s="7"/>
      <c r="J8" s="7"/>
      <c r="K8" s="7"/>
      <c r="L8" s="7"/>
      <c r="M8" s="7"/>
      <c r="N8" s="7"/>
      <c r="O8" s="7"/>
      <c r="P8" s="7"/>
      <c r="Q8" s="7"/>
      <c r="R8" s="7"/>
      <c r="S8" s="7"/>
      <c r="T8" s="7"/>
      <c r="U8" s="7"/>
      <c r="V8" s="7"/>
      <c r="W8" s="7"/>
      <c r="X8" s="7"/>
      <c r="Y8" s="7"/>
      <c r="Z8" s="7"/>
    </row>
    <row r="9" ht="19.5" customHeight="1">
      <c r="A9" s="7"/>
      <c r="B9" s="7"/>
      <c r="C9" s="7"/>
      <c r="D9" s="7"/>
      <c r="E9" s="7"/>
      <c r="F9" s="7"/>
      <c r="G9" s="7"/>
      <c r="H9" s="7"/>
      <c r="I9" s="7"/>
      <c r="J9" s="7"/>
      <c r="K9" s="7"/>
      <c r="L9" s="7"/>
      <c r="M9" s="7"/>
      <c r="N9" s="7"/>
      <c r="O9" s="7"/>
      <c r="P9" s="7"/>
      <c r="Q9" s="7"/>
      <c r="R9" s="7"/>
      <c r="S9" s="7"/>
      <c r="T9" s="7"/>
      <c r="U9" s="7"/>
      <c r="V9" s="7"/>
      <c r="W9" s="7"/>
      <c r="X9" s="7"/>
      <c r="Y9" s="7"/>
      <c r="Z9" s="7"/>
    </row>
    <row r="10" ht="19.5" customHeight="1">
      <c r="A10" s="7"/>
      <c r="B10" s="7"/>
      <c r="C10" s="7"/>
      <c r="D10" s="7"/>
      <c r="E10" s="7"/>
      <c r="F10" s="7"/>
      <c r="G10" s="7"/>
      <c r="H10" s="7"/>
      <c r="I10" s="7"/>
      <c r="J10" s="7"/>
      <c r="K10" s="7"/>
      <c r="L10" s="7"/>
      <c r="M10" s="7"/>
      <c r="N10" s="7"/>
      <c r="O10" s="7"/>
      <c r="P10" s="7"/>
      <c r="Q10" s="7"/>
      <c r="R10" s="7"/>
      <c r="S10" s="7"/>
      <c r="T10" s="7"/>
      <c r="U10" s="7"/>
      <c r="V10" s="7"/>
      <c r="W10" s="7"/>
      <c r="X10" s="7"/>
      <c r="Y10" s="7"/>
      <c r="Z10" s="7"/>
    </row>
    <row r="11" ht="19.5" customHeight="1">
      <c r="A11" s="7"/>
      <c r="B11" s="7"/>
      <c r="C11" s="7"/>
      <c r="D11" s="7"/>
      <c r="E11" s="7"/>
      <c r="F11" s="7"/>
      <c r="G11" s="7"/>
      <c r="H11" s="7"/>
      <c r="I11" s="7"/>
      <c r="J11" s="7"/>
      <c r="K11" s="7"/>
      <c r="L11" s="7"/>
      <c r="M11" s="7"/>
      <c r="N11" s="7"/>
      <c r="O11" s="7"/>
      <c r="P11" s="7"/>
      <c r="Q11" s="7"/>
      <c r="R11" s="7"/>
      <c r="S11" s="7"/>
      <c r="T11" s="7"/>
      <c r="U11" s="7"/>
      <c r="V11" s="7"/>
      <c r="W11" s="7"/>
      <c r="X11" s="7"/>
      <c r="Y11" s="7"/>
      <c r="Z11" s="7"/>
    </row>
    <row r="12" ht="19.5" customHeight="1">
      <c r="A12" s="7"/>
      <c r="B12" s="7"/>
      <c r="C12" s="7"/>
      <c r="D12" s="7"/>
      <c r="E12" s="7"/>
      <c r="F12" s="7"/>
      <c r="G12" s="7"/>
      <c r="H12" s="7"/>
      <c r="I12" s="7"/>
      <c r="J12" s="7"/>
      <c r="K12" s="7"/>
      <c r="L12" s="7"/>
      <c r="M12" s="7"/>
      <c r="N12" s="7"/>
      <c r="O12" s="7"/>
      <c r="P12" s="7"/>
      <c r="Q12" s="7"/>
      <c r="R12" s="7"/>
      <c r="S12" s="7"/>
      <c r="T12" s="7"/>
      <c r="U12" s="7"/>
      <c r="V12" s="7"/>
      <c r="W12" s="7"/>
      <c r="X12" s="7"/>
      <c r="Y12" s="7"/>
      <c r="Z12" s="7"/>
    </row>
    <row r="13" ht="19.5" customHeight="1">
      <c r="A13" s="7"/>
      <c r="B13" s="7"/>
      <c r="C13" s="7"/>
      <c r="D13" s="7"/>
      <c r="E13" s="7"/>
      <c r="F13" s="7"/>
      <c r="G13" s="7"/>
      <c r="H13" s="7"/>
      <c r="I13" s="7"/>
      <c r="J13" s="7"/>
      <c r="K13" s="7"/>
      <c r="L13" s="7"/>
      <c r="M13" s="7"/>
      <c r="N13" s="7"/>
      <c r="O13" s="7"/>
      <c r="P13" s="7"/>
      <c r="Q13" s="7"/>
      <c r="R13" s="7"/>
      <c r="S13" s="7"/>
      <c r="T13" s="7"/>
      <c r="U13" s="7"/>
      <c r="V13" s="7"/>
      <c r="W13" s="7"/>
      <c r="X13" s="7"/>
      <c r="Y13" s="7"/>
      <c r="Z13" s="7"/>
    </row>
    <row r="14" ht="19.5" customHeight="1">
      <c r="A14" s="7"/>
      <c r="B14" s="7"/>
      <c r="C14" s="7"/>
      <c r="D14" s="7"/>
      <c r="E14" s="7"/>
      <c r="F14" s="7"/>
      <c r="G14" s="7"/>
      <c r="H14" s="7"/>
      <c r="I14" s="7"/>
      <c r="J14" s="7"/>
      <c r="K14" s="7"/>
      <c r="L14" s="7"/>
      <c r="M14" s="7"/>
      <c r="N14" s="7"/>
      <c r="O14" s="7"/>
      <c r="P14" s="7"/>
      <c r="Q14" s="7"/>
      <c r="R14" s="7"/>
      <c r="S14" s="7"/>
      <c r="T14" s="7"/>
      <c r="U14" s="7"/>
      <c r="V14" s="7"/>
      <c r="W14" s="7"/>
      <c r="X14" s="7"/>
      <c r="Y14" s="7"/>
      <c r="Z14" s="7"/>
    </row>
    <row r="15" ht="19.5" customHeight="1">
      <c r="A15" s="7"/>
      <c r="B15" s="7"/>
      <c r="C15" s="7"/>
      <c r="D15" s="7"/>
      <c r="E15" s="7"/>
      <c r="F15" s="7"/>
      <c r="G15" s="7"/>
      <c r="H15" s="7"/>
      <c r="I15" s="7"/>
      <c r="J15" s="7"/>
      <c r="K15" s="7"/>
      <c r="L15" s="7"/>
      <c r="M15" s="7"/>
      <c r="N15" s="7"/>
      <c r="O15" s="7"/>
      <c r="P15" s="7"/>
      <c r="Q15" s="7"/>
      <c r="R15" s="7"/>
      <c r="S15" s="7"/>
      <c r="T15" s="7"/>
      <c r="U15" s="7"/>
      <c r="V15" s="7"/>
      <c r="W15" s="7"/>
      <c r="X15" s="7"/>
      <c r="Y15" s="7"/>
      <c r="Z15" s="7"/>
    </row>
    <row r="16" ht="19.5" customHeight="1">
      <c r="A16" s="7"/>
      <c r="B16" s="7"/>
      <c r="C16" s="7"/>
      <c r="D16" s="7"/>
      <c r="E16" s="7"/>
      <c r="F16" s="7"/>
      <c r="G16" s="7"/>
      <c r="H16" s="7"/>
      <c r="I16" s="7"/>
      <c r="J16" s="7"/>
      <c r="K16" s="7"/>
      <c r="L16" s="7"/>
      <c r="M16" s="7"/>
      <c r="N16" s="7"/>
      <c r="O16" s="7"/>
      <c r="P16" s="7"/>
      <c r="Q16" s="7"/>
      <c r="R16" s="7"/>
      <c r="S16" s="7"/>
      <c r="T16" s="7"/>
      <c r="U16" s="7"/>
      <c r="V16" s="7"/>
      <c r="W16" s="7"/>
      <c r="X16" s="7"/>
      <c r="Y16" s="7"/>
      <c r="Z16" s="7"/>
    </row>
    <row r="17" ht="19.5" customHeight="1">
      <c r="A17" s="7"/>
      <c r="B17" s="7"/>
      <c r="C17" s="7"/>
      <c r="D17" s="7"/>
      <c r="E17" s="7"/>
      <c r="F17" s="7"/>
      <c r="G17" s="7"/>
      <c r="H17" s="7"/>
      <c r="I17" s="7"/>
      <c r="J17" s="7"/>
      <c r="K17" s="7"/>
      <c r="L17" s="7"/>
      <c r="M17" s="7"/>
      <c r="N17" s="7"/>
      <c r="O17" s="7"/>
      <c r="P17" s="7"/>
      <c r="Q17" s="7"/>
      <c r="R17" s="7"/>
      <c r="S17" s="7"/>
      <c r="T17" s="7"/>
      <c r="U17" s="7"/>
      <c r="V17" s="7"/>
      <c r="W17" s="7"/>
      <c r="X17" s="7"/>
      <c r="Y17" s="7"/>
      <c r="Z17" s="7"/>
    </row>
    <row r="18" ht="19.5" customHeight="1">
      <c r="A18" s="7"/>
      <c r="B18" s="7"/>
      <c r="C18" s="7"/>
      <c r="D18" s="7"/>
      <c r="E18" s="7"/>
      <c r="F18" s="7"/>
      <c r="G18" s="7"/>
      <c r="H18" s="7"/>
      <c r="I18" s="7"/>
      <c r="J18" s="7"/>
      <c r="K18" s="7"/>
      <c r="L18" s="7"/>
      <c r="M18" s="7"/>
      <c r="N18" s="7"/>
      <c r="O18" s="7"/>
      <c r="P18" s="7"/>
      <c r="Q18" s="7"/>
      <c r="R18" s="7"/>
      <c r="S18" s="7"/>
      <c r="T18" s="7"/>
      <c r="U18" s="7"/>
      <c r="V18" s="7"/>
      <c r="W18" s="7"/>
      <c r="X18" s="7"/>
      <c r="Y18" s="7"/>
      <c r="Z18" s="7"/>
    </row>
    <row r="19" ht="19.5" customHeight="1">
      <c r="A19" s="7"/>
      <c r="B19" s="7"/>
      <c r="C19" s="7"/>
      <c r="D19" s="7"/>
      <c r="E19" s="7"/>
      <c r="F19" s="7"/>
      <c r="G19" s="7"/>
      <c r="H19" s="7"/>
      <c r="I19" s="7"/>
      <c r="J19" s="7"/>
      <c r="K19" s="7"/>
      <c r="L19" s="7"/>
      <c r="M19" s="7"/>
      <c r="N19" s="7"/>
      <c r="O19" s="7"/>
      <c r="P19" s="7"/>
      <c r="Q19" s="7"/>
      <c r="R19" s="7"/>
      <c r="S19" s="7"/>
      <c r="T19" s="7"/>
      <c r="U19" s="7"/>
      <c r="V19" s="7"/>
      <c r="W19" s="7"/>
      <c r="X19" s="7"/>
      <c r="Y19" s="7"/>
      <c r="Z19" s="7"/>
    </row>
    <row r="20" ht="19.5" customHeight="1">
      <c r="A20" s="7"/>
      <c r="B20" s="7"/>
      <c r="C20" s="7"/>
      <c r="D20" s="7"/>
      <c r="E20" s="7"/>
      <c r="F20" s="7"/>
      <c r="G20" s="7"/>
      <c r="H20" s="7"/>
      <c r="I20" s="7"/>
      <c r="J20" s="7"/>
      <c r="K20" s="7"/>
      <c r="L20" s="7"/>
      <c r="M20" s="7"/>
      <c r="N20" s="7"/>
      <c r="O20" s="7"/>
      <c r="P20" s="7"/>
      <c r="Q20" s="7"/>
      <c r="R20" s="7"/>
      <c r="S20" s="7"/>
      <c r="T20" s="7"/>
      <c r="U20" s="7"/>
      <c r="V20" s="7"/>
      <c r="W20" s="7"/>
      <c r="X20" s="7"/>
      <c r="Y20" s="7"/>
      <c r="Z20" s="7"/>
    </row>
    <row r="21" ht="19.5" customHeight="1">
      <c r="A21" s="7"/>
      <c r="B21" s="7"/>
      <c r="C21" s="7"/>
      <c r="D21" s="7"/>
      <c r="E21" s="7"/>
      <c r="F21" s="7"/>
      <c r="G21" s="7"/>
      <c r="H21" s="7"/>
      <c r="I21" s="7"/>
      <c r="J21" s="7"/>
      <c r="K21" s="7"/>
      <c r="L21" s="7"/>
      <c r="M21" s="7"/>
      <c r="N21" s="7"/>
      <c r="O21" s="7"/>
      <c r="P21" s="7"/>
      <c r="Q21" s="7"/>
      <c r="R21" s="7"/>
      <c r="S21" s="7"/>
      <c r="T21" s="7"/>
      <c r="U21" s="7"/>
      <c r="V21" s="7"/>
      <c r="W21" s="7"/>
      <c r="X21" s="7"/>
      <c r="Y21" s="7"/>
      <c r="Z21" s="7"/>
    </row>
    <row r="22" ht="19.5" customHeight="1">
      <c r="A22" s="7"/>
      <c r="B22" s="7"/>
      <c r="C22" s="7"/>
      <c r="D22" s="7"/>
      <c r="E22" s="7"/>
      <c r="F22" s="7"/>
      <c r="G22" s="7"/>
      <c r="H22" s="7"/>
      <c r="I22" s="7"/>
      <c r="J22" s="7"/>
      <c r="K22" s="7"/>
      <c r="L22" s="7"/>
      <c r="M22" s="7"/>
      <c r="N22" s="7"/>
      <c r="O22" s="7"/>
      <c r="P22" s="7"/>
      <c r="Q22" s="7"/>
      <c r="R22" s="7"/>
      <c r="S22" s="7"/>
      <c r="T22" s="7"/>
      <c r="U22" s="7"/>
      <c r="V22" s="7"/>
      <c r="W22" s="7"/>
      <c r="X22" s="7"/>
      <c r="Y22" s="7"/>
      <c r="Z22" s="7"/>
    </row>
    <row r="23" ht="19.5" customHeight="1">
      <c r="A23" s="7"/>
      <c r="B23" s="7"/>
      <c r="C23" s="7"/>
      <c r="D23" s="7"/>
      <c r="E23" s="7"/>
      <c r="F23" s="7"/>
      <c r="G23" s="7"/>
      <c r="H23" s="7"/>
      <c r="I23" s="7"/>
      <c r="J23" s="7"/>
      <c r="K23" s="7"/>
      <c r="L23" s="7"/>
      <c r="M23" s="7"/>
      <c r="N23" s="7"/>
      <c r="O23" s="7"/>
      <c r="P23" s="7"/>
      <c r="Q23" s="7"/>
      <c r="R23" s="7"/>
      <c r="S23" s="7"/>
      <c r="T23" s="7"/>
      <c r="U23" s="7"/>
      <c r="V23" s="7"/>
      <c r="W23" s="7"/>
      <c r="X23" s="7"/>
      <c r="Y23" s="7"/>
      <c r="Z23" s="7"/>
    </row>
    <row r="24" ht="19.5" customHeight="1">
      <c r="A24" s="7"/>
      <c r="B24" s="7"/>
      <c r="C24" s="7"/>
      <c r="D24" s="7"/>
      <c r="E24" s="7"/>
      <c r="F24" s="7"/>
      <c r="G24" s="7"/>
      <c r="H24" s="7"/>
      <c r="I24" s="7"/>
      <c r="J24" s="7"/>
      <c r="K24" s="7"/>
      <c r="L24" s="7"/>
      <c r="M24" s="7"/>
      <c r="N24" s="7"/>
      <c r="O24" s="7"/>
      <c r="P24" s="7"/>
      <c r="Q24" s="7"/>
      <c r="R24" s="7"/>
      <c r="S24" s="7"/>
      <c r="T24" s="7"/>
      <c r="U24" s="7"/>
      <c r="V24" s="7"/>
      <c r="W24" s="7"/>
      <c r="X24" s="7"/>
      <c r="Y24" s="7"/>
      <c r="Z24" s="7"/>
    </row>
    <row r="25" ht="19.5" customHeight="1">
      <c r="A25" s="7"/>
      <c r="B25" s="7"/>
      <c r="C25" s="7"/>
      <c r="D25" s="7"/>
      <c r="E25" s="7"/>
      <c r="F25" s="7"/>
      <c r="G25" s="7"/>
      <c r="H25" s="7"/>
      <c r="I25" s="7"/>
      <c r="J25" s="7"/>
      <c r="K25" s="7"/>
      <c r="L25" s="7"/>
      <c r="M25" s="7"/>
      <c r="N25" s="7"/>
      <c r="O25" s="7"/>
      <c r="P25" s="7"/>
      <c r="Q25" s="7"/>
      <c r="R25" s="7"/>
      <c r="S25" s="7"/>
      <c r="T25" s="7"/>
      <c r="U25" s="7"/>
      <c r="V25" s="7"/>
      <c r="W25" s="7"/>
      <c r="X25" s="7"/>
      <c r="Y25" s="7"/>
      <c r="Z25" s="7"/>
    </row>
    <row r="26" ht="19.5" customHeight="1">
      <c r="A26" s="7"/>
      <c r="B26" s="7"/>
      <c r="C26" s="7"/>
      <c r="D26" s="7"/>
      <c r="E26" s="7"/>
      <c r="F26" s="7"/>
      <c r="G26" s="7"/>
      <c r="H26" s="7"/>
      <c r="I26" s="7"/>
      <c r="J26" s="7"/>
      <c r="K26" s="7"/>
      <c r="L26" s="7"/>
      <c r="M26" s="7"/>
      <c r="N26" s="7"/>
      <c r="O26" s="7"/>
      <c r="P26" s="7"/>
      <c r="Q26" s="7"/>
      <c r="R26" s="7"/>
      <c r="S26" s="7"/>
      <c r="T26" s="7"/>
      <c r="U26" s="7"/>
      <c r="V26" s="7"/>
      <c r="W26" s="7"/>
      <c r="X26" s="7"/>
      <c r="Y26" s="7"/>
      <c r="Z26" s="7"/>
    </row>
    <row r="27" ht="19.5" customHeight="1">
      <c r="A27" s="7"/>
      <c r="B27" s="7"/>
      <c r="C27" s="7"/>
      <c r="D27" s="7"/>
      <c r="E27" s="7"/>
      <c r="F27" s="7"/>
      <c r="G27" s="7"/>
      <c r="H27" s="7"/>
      <c r="I27" s="7"/>
      <c r="J27" s="7"/>
      <c r="K27" s="7"/>
      <c r="L27" s="7"/>
      <c r="M27" s="7"/>
      <c r="N27" s="7"/>
      <c r="O27" s="7"/>
      <c r="P27" s="7"/>
      <c r="Q27" s="7"/>
      <c r="R27" s="7"/>
      <c r="S27" s="7"/>
      <c r="T27" s="7"/>
      <c r="U27" s="7"/>
      <c r="V27" s="7"/>
      <c r="W27" s="7"/>
      <c r="X27" s="7"/>
      <c r="Y27" s="7"/>
      <c r="Z27" s="7"/>
    </row>
    <row r="28" ht="19.5" customHeight="1">
      <c r="A28" s="7"/>
      <c r="B28" s="7"/>
      <c r="C28" s="7"/>
      <c r="D28" s="7"/>
      <c r="E28" s="7"/>
      <c r="F28" s="7"/>
      <c r="G28" s="7"/>
      <c r="H28" s="7"/>
      <c r="I28" s="7"/>
      <c r="J28" s="7"/>
      <c r="K28" s="7"/>
      <c r="L28" s="7"/>
      <c r="M28" s="7"/>
      <c r="N28" s="7"/>
      <c r="O28" s="7"/>
      <c r="P28" s="7"/>
      <c r="Q28" s="7"/>
      <c r="R28" s="7"/>
      <c r="S28" s="7"/>
      <c r="T28" s="7"/>
      <c r="U28" s="7"/>
      <c r="V28" s="7"/>
      <c r="W28" s="7"/>
      <c r="X28" s="7"/>
      <c r="Y28" s="7"/>
      <c r="Z28" s="7"/>
    </row>
    <row r="29" ht="19.5" customHeight="1">
      <c r="A29" s="7"/>
      <c r="B29" s="7"/>
      <c r="C29" s="7"/>
      <c r="D29" s="7"/>
      <c r="E29" s="7"/>
      <c r="F29" s="7"/>
      <c r="G29" s="7"/>
      <c r="H29" s="7"/>
      <c r="I29" s="7"/>
      <c r="J29" s="7"/>
      <c r="K29" s="7"/>
      <c r="L29" s="7"/>
      <c r="M29" s="7"/>
      <c r="N29" s="7"/>
      <c r="O29" s="7"/>
      <c r="P29" s="7"/>
      <c r="Q29" s="7"/>
      <c r="R29" s="7"/>
      <c r="S29" s="7"/>
      <c r="T29" s="7"/>
      <c r="U29" s="7"/>
      <c r="V29" s="7"/>
      <c r="W29" s="7"/>
      <c r="X29" s="7"/>
      <c r="Y29" s="7"/>
      <c r="Z29" s="7"/>
    </row>
    <row r="30" ht="19.5" customHeight="1">
      <c r="A30" s="7"/>
      <c r="B30" s="7"/>
      <c r="C30" s="7"/>
      <c r="D30" s="7"/>
      <c r="E30" s="7"/>
      <c r="F30" s="7"/>
      <c r="G30" s="7"/>
      <c r="H30" s="7"/>
      <c r="I30" s="7"/>
      <c r="J30" s="7"/>
      <c r="K30" s="7"/>
      <c r="L30" s="7"/>
      <c r="M30" s="7"/>
      <c r="N30" s="7"/>
      <c r="O30" s="7"/>
      <c r="P30" s="7"/>
      <c r="Q30" s="7"/>
      <c r="R30" s="7"/>
      <c r="S30" s="7"/>
      <c r="T30" s="7"/>
      <c r="U30" s="7"/>
      <c r="V30" s="7"/>
      <c r="W30" s="7"/>
      <c r="X30" s="7"/>
      <c r="Y30" s="7"/>
      <c r="Z30" s="7"/>
    </row>
    <row r="31" ht="19.5" customHeight="1">
      <c r="A31" s="7"/>
      <c r="B31" s="7"/>
      <c r="C31" s="7"/>
      <c r="D31" s="7"/>
      <c r="E31" s="7"/>
      <c r="F31" s="7"/>
      <c r="G31" s="7"/>
      <c r="H31" s="7"/>
      <c r="I31" s="7"/>
      <c r="J31" s="7"/>
      <c r="K31" s="7"/>
      <c r="L31" s="7"/>
      <c r="M31" s="7"/>
      <c r="N31" s="7"/>
      <c r="O31" s="7"/>
      <c r="P31" s="7"/>
      <c r="Q31" s="7"/>
      <c r="R31" s="7"/>
      <c r="S31" s="7"/>
      <c r="T31" s="7"/>
      <c r="U31" s="7"/>
      <c r="V31" s="7"/>
      <c r="W31" s="7"/>
      <c r="X31" s="7"/>
      <c r="Y31" s="7"/>
      <c r="Z31" s="7"/>
    </row>
    <row r="32" ht="19.5" customHeight="1">
      <c r="A32" s="7"/>
      <c r="B32" s="7"/>
      <c r="C32" s="7"/>
      <c r="D32" s="7"/>
      <c r="E32" s="7"/>
      <c r="F32" s="7"/>
      <c r="G32" s="7"/>
      <c r="H32" s="7"/>
      <c r="I32" s="7"/>
      <c r="J32" s="7"/>
      <c r="K32" s="7"/>
      <c r="L32" s="7"/>
      <c r="M32" s="7"/>
      <c r="N32" s="7"/>
      <c r="O32" s="7"/>
      <c r="P32" s="7"/>
      <c r="Q32" s="7"/>
      <c r="R32" s="7"/>
      <c r="S32" s="7"/>
      <c r="T32" s="7"/>
      <c r="U32" s="7"/>
      <c r="V32" s="7"/>
      <c r="W32" s="7"/>
      <c r="X32" s="7"/>
      <c r="Y32" s="7"/>
      <c r="Z32" s="7"/>
    </row>
    <row r="33" ht="19.5" customHeight="1">
      <c r="A33" s="7"/>
      <c r="B33" s="7"/>
      <c r="C33" s="7"/>
      <c r="D33" s="7"/>
      <c r="E33" s="7"/>
      <c r="F33" s="7"/>
      <c r="G33" s="7"/>
      <c r="H33" s="7"/>
      <c r="I33" s="7"/>
      <c r="J33" s="7"/>
      <c r="K33" s="7"/>
      <c r="L33" s="7"/>
      <c r="M33" s="7"/>
      <c r="N33" s="7"/>
      <c r="O33" s="7"/>
      <c r="P33" s="7"/>
      <c r="Q33" s="7"/>
      <c r="R33" s="7"/>
      <c r="S33" s="7"/>
      <c r="T33" s="7"/>
      <c r="U33" s="7"/>
      <c r="V33" s="7"/>
      <c r="W33" s="7"/>
      <c r="X33" s="7"/>
      <c r="Y33" s="7"/>
      <c r="Z33" s="7"/>
    </row>
    <row r="34" ht="19.5" customHeight="1">
      <c r="A34" s="7"/>
      <c r="B34" s="7"/>
      <c r="C34" s="7"/>
      <c r="D34" s="7"/>
      <c r="E34" s="7"/>
      <c r="F34" s="7"/>
      <c r="G34" s="7"/>
      <c r="H34" s="7"/>
      <c r="I34" s="7"/>
      <c r="J34" s="7"/>
      <c r="K34" s="7"/>
      <c r="L34" s="7"/>
      <c r="M34" s="7"/>
      <c r="N34" s="7"/>
      <c r="O34" s="7"/>
      <c r="P34" s="7"/>
      <c r="Q34" s="7"/>
      <c r="R34" s="7"/>
      <c r="S34" s="7"/>
      <c r="T34" s="7"/>
      <c r="U34" s="7"/>
      <c r="V34" s="7"/>
      <c r="W34" s="7"/>
      <c r="X34" s="7"/>
      <c r="Y34" s="7"/>
      <c r="Z34" s="7"/>
    </row>
    <row r="35" ht="19.5" customHeight="1">
      <c r="A35" s="7"/>
      <c r="B35" s="7"/>
      <c r="C35" s="7"/>
      <c r="D35" s="7"/>
      <c r="E35" s="7"/>
      <c r="F35" s="7"/>
      <c r="G35" s="7"/>
      <c r="H35" s="7"/>
      <c r="I35" s="7"/>
      <c r="J35" s="7"/>
      <c r="K35" s="7"/>
      <c r="L35" s="7"/>
      <c r="M35" s="7"/>
      <c r="N35" s="7"/>
      <c r="O35" s="7"/>
      <c r="P35" s="7"/>
      <c r="Q35" s="7"/>
      <c r="R35" s="7"/>
      <c r="S35" s="7"/>
      <c r="T35" s="7"/>
      <c r="U35" s="7"/>
      <c r="V35" s="7"/>
      <c r="W35" s="7"/>
      <c r="X35" s="7"/>
      <c r="Y35" s="7"/>
      <c r="Z35" s="7"/>
    </row>
    <row r="36" ht="19.5" customHeight="1">
      <c r="A36" s="7"/>
      <c r="B36" s="7"/>
      <c r="C36" s="7"/>
      <c r="D36" s="7"/>
      <c r="E36" s="7"/>
      <c r="F36" s="7"/>
      <c r="G36" s="7"/>
      <c r="H36" s="7"/>
      <c r="I36" s="7"/>
      <c r="J36" s="7"/>
      <c r="K36" s="7"/>
      <c r="L36" s="7"/>
      <c r="M36" s="7"/>
      <c r="N36" s="7"/>
      <c r="O36" s="7"/>
      <c r="P36" s="7"/>
      <c r="Q36" s="7"/>
      <c r="R36" s="7"/>
      <c r="S36" s="7"/>
      <c r="T36" s="7"/>
      <c r="U36" s="7"/>
      <c r="V36" s="7"/>
      <c r="W36" s="7"/>
      <c r="X36" s="7"/>
      <c r="Y36" s="7"/>
      <c r="Z36" s="7"/>
    </row>
    <row r="37" ht="19.5" customHeight="1">
      <c r="A37" s="7"/>
      <c r="B37" s="7"/>
      <c r="C37" s="7"/>
      <c r="D37" s="7"/>
      <c r="E37" s="7"/>
      <c r="F37" s="7"/>
      <c r="G37" s="7"/>
      <c r="H37" s="7"/>
      <c r="I37" s="7"/>
      <c r="J37" s="7"/>
      <c r="K37" s="7"/>
      <c r="L37" s="7"/>
      <c r="M37" s="7"/>
      <c r="N37" s="7"/>
      <c r="O37" s="7"/>
      <c r="P37" s="7"/>
      <c r="Q37" s="7"/>
      <c r="R37" s="7"/>
      <c r="S37" s="7"/>
      <c r="T37" s="7"/>
      <c r="U37" s="7"/>
      <c r="V37" s="7"/>
      <c r="W37" s="7"/>
      <c r="X37" s="7"/>
      <c r="Y37" s="7"/>
      <c r="Z37" s="7"/>
    </row>
    <row r="38" ht="19.5" customHeight="1">
      <c r="A38" s="7"/>
      <c r="B38" s="7"/>
      <c r="C38" s="7"/>
      <c r="D38" s="7"/>
      <c r="E38" s="7"/>
      <c r="F38" s="7"/>
      <c r="G38" s="7"/>
      <c r="H38" s="7"/>
      <c r="I38" s="7"/>
      <c r="J38" s="7"/>
      <c r="K38" s="7"/>
      <c r="L38" s="7"/>
      <c r="M38" s="7"/>
      <c r="N38" s="7"/>
      <c r="O38" s="7"/>
      <c r="P38" s="7"/>
      <c r="Q38" s="7"/>
      <c r="R38" s="7"/>
      <c r="S38" s="7"/>
      <c r="T38" s="7"/>
      <c r="U38" s="7"/>
      <c r="V38" s="7"/>
      <c r="W38" s="7"/>
      <c r="X38" s="7"/>
      <c r="Y38" s="7"/>
      <c r="Z38" s="7"/>
    </row>
    <row r="39" ht="19.5" customHeight="1">
      <c r="A39" s="7"/>
      <c r="B39" s="7"/>
      <c r="C39" s="7"/>
      <c r="D39" s="7"/>
      <c r="E39" s="7"/>
      <c r="F39" s="7"/>
      <c r="G39" s="7"/>
      <c r="H39" s="7"/>
      <c r="I39" s="7"/>
      <c r="J39" s="7"/>
      <c r="K39" s="7"/>
      <c r="L39" s="7"/>
      <c r="M39" s="7"/>
      <c r="N39" s="7"/>
      <c r="O39" s="7"/>
      <c r="P39" s="7"/>
      <c r="Q39" s="7"/>
      <c r="R39" s="7"/>
      <c r="S39" s="7"/>
      <c r="T39" s="7"/>
      <c r="U39" s="7"/>
      <c r="V39" s="7"/>
      <c r="W39" s="7"/>
      <c r="X39" s="7"/>
      <c r="Y39" s="7"/>
      <c r="Z39" s="7"/>
    </row>
    <row r="40" ht="19.5" customHeight="1">
      <c r="A40" s="7"/>
      <c r="B40" s="7"/>
      <c r="C40" s="7"/>
      <c r="D40" s="7"/>
      <c r="E40" s="7"/>
      <c r="F40" s="7"/>
      <c r="G40" s="7"/>
      <c r="H40" s="7"/>
      <c r="I40" s="7"/>
      <c r="J40" s="7"/>
      <c r="K40" s="7"/>
      <c r="L40" s="7"/>
      <c r="M40" s="7"/>
      <c r="N40" s="7"/>
      <c r="O40" s="7"/>
      <c r="P40" s="7"/>
      <c r="Q40" s="7"/>
      <c r="R40" s="7"/>
      <c r="S40" s="7"/>
      <c r="T40" s="7"/>
      <c r="U40" s="7"/>
      <c r="V40" s="7"/>
      <c r="W40" s="7"/>
      <c r="X40" s="7"/>
      <c r="Y40" s="7"/>
      <c r="Z40" s="7"/>
    </row>
    <row r="41" ht="19.5" customHeight="1">
      <c r="A41" s="7"/>
      <c r="B41" s="7"/>
      <c r="C41" s="7"/>
      <c r="D41" s="7"/>
      <c r="E41" s="7"/>
      <c r="F41" s="7"/>
      <c r="G41" s="7"/>
      <c r="H41" s="7"/>
      <c r="I41" s="7"/>
      <c r="J41" s="7"/>
      <c r="K41" s="7"/>
      <c r="L41" s="7"/>
      <c r="M41" s="7"/>
      <c r="N41" s="7"/>
      <c r="O41" s="7"/>
      <c r="P41" s="7"/>
      <c r="Q41" s="7"/>
      <c r="R41" s="7"/>
      <c r="S41" s="7"/>
      <c r="T41" s="7"/>
      <c r="U41" s="7"/>
      <c r="V41" s="7"/>
      <c r="W41" s="7"/>
      <c r="X41" s="7"/>
      <c r="Y41" s="7"/>
      <c r="Z41" s="7"/>
    </row>
    <row r="42" ht="19.5" customHeight="1">
      <c r="A42" s="7"/>
      <c r="B42" s="7"/>
      <c r="C42" s="7"/>
      <c r="D42" s="7"/>
      <c r="E42" s="7"/>
      <c r="F42" s="7"/>
      <c r="G42" s="7"/>
      <c r="H42" s="7"/>
      <c r="I42" s="7"/>
      <c r="J42" s="7"/>
      <c r="K42" s="7"/>
      <c r="L42" s="7"/>
      <c r="M42" s="7"/>
      <c r="N42" s="7"/>
      <c r="O42" s="7"/>
      <c r="P42" s="7"/>
      <c r="Q42" s="7"/>
      <c r="R42" s="7"/>
      <c r="S42" s="7"/>
      <c r="T42" s="7"/>
      <c r="U42" s="7"/>
      <c r="V42" s="7"/>
      <c r="W42" s="7"/>
      <c r="X42" s="7"/>
      <c r="Y42" s="7"/>
      <c r="Z42" s="7"/>
    </row>
    <row r="43" ht="19.5" customHeight="1">
      <c r="A43" s="7"/>
      <c r="B43" s="7"/>
      <c r="C43" s="7"/>
      <c r="D43" s="7"/>
      <c r="E43" s="7"/>
      <c r="F43" s="7"/>
      <c r="G43" s="7"/>
      <c r="H43" s="7"/>
      <c r="I43" s="7"/>
      <c r="J43" s="7"/>
      <c r="K43" s="7"/>
      <c r="L43" s="7"/>
      <c r="M43" s="7"/>
      <c r="N43" s="7"/>
      <c r="O43" s="7"/>
      <c r="P43" s="7"/>
      <c r="Q43" s="7"/>
      <c r="R43" s="7"/>
      <c r="S43" s="7"/>
      <c r="T43" s="7"/>
      <c r="U43" s="7"/>
      <c r="V43" s="7"/>
      <c r="W43" s="7"/>
      <c r="X43" s="7"/>
      <c r="Y43" s="7"/>
      <c r="Z43" s="7"/>
    </row>
    <row r="44" ht="19.5" customHeight="1">
      <c r="A44" s="7"/>
      <c r="B44" s="7"/>
      <c r="C44" s="7"/>
      <c r="D44" s="7"/>
      <c r="E44" s="7"/>
      <c r="F44" s="7"/>
      <c r="G44" s="7"/>
      <c r="H44" s="7"/>
      <c r="I44" s="7"/>
      <c r="J44" s="7"/>
      <c r="K44" s="7"/>
      <c r="L44" s="7"/>
      <c r="M44" s="7"/>
      <c r="N44" s="7"/>
      <c r="O44" s="7"/>
      <c r="P44" s="7"/>
      <c r="Q44" s="7"/>
      <c r="R44" s="7"/>
      <c r="S44" s="7"/>
      <c r="T44" s="7"/>
      <c r="U44" s="7"/>
      <c r="V44" s="7"/>
      <c r="W44" s="7"/>
      <c r="X44" s="7"/>
      <c r="Y44" s="7"/>
      <c r="Z44" s="7"/>
    </row>
    <row r="45" ht="19.5" customHeight="1">
      <c r="A45" s="7"/>
      <c r="B45" s="7"/>
      <c r="C45" s="7"/>
      <c r="D45" s="7"/>
      <c r="E45" s="7"/>
      <c r="F45" s="7"/>
      <c r="G45" s="7"/>
      <c r="H45" s="7"/>
      <c r="I45" s="7"/>
      <c r="J45" s="7"/>
      <c r="K45" s="7"/>
      <c r="L45" s="7"/>
      <c r="M45" s="7"/>
      <c r="N45" s="7"/>
      <c r="O45" s="7"/>
      <c r="P45" s="7"/>
      <c r="Q45" s="7"/>
      <c r="R45" s="7"/>
      <c r="S45" s="7"/>
      <c r="T45" s="7"/>
      <c r="U45" s="7"/>
      <c r="V45" s="7"/>
      <c r="W45" s="7"/>
      <c r="X45" s="7"/>
      <c r="Y45" s="7"/>
      <c r="Z45" s="7"/>
    </row>
    <row r="46" ht="19.5" customHeight="1">
      <c r="A46" s="7"/>
      <c r="B46" s="7"/>
      <c r="C46" s="7"/>
      <c r="D46" s="7"/>
      <c r="E46" s="7"/>
      <c r="F46" s="7"/>
      <c r="G46" s="7"/>
      <c r="H46" s="7"/>
      <c r="I46" s="7"/>
      <c r="J46" s="7"/>
      <c r="K46" s="7"/>
      <c r="L46" s="7"/>
      <c r="M46" s="7"/>
      <c r="N46" s="7"/>
      <c r="O46" s="7"/>
      <c r="P46" s="7"/>
      <c r="Q46" s="7"/>
      <c r="R46" s="7"/>
      <c r="S46" s="7"/>
      <c r="T46" s="7"/>
      <c r="U46" s="7"/>
      <c r="V46" s="7"/>
      <c r="W46" s="7"/>
      <c r="X46" s="7"/>
      <c r="Y46" s="7"/>
      <c r="Z46" s="7"/>
    </row>
    <row r="47" ht="19.5" customHeight="1">
      <c r="A47" s="7"/>
      <c r="B47" s="7"/>
      <c r="C47" s="7"/>
      <c r="D47" s="7"/>
      <c r="E47" s="7"/>
      <c r="F47" s="7"/>
      <c r="G47" s="7"/>
      <c r="H47" s="7"/>
      <c r="I47" s="7"/>
      <c r="J47" s="7"/>
      <c r="K47" s="7"/>
      <c r="L47" s="7"/>
      <c r="M47" s="7"/>
      <c r="N47" s="7"/>
      <c r="O47" s="7"/>
      <c r="P47" s="7"/>
      <c r="Q47" s="7"/>
      <c r="R47" s="7"/>
      <c r="S47" s="7"/>
      <c r="T47" s="7"/>
      <c r="U47" s="7"/>
      <c r="V47" s="7"/>
      <c r="W47" s="7"/>
      <c r="X47" s="7"/>
      <c r="Y47" s="7"/>
      <c r="Z47" s="7"/>
    </row>
    <row r="48" ht="19.5" customHeight="1">
      <c r="A48" s="7"/>
      <c r="B48" s="7"/>
      <c r="C48" s="7"/>
      <c r="D48" s="7"/>
      <c r="E48" s="7"/>
      <c r="F48" s="7"/>
      <c r="G48" s="7"/>
      <c r="H48" s="7"/>
      <c r="I48" s="7"/>
      <c r="J48" s="7"/>
      <c r="K48" s="7"/>
      <c r="L48" s="7"/>
      <c r="M48" s="7"/>
      <c r="N48" s="7"/>
      <c r="O48" s="7"/>
      <c r="P48" s="7"/>
      <c r="Q48" s="7"/>
      <c r="R48" s="7"/>
      <c r="S48" s="7"/>
      <c r="T48" s="7"/>
      <c r="U48" s="7"/>
      <c r="V48" s="7"/>
      <c r="W48" s="7"/>
      <c r="X48" s="7"/>
      <c r="Y48" s="7"/>
      <c r="Z48" s="7"/>
    </row>
    <row r="49" ht="19.5" customHeight="1">
      <c r="A49" s="7"/>
      <c r="B49" s="7"/>
      <c r="C49" s="7"/>
      <c r="D49" s="7"/>
      <c r="E49" s="7"/>
      <c r="F49" s="7"/>
      <c r="G49" s="7"/>
      <c r="H49" s="7"/>
      <c r="I49" s="7"/>
      <c r="J49" s="7"/>
      <c r="K49" s="7"/>
      <c r="L49" s="7"/>
      <c r="M49" s="7"/>
      <c r="N49" s="7"/>
      <c r="O49" s="7"/>
      <c r="P49" s="7"/>
      <c r="Q49" s="7"/>
      <c r="R49" s="7"/>
      <c r="S49" s="7"/>
      <c r="T49" s="7"/>
      <c r="U49" s="7"/>
      <c r="V49" s="7"/>
      <c r="W49" s="7"/>
      <c r="X49" s="7"/>
      <c r="Y49" s="7"/>
      <c r="Z49" s="7"/>
    </row>
    <row r="50" ht="19.5" customHeight="1">
      <c r="A50" s="7"/>
      <c r="B50" s="7"/>
      <c r="C50" s="7"/>
      <c r="D50" s="7"/>
      <c r="E50" s="7"/>
      <c r="F50" s="7"/>
      <c r="G50" s="7"/>
      <c r="H50" s="7"/>
      <c r="I50" s="7"/>
      <c r="J50" s="7"/>
      <c r="K50" s="7"/>
      <c r="L50" s="7"/>
      <c r="M50" s="7"/>
      <c r="N50" s="7"/>
      <c r="O50" s="7"/>
      <c r="P50" s="7"/>
      <c r="Q50" s="7"/>
      <c r="R50" s="7"/>
      <c r="S50" s="7"/>
      <c r="T50" s="7"/>
      <c r="U50" s="7"/>
      <c r="V50" s="7"/>
      <c r="W50" s="7"/>
      <c r="X50" s="7"/>
      <c r="Y50" s="7"/>
      <c r="Z50" s="7"/>
    </row>
    <row r="51" ht="19.5" customHeight="1">
      <c r="A51" s="7"/>
      <c r="B51" s="7"/>
      <c r="C51" s="7"/>
      <c r="D51" s="7"/>
      <c r="E51" s="7"/>
      <c r="F51" s="7"/>
      <c r="G51" s="7"/>
      <c r="H51" s="7"/>
      <c r="I51" s="7"/>
      <c r="J51" s="7"/>
      <c r="K51" s="7"/>
      <c r="L51" s="7"/>
      <c r="M51" s="7"/>
      <c r="N51" s="7"/>
      <c r="O51" s="7"/>
      <c r="P51" s="7"/>
      <c r="Q51" s="7"/>
      <c r="R51" s="7"/>
      <c r="S51" s="7"/>
      <c r="T51" s="7"/>
      <c r="U51" s="7"/>
      <c r="V51" s="7"/>
      <c r="W51" s="7"/>
      <c r="X51" s="7"/>
      <c r="Y51" s="7"/>
      <c r="Z51" s="7"/>
    </row>
    <row r="52" ht="19.5" customHeight="1">
      <c r="A52" s="7"/>
      <c r="B52" s="7"/>
      <c r="C52" s="7"/>
      <c r="D52" s="7"/>
      <c r="E52" s="7"/>
      <c r="F52" s="7"/>
      <c r="G52" s="7"/>
      <c r="H52" s="7"/>
      <c r="I52" s="7"/>
      <c r="J52" s="7"/>
      <c r="K52" s="7"/>
      <c r="L52" s="7"/>
      <c r="M52" s="7"/>
      <c r="N52" s="7"/>
      <c r="O52" s="7"/>
      <c r="P52" s="7"/>
      <c r="Q52" s="7"/>
      <c r="R52" s="7"/>
      <c r="S52" s="7"/>
      <c r="T52" s="7"/>
      <c r="U52" s="7"/>
      <c r="V52" s="7"/>
      <c r="W52" s="7"/>
      <c r="X52" s="7"/>
      <c r="Y52" s="7"/>
      <c r="Z52" s="7"/>
    </row>
    <row r="53" ht="19.5" customHeight="1">
      <c r="A53" s="7"/>
      <c r="B53" s="7"/>
      <c r="C53" s="7"/>
      <c r="D53" s="7"/>
      <c r="E53" s="7"/>
      <c r="F53" s="7"/>
      <c r="G53" s="7"/>
      <c r="H53" s="7"/>
      <c r="I53" s="7"/>
      <c r="J53" s="7"/>
      <c r="K53" s="7"/>
      <c r="L53" s="7"/>
      <c r="M53" s="7"/>
      <c r="N53" s="7"/>
      <c r="O53" s="7"/>
      <c r="P53" s="7"/>
      <c r="Q53" s="7"/>
      <c r="R53" s="7"/>
      <c r="S53" s="7"/>
      <c r="T53" s="7"/>
      <c r="U53" s="7"/>
      <c r="V53" s="7"/>
      <c r="W53" s="7"/>
      <c r="X53" s="7"/>
      <c r="Y53" s="7"/>
      <c r="Z53" s="7"/>
    </row>
    <row r="54" ht="19.5" customHeight="1">
      <c r="A54" s="7"/>
      <c r="B54" s="7"/>
      <c r="C54" s="7"/>
      <c r="D54" s="7"/>
      <c r="E54" s="7"/>
      <c r="F54" s="7"/>
      <c r="G54" s="7"/>
      <c r="H54" s="7"/>
      <c r="I54" s="7"/>
      <c r="J54" s="7"/>
      <c r="K54" s="7"/>
      <c r="L54" s="7"/>
      <c r="M54" s="7"/>
      <c r="N54" s="7"/>
      <c r="O54" s="7"/>
      <c r="P54" s="7"/>
      <c r="Q54" s="7"/>
      <c r="R54" s="7"/>
      <c r="S54" s="7"/>
      <c r="T54" s="7"/>
      <c r="U54" s="7"/>
      <c r="V54" s="7"/>
      <c r="W54" s="7"/>
      <c r="X54" s="7"/>
      <c r="Y54" s="7"/>
      <c r="Z54" s="7"/>
    </row>
    <row r="55" ht="19.5" customHeight="1">
      <c r="A55" s="7"/>
      <c r="B55" s="7"/>
      <c r="C55" s="7"/>
      <c r="D55" s="7"/>
      <c r="E55" s="7"/>
      <c r="F55" s="7"/>
      <c r="G55" s="7"/>
      <c r="H55" s="7"/>
      <c r="I55" s="7"/>
      <c r="J55" s="7"/>
      <c r="K55" s="7"/>
      <c r="L55" s="7"/>
      <c r="M55" s="7"/>
      <c r="N55" s="7"/>
      <c r="O55" s="7"/>
      <c r="P55" s="7"/>
      <c r="Q55" s="7"/>
      <c r="R55" s="7"/>
      <c r="S55" s="7"/>
      <c r="T55" s="7"/>
      <c r="U55" s="7"/>
      <c r="V55" s="7"/>
      <c r="W55" s="7"/>
      <c r="X55" s="7"/>
      <c r="Y55" s="7"/>
      <c r="Z55" s="7"/>
    </row>
    <row r="56" ht="19.5" customHeight="1">
      <c r="A56" s="7"/>
      <c r="B56" s="7"/>
      <c r="C56" s="7"/>
      <c r="D56" s="7"/>
      <c r="E56" s="7"/>
      <c r="F56" s="7"/>
      <c r="G56" s="7"/>
      <c r="H56" s="7"/>
      <c r="I56" s="7"/>
      <c r="J56" s="7"/>
      <c r="K56" s="7"/>
      <c r="L56" s="7"/>
      <c r="M56" s="7"/>
      <c r="N56" s="7"/>
      <c r="O56" s="7"/>
      <c r="P56" s="7"/>
      <c r="Q56" s="7"/>
      <c r="R56" s="7"/>
      <c r="S56" s="7"/>
      <c r="T56" s="7"/>
      <c r="U56" s="7"/>
      <c r="V56" s="7"/>
      <c r="W56" s="7"/>
      <c r="X56" s="7"/>
      <c r="Y56" s="7"/>
      <c r="Z56" s="7"/>
    </row>
    <row r="57" ht="19.5" customHeight="1">
      <c r="A57" s="7"/>
      <c r="B57" s="7"/>
      <c r="C57" s="7"/>
      <c r="D57" s="7"/>
      <c r="E57" s="7"/>
      <c r="F57" s="7"/>
      <c r="G57" s="7"/>
      <c r="H57" s="7"/>
      <c r="I57" s="7"/>
      <c r="J57" s="7"/>
      <c r="K57" s="7"/>
      <c r="L57" s="7"/>
      <c r="M57" s="7"/>
      <c r="N57" s="7"/>
      <c r="O57" s="7"/>
      <c r="P57" s="7"/>
      <c r="Q57" s="7"/>
      <c r="R57" s="7"/>
      <c r="S57" s="7"/>
      <c r="T57" s="7"/>
      <c r="U57" s="7"/>
      <c r="V57" s="7"/>
      <c r="W57" s="7"/>
      <c r="X57" s="7"/>
      <c r="Y57" s="7"/>
      <c r="Z57" s="7"/>
    </row>
    <row r="58" ht="19.5" customHeight="1">
      <c r="A58" s="7"/>
      <c r="B58" s="7"/>
      <c r="C58" s="7"/>
      <c r="D58" s="7"/>
      <c r="E58" s="7"/>
      <c r="F58" s="7"/>
      <c r="G58" s="7"/>
      <c r="H58" s="7"/>
      <c r="I58" s="7"/>
      <c r="J58" s="7"/>
      <c r="K58" s="7"/>
      <c r="L58" s="7"/>
      <c r="M58" s="7"/>
      <c r="N58" s="7"/>
      <c r="O58" s="7"/>
      <c r="P58" s="7"/>
      <c r="Q58" s="7"/>
      <c r="R58" s="7"/>
      <c r="S58" s="7"/>
      <c r="T58" s="7"/>
      <c r="U58" s="7"/>
      <c r="V58" s="7"/>
      <c r="W58" s="7"/>
      <c r="X58" s="7"/>
      <c r="Y58" s="7"/>
      <c r="Z58" s="7"/>
    </row>
    <row r="59" ht="19.5" customHeight="1">
      <c r="A59" s="7"/>
      <c r="B59" s="7"/>
      <c r="C59" s="7"/>
      <c r="D59" s="7"/>
      <c r="E59" s="7"/>
      <c r="F59" s="7"/>
      <c r="G59" s="7"/>
      <c r="H59" s="7"/>
      <c r="I59" s="7"/>
      <c r="J59" s="7"/>
      <c r="K59" s="7"/>
      <c r="L59" s="7"/>
      <c r="M59" s="7"/>
      <c r="N59" s="7"/>
      <c r="O59" s="7"/>
      <c r="P59" s="7"/>
      <c r="Q59" s="7"/>
      <c r="R59" s="7"/>
      <c r="S59" s="7"/>
      <c r="T59" s="7"/>
      <c r="U59" s="7"/>
      <c r="V59" s="7"/>
      <c r="W59" s="7"/>
      <c r="X59" s="7"/>
      <c r="Y59" s="7"/>
      <c r="Z59" s="7"/>
    </row>
    <row r="60" ht="19.5" customHeight="1">
      <c r="A60" s="7"/>
      <c r="B60" s="7"/>
      <c r="C60" s="7"/>
      <c r="D60" s="7"/>
      <c r="E60" s="7"/>
      <c r="F60" s="7"/>
      <c r="G60" s="7"/>
      <c r="H60" s="7"/>
      <c r="I60" s="7"/>
      <c r="J60" s="7"/>
      <c r="K60" s="7"/>
      <c r="L60" s="7"/>
      <c r="M60" s="7"/>
      <c r="N60" s="7"/>
      <c r="O60" s="7"/>
      <c r="P60" s="7"/>
      <c r="Q60" s="7"/>
      <c r="R60" s="7"/>
      <c r="S60" s="7"/>
      <c r="T60" s="7"/>
      <c r="U60" s="7"/>
      <c r="V60" s="7"/>
      <c r="W60" s="7"/>
      <c r="X60" s="7"/>
      <c r="Y60" s="7"/>
      <c r="Z60" s="7"/>
    </row>
    <row r="61" ht="19.5" customHeight="1">
      <c r="A61" s="7"/>
      <c r="B61" s="7"/>
      <c r="C61" s="7"/>
      <c r="D61" s="7"/>
      <c r="E61" s="7"/>
      <c r="F61" s="7"/>
      <c r="G61" s="7"/>
      <c r="H61" s="7"/>
      <c r="I61" s="7"/>
      <c r="J61" s="7"/>
      <c r="K61" s="7"/>
      <c r="L61" s="7"/>
      <c r="M61" s="7"/>
      <c r="N61" s="7"/>
      <c r="O61" s="7"/>
      <c r="P61" s="7"/>
      <c r="Q61" s="7"/>
      <c r="R61" s="7"/>
      <c r="S61" s="7"/>
      <c r="T61" s="7"/>
      <c r="U61" s="7"/>
      <c r="V61" s="7"/>
      <c r="W61" s="7"/>
      <c r="X61" s="7"/>
      <c r="Y61" s="7"/>
      <c r="Z61" s="7"/>
    </row>
    <row r="62" ht="19.5" customHeight="1">
      <c r="A62" s="7"/>
      <c r="B62" s="7"/>
      <c r="C62" s="7"/>
      <c r="D62" s="7"/>
      <c r="E62" s="7"/>
      <c r="F62" s="7"/>
      <c r="G62" s="7"/>
      <c r="H62" s="7"/>
      <c r="I62" s="7"/>
      <c r="J62" s="7"/>
      <c r="K62" s="7"/>
      <c r="L62" s="7"/>
      <c r="M62" s="7"/>
      <c r="N62" s="7"/>
      <c r="O62" s="7"/>
      <c r="P62" s="7"/>
      <c r="Q62" s="7"/>
      <c r="R62" s="7"/>
      <c r="S62" s="7"/>
      <c r="T62" s="7"/>
      <c r="U62" s="7"/>
      <c r="V62" s="7"/>
      <c r="W62" s="7"/>
      <c r="X62" s="7"/>
      <c r="Y62" s="7"/>
      <c r="Z62" s="7"/>
    </row>
    <row r="63" ht="19.5" customHeight="1">
      <c r="A63" s="7"/>
      <c r="B63" s="7"/>
      <c r="C63" s="7"/>
      <c r="D63" s="7"/>
      <c r="E63" s="7"/>
      <c r="F63" s="7"/>
      <c r="G63" s="7"/>
      <c r="H63" s="7"/>
      <c r="I63" s="7"/>
      <c r="J63" s="7"/>
      <c r="K63" s="7"/>
      <c r="L63" s="7"/>
      <c r="M63" s="7"/>
      <c r="N63" s="7"/>
      <c r="O63" s="7"/>
      <c r="P63" s="7"/>
      <c r="Q63" s="7"/>
      <c r="R63" s="7"/>
      <c r="S63" s="7"/>
      <c r="T63" s="7"/>
      <c r="U63" s="7"/>
      <c r="V63" s="7"/>
      <c r="W63" s="7"/>
      <c r="X63" s="7"/>
      <c r="Y63" s="7"/>
      <c r="Z63" s="7"/>
    </row>
    <row r="64" ht="19.5" customHeight="1">
      <c r="A64" s="7"/>
      <c r="B64" s="7"/>
      <c r="C64" s="7"/>
      <c r="D64" s="7"/>
      <c r="E64" s="7"/>
      <c r="F64" s="7"/>
      <c r="G64" s="7"/>
      <c r="H64" s="7"/>
      <c r="I64" s="7"/>
      <c r="J64" s="7"/>
      <c r="K64" s="7"/>
      <c r="L64" s="7"/>
      <c r="M64" s="7"/>
      <c r="N64" s="7"/>
      <c r="O64" s="7"/>
      <c r="P64" s="7"/>
      <c r="Q64" s="7"/>
      <c r="R64" s="7"/>
      <c r="S64" s="7"/>
      <c r="T64" s="7"/>
      <c r="U64" s="7"/>
      <c r="V64" s="7"/>
      <c r="W64" s="7"/>
      <c r="X64" s="7"/>
      <c r="Y64" s="7"/>
      <c r="Z64" s="7"/>
    </row>
    <row r="65" ht="19.5" customHeight="1">
      <c r="A65" s="7"/>
      <c r="B65" s="7"/>
      <c r="C65" s="7"/>
      <c r="D65" s="7"/>
      <c r="E65" s="7"/>
      <c r="F65" s="7"/>
      <c r="G65" s="7"/>
      <c r="H65" s="7"/>
      <c r="I65" s="7"/>
      <c r="J65" s="7"/>
      <c r="K65" s="7"/>
      <c r="L65" s="7"/>
      <c r="M65" s="7"/>
      <c r="N65" s="7"/>
      <c r="O65" s="7"/>
      <c r="P65" s="7"/>
      <c r="Q65" s="7"/>
      <c r="R65" s="7"/>
      <c r="S65" s="7"/>
      <c r="T65" s="7"/>
      <c r="U65" s="7"/>
      <c r="V65" s="7"/>
      <c r="W65" s="7"/>
      <c r="X65" s="7"/>
      <c r="Y65" s="7"/>
      <c r="Z65" s="7"/>
    </row>
    <row r="66" ht="19.5" customHeight="1">
      <c r="A66" s="7"/>
      <c r="B66" s="7"/>
      <c r="C66" s="7"/>
      <c r="D66" s="7"/>
      <c r="E66" s="7"/>
      <c r="F66" s="7"/>
      <c r="G66" s="7"/>
      <c r="H66" s="7"/>
      <c r="I66" s="7"/>
      <c r="J66" s="7"/>
      <c r="K66" s="7"/>
      <c r="L66" s="7"/>
      <c r="M66" s="7"/>
      <c r="N66" s="7"/>
      <c r="O66" s="7"/>
      <c r="P66" s="7"/>
      <c r="Q66" s="7"/>
      <c r="R66" s="7"/>
      <c r="S66" s="7"/>
      <c r="T66" s="7"/>
      <c r="U66" s="7"/>
      <c r="V66" s="7"/>
      <c r="W66" s="7"/>
      <c r="X66" s="7"/>
      <c r="Y66" s="7"/>
      <c r="Z66" s="7"/>
    </row>
    <row r="67" ht="19.5" customHeight="1">
      <c r="A67" s="7"/>
      <c r="B67" s="7"/>
      <c r="C67" s="7"/>
      <c r="D67" s="7"/>
      <c r="E67" s="7"/>
      <c r="F67" s="7"/>
      <c r="G67" s="7"/>
      <c r="H67" s="7"/>
      <c r="I67" s="7"/>
      <c r="J67" s="7"/>
      <c r="K67" s="7"/>
      <c r="L67" s="7"/>
      <c r="M67" s="7"/>
      <c r="N67" s="7"/>
      <c r="O67" s="7"/>
      <c r="P67" s="7"/>
      <c r="Q67" s="7"/>
      <c r="R67" s="7"/>
      <c r="S67" s="7"/>
      <c r="T67" s="7"/>
      <c r="U67" s="7"/>
      <c r="V67" s="7"/>
      <c r="W67" s="7"/>
      <c r="X67" s="7"/>
      <c r="Y67" s="7"/>
      <c r="Z67" s="7"/>
    </row>
    <row r="68" ht="19.5" customHeight="1">
      <c r="A68" s="7"/>
      <c r="B68" s="7"/>
      <c r="C68" s="7"/>
      <c r="D68" s="7"/>
      <c r="E68" s="7"/>
      <c r="F68" s="7"/>
      <c r="G68" s="7"/>
      <c r="H68" s="7"/>
      <c r="I68" s="7"/>
      <c r="J68" s="7"/>
      <c r="K68" s="7"/>
      <c r="L68" s="7"/>
      <c r="M68" s="7"/>
      <c r="N68" s="7"/>
      <c r="O68" s="7"/>
      <c r="P68" s="7"/>
      <c r="Q68" s="7"/>
      <c r="R68" s="7"/>
      <c r="S68" s="7"/>
      <c r="T68" s="7"/>
      <c r="U68" s="7"/>
      <c r="V68" s="7"/>
      <c r="W68" s="7"/>
      <c r="X68" s="7"/>
      <c r="Y68" s="7"/>
      <c r="Z68" s="7"/>
    </row>
    <row r="69" ht="19.5" customHeight="1">
      <c r="A69" s="7"/>
      <c r="B69" s="7"/>
      <c r="C69" s="7"/>
      <c r="D69" s="7"/>
      <c r="E69" s="7"/>
      <c r="F69" s="7"/>
      <c r="G69" s="7"/>
      <c r="H69" s="7"/>
      <c r="I69" s="7"/>
      <c r="J69" s="7"/>
      <c r="K69" s="7"/>
      <c r="L69" s="7"/>
      <c r="M69" s="7"/>
      <c r="N69" s="7"/>
      <c r="O69" s="7"/>
      <c r="P69" s="7"/>
      <c r="Q69" s="7"/>
      <c r="R69" s="7"/>
      <c r="S69" s="7"/>
      <c r="T69" s="7"/>
      <c r="U69" s="7"/>
      <c r="V69" s="7"/>
      <c r="W69" s="7"/>
      <c r="X69" s="7"/>
      <c r="Y69" s="7"/>
      <c r="Z69" s="7"/>
    </row>
    <row r="70" ht="19.5" customHeight="1">
      <c r="A70" s="7"/>
      <c r="B70" s="7"/>
      <c r="C70" s="7"/>
      <c r="D70" s="7"/>
      <c r="E70" s="7"/>
      <c r="F70" s="7"/>
      <c r="G70" s="7"/>
      <c r="H70" s="7"/>
      <c r="I70" s="7"/>
      <c r="J70" s="7"/>
      <c r="K70" s="7"/>
      <c r="L70" s="7"/>
      <c r="M70" s="7"/>
      <c r="N70" s="7"/>
      <c r="O70" s="7"/>
      <c r="P70" s="7"/>
      <c r="Q70" s="7"/>
      <c r="R70" s="7"/>
      <c r="S70" s="7"/>
      <c r="T70" s="7"/>
      <c r="U70" s="7"/>
      <c r="V70" s="7"/>
      <c r="W70" s="7"/>
      <c r="X70" s="7"/>
      <c r="Y70" s="7"/>
      <c r="Z70" s="7"/>
    </row>
    <row r="71" ht="19.5" customHeight="1">
      <c r="A71" s="7"/>
      <c r="B71" s="7"/>
      <c r="C71" s="7"/>
      <c r="D71" s="7"/>
      <c r="E71" s="7"/>
      <c r="F71" s="7"/>
      <c r="G71" s="7"/>
      <c r="H71" s="7"/>
      <c r="I71" s="7"/>
      <c r="J71" s="7"/>
      <c r="K71" s="7"/>
      <c r="L71" s="7"/>
      <c r="M71" s="7"/>
      <c r="N71" s="7"/>
      <c r="O71" s="7"/>
      <c r="P71" s="7"/>
      <c r="Q71" s="7"/>
      <c r="R71" s="7"/>
      <c r="S71" s="7"/>
      <c r="T71" s="7"/>
      <c r="U71" s="7"/>
      <c r="V71" s="7"/>
      <c r="W71" s="7"/>
      <c r="X71" s="7"/>
      <c r="Y71" s="7"/>
      <c r="Z71" s="7"/>
    </row>
    <row r="72" ht="19.5" customHeight="1">
      <c r="A72" s="7"/>
      <c r="B72" s="7"/>
      <c r="C72" s="7"/>
      <c r="D72" s="7"/>
      <c r="E72" s="7"/>
      <c r="F72" s="7"/>
      <c r="G72" s="7"/>
      <c r="H72" s="7"/>
      <c r="I72" s="7"/>
      <c r="J72" s="7"/>
      <c r="K72" s="7"/>
      <c r="L72" s="7"/>
      <c r="M72" s="7"/>
      <c r="N72" s="7"/>
      <c r="O72" s="7"/>
      <c r="P72" s="7"/>
      <c r="Q72" s="7"/>
      <c r="R72" s="7"/>
      <c r="S72" s="7"/>
      <c r="T72" s="7"/>
      <c r="U72" s="7"/>
      <c r="V72" s="7"/>
      <c r="W72" s="7"/>
      <c r="X72" s="7"/>
      <c r="Y72" s="7"/>
      <c r="Z72" s="7"/>
    </row>
    <row r="73" ht="19.5" customHeight="1">
      <c r="A73" s="7"/>
      <c r="B73" s="7"/>
      <c r="C73" s="7"/>
      <c r="D73" s="7"/>
      <c r="E73" s="7"/>
      <c r="F73" s="7"/>
      <c r="G73" s="7"/>
      <c r="H73" s="7"/>
      <c r="I73" s="7"/>
      <c r="J73" s="7"/>
      <c r="K73" s="7"/>
      <c r="L73" s="7"/>
      <c r="M73" s="7"/>
      <c r="N73" s="7"/>
      <c r="O73" s="7"/>
      <c r="P73" s="7"/>
      <c r="Q73" s="7"/>
      <c r="R73" s="7"/>
      <c r="S73" s="7"/>
      <c r="T73" s="7"/>
      <c r="U73" s="7"/>
      <c r="V73" s="7"/>
      <c r="W73" s="7"/>
      <c r="X73" s="7"/>
      <c r="Y73" s="7"/>
      <c r="Z73" s="7"/>
    </row>
    <row r="74" ht="19.5" customHeight="1">
      <c r="A74" s="7"/>
      <c r="B74" s="7"/>
      <c r="C74" s="7"/>
      <c r="D74" s="7"/>
      <c r="E74" s="7"/>
      <c r="F74" s="7"/>
      <c r="G74" s="7"/>
      <c r="H74" s="7"/>
      <c r="I74" s="7"/>
      <c r="J74" s="7"/>
      <c r="K74" s="7"/>
      <c r="L74" s="7"/>
      <c r="M74" s="7"/>
      <c r="N74" s="7"/>
      <c r="O74" s="7"/>
      <c r="P74" s="7"/>
      <c r="Q74" s="7"/>
      <c r="R74" s="7"/>
      <c r="S74" s="7"/>
      <c r="T74" s="7"/>
      <c r="U74" s="7"/>
      <c r="V74" s="7"/>
      <c r="W74" s="7"/>
      <c r="X74" s="7"/>
      <c r="Y74" s="7"/>
      <c r="Z74" s="7"/>
    </row>
    <row r="75" ht="19.5" customHeight="1">
      <c r="A75" s="7"/>
      <c r="B75" s="7"/>
      <c r="C75" s="7"/>
      <c r="D75" s="7"/>
      <c r="E75" s="7"/>
      <c r="F75" s="7"/>
      <c r="G75" s="7"/>
      <c r="H75" s="7"/>
      <c r="I75" s="7"/>
      <c r="J75" s="7"/>
      <c r="K75" s="7"/>
      <c r="L75" s="7"/>
      <c r="M75" s="7"/>
      <c r="N75" s="7"/>
      <c r="O75" s="7"/>
      <c r="P75" s="7"/>
      <c r="Q75" s="7"/>
      <c r="R75" s="7"/>
      <c r="S75" s="7"/>
      <c r="T75" s="7"/>
      <c r="U75" s="7"/>
      <c r="V75" s="7"/>
      <c r="W75" s="7"/>
      <c r="X75" s="7"/>
      <c r="Y75" s="7"/>
      <c r="Z75" s="7"/>
    </row>
    <row r="76" ht="19.5" customHeight="1">
      <c r="A76" s="7"/>
      <c r="B76" s="7"/>
      <c r="C76" s="7"/>
      <c r="D76" s="7"/>
      <c r="E76" s="7"/>
      <c r="F76" s="7"/>
      <c r="G76" s="7"/>
      <c r="H76" s="7"/>
      <c r="I76" s="7"/>
      <c r="J76" s="7"/>
      <c r="K76" s="7"/>
      <c r="L76" s="7"/>
      <c r="M76" s="7"/>
      <c r="N76" s="7"/>
      <c r="O76" s="7"/>
      <c r="P76" s="7"/>
      <c r="Q76" s="7"/>
      <c r="R76" s="7"/>
      <c r="S76" s="7"/>
      <c r="T76" s="7"/>
      <c r="U76" s="7"/>
      <c r="V76" s="7"/>
      <c r="W76" s="7"/>
      <c r="X76" s="7"/>
      <c r="Y76" s="7"/>
      <c r="Z76" s="7"/>
    </row>
    <row r="77" ht="19.5" customHeight="1">
      <c r="A77" s="7"/>
      <c r="B77" s="7"/>
      <c r="C77" s="7"/>
      <c r="D77" s="7"/>
      <c r="E77" s="7"/>
      <c r="F77" s="7"/>
      <c r="G77" s="7"/>
      <c r="H77" s="7"/>
      <c r="I77" s="7"/>
      <c r="J77" s="7"/>
      <c r="K77" s="7"/>
      <c r="L77" s="7"/>
      <c r="M77" s="7"/>
      <c r="N77" s="7"/>
      <c r="O77" s="7"/>
      <c r="P77" s="7"/>
      <c r="Q77" s="7"/>
      <c r="R77" s="7"/>
      <c r="S77" s="7"/>
      <c r="T77" s="7"/>
      <c r="U77" s="7"/>
      <c r="V77" s="7"/>
      <c r="W77" s="7"/>
      <c r="X77" s="7"/>
      <c r="Y77" s="7"/>
      <c r="Z77" s="7"/>
    </row>
    <row r="78" ht="19.5" customHeight="1">
      <c r="A78" s="7"/>
      <c r="B78" s="7"/>
      <c r="C78" s="7"/>
      <c r="D78" s="7"/>
      <c r="E78" s="7"/>
      <c r="F78" s="7"/>
      <c r="G78" s="7"/>
      <c r="H78" s="7"/>
      <c r="I78" s="7"/>
      <c r="J78" s="7"/>
      <c r="K78" s="7"/>
      <c r="L78" s="7"/>
      <c r="M78" s="7"/>
      <c r="N78" s="7"/>
      <c r="O78" s="7"/>
      <c r="P78" s="7"/>
      <c r="Q78" s="7"/>
      <c r="R78" s="7"/>
      <c r="S78" s="7"/>
      <c r="T78" s="7"/>
      <c r="U78" s="7"/>
      <c r="V78" s="7"/>
      <c r="W78" s="7"/>
      <c r="X78" s="7"/>
      <c r="Y78" s="7"/>
      <c r="Z78" s="7"/>
    </row>
    <row r="79" ht="19.5" customHeight="1">
      <c r="A79" s="7"/>
      <c r="B79" s="7"/>
      <c r="C79" s="7"/>
      <c r="D79" s="7"/>
      <c r="E79" s="7"/>
      <c r="F79" s="7"/>
      <c r="G79" s="7"/>
      <c r="H79" s="7"/>
      <c r="I79" s="7"/>
      <c r="J79" s="7"/>
      <c r="K79" s="7"/>
      <c r="L79" s="7"/>
      <c r="M79" s="7"/>
      <c r="N79" s="7"/>
      <c r="O79" s="7"/>
      <c r="P79" s="7"/>
      <c r="Q79" s="7"/>
      <c r="R79" s="7"/>
      <c r="S79" s="7"/>
      <c r="T79" s="7"/>
      <c r="U79" s="7"/>
      <c r="V79" s="7"/>
      <c r="W79" s="7"/>
      <c r="X79" s="7"/>
      <c r="Y79" s="7"/>
      <c r="Z79" s="7"/>
    </row>
    <row r="80" ht="19.5" customHeight="1">
      <c r="A80" s="7"/>
      <c r="B80" s="7"/>
      <c r="C80" s="7"/>
      <c r="D80" s="7"/>
      <c r="E80" s="7"/>
      <c r="F80" s="7"/>
      <c r="G80" s="7"/>
      <c r="H80" s="7"/>
      <c r="I80" s="7"/>
      <c r="J80" s="7"/>
      <c r="K80" s="7"/>
      <c r="L80" s="7"/>
      <c r="M80" s="7"/>
      <c r="N80" s="7"/>
      <c r="O80" s="7"/>
      <c r="P80" s="7"/>
      <c r="Q80" s="7"/>
      <c r="R80" s="7"/>
      <c r="S80" s="7"/>
      <c r="T80" s="7"/>
      <c r="U80" s="7"/>
      <c r="V80" s="7"/>
      <c r="W80" s="7"/>
      <c r="X80" s="7"/>
      <c r="Y80" s="7"/>
      <c r="Z80" s="7"/>
    </row>
    <row r="81" ht="19.5" customHeight="1">
      <c r="A81" s="7"/>
      <c r="B81" s="7"/>
      <c r="C81" s="7"/>
      <c r="D81" s="7"/>
      <c r="E81" s="7"/>
      <c r="F81" s="7"/>
      <c r="G81" s="7"/>
      <c r="H81" s="7"/>
      <c r="I81" s="7"/>
      <c r="J81" s="7"/>
      <c r="K81" s="7"/>
      <c r="L81" s="7"/>
      <c r="M81" s="7"/>
      <c r="N81" s="7"/>
      <c r="O81" s="7"/>
      <c r="P81" s="7"/>
      <c r="Q81" s="7"/>
      <c r="R81" s="7"/>
      <c r="S81" s="7"/>
      <c r="T81" s="7"/>
      <c r="U81" s="7"/>
      <c r="V81" s="7"/>
      <c r="W81" s="7"/>
      <c r="X81" s="7"/>
      <c r="Y81" s="7"/>
      <c r="Z81" s="7"/>
    </row>
    <row r="82" ht="19.5" customHeight="1">
      <c r="A82" s="7"/>
      <c r="B82" s="7"/>
      <c r="C82" s="7"/>
      <c r="D82" s="7"/>
      <c r="E82" s="7"/>
      <c r="F82" s="7"/>
      <c r="G82" s="7"/>
      <c r="H82" s="7"/>
      <c r="I82" s="7"/>
      <c r="J82" s="7"/>
      <c r="K82" s="7"/>
      <c r="L82" s="7"/>
      <c r="M82" s="7"/>
      <c r="N82" s="7"/>
      <c r="O82" s="7"/>
      <c r="P82" s="7"/>
      <c r="Q82" s="7"/>
      <c r="R82" s="7"/>
      <c r="S82" s="7"/>
      <c r="T82" s="7"/>
      <c r="U82" s="7"/>
      <c r="V82" s="7"/>
      <c r="W82" s="7"/>
      <c r="X82" s="7"/>
      <c r="Y82" s="7"/>
      <c r="Z82" s="7"/>
    </row>
    <row r="83" ht="19.5" customHeight="1">
      <c r="A83" s="7"/>
      <c r="B83" s="7"/>
      <c r="C83" s="7"/>
      <c r="D83" s="7"/>
      <c r="E83" s="7"/>
      <c r="F83" s="7"/>
      <c r="G83" s="7"/>
      <c r="H83" s="7"/>
      <c r="I83" s="7"/>
      <c r="J83" s="7"/>
      <c r="K83" s="7"/>
      <c r="L83" s="7"/>
      <c r="M83" s="7"/>
      <c r="N83" s="7"/>
      <c r="O83" s="7"/>
      <c r="P83" s="7"/>
      <c r="Q83" s="7"/>
      <c r="R83" s="7"/>
      <c r="S83" s="7"/>
      <c r="T83" s="7"/>
      <c r="U83" s="7"/>
      <c r="V83" s="7"/>
      <c r="W83" s="7"/>
      <c r="X83" s="7"/>
      <c r="Y83" s="7"/>
      <c r="Z83" s="7"/>
    </row>
    <row r="84" ht="19.5" customHeight="1">
      <c r="A84" s="7"/>
      <c r="B84" s="7"/>
      <c r="C84" s="7"/>
      <c r="D84" s="7"/>
      <c r="E84" s="7"/>
      <c r="F84" s="7"/>
      <c r="G84" s="7"/>
      <c r="H84" s="7"/>
      <c r="I84" s="7"/>
      <c r="J84" s="7"/>
      <c r="K84" s="7"/>
      <c r="L84" s="7"/>
      <c r="M84" s="7"/>
      <c r="N84" s="7"/>
      <c r="O84" s="7"/>
      <c r="P84" s="7"/>
      <c r="Q84" s="7"/>
      <c r="R84" s="7"/>
      <c r="S84" s="7"/>
      <c r="T84" s="7"/>
      <c r="U84" s="7"/>
      <c r="V84" s="7"/>
      <c r="W84" s="7"/>
      <c r="X84" s="7"/>
      <c r="Y84" s="7"/>
      <c r="Z84" s="7"/>
    </row>
    <row r="85" ht="19.5" customHeight="1">
      <c r="A85" s="7"/>
      <c r="B85" s="7"/>
      <c r="C85" s="7"/>
      <c r="D85" s="7"/>
      <c r="E85" s="7"/>
      <c r="F85" s="7"/>
      <c r="G85" s="7"/>
      <c r="H85" s="7"/>
      <c r="I85" s="7"/>
      <c r="J85" s="7"/>
      <c r="K85" s="7"/>
      <c r="L85" s="7"/>
      <c r="M85" s="7"/>
      <c r="N85" s="7"/>
      <c r="O85" s="7"/>
      <c r="P85" s="7"/>
      <c r="Q85" s="7"/>
      <c r="R85" s="7"/>
      <c r="S85" s="7"/>
      <c r="T85" s="7"/>
      <c r="U85" s="7"/>
      <c r="V85" s="7"/>
      <c r="W85" s="7"/>
      <c r="X85" s="7"/>
      <c r="Y85" s="7"/>
      <c r="Z85" s="7"/>
    </row>
    <row r="86" ht="19.5" customHeight="1">
      <c r="A86" s="7"/>
      <c r="B86" s="7"/>
      <c r="C86" s="7"/>
      <c r="D86" s="7"/>
      <c r="E86" s="7"/>
      <c r="F86" s="7"/>
      <c r="G86" s="7"/>
      <c r="H86" s="7"/>
      <c r="I86" s="7"/>
      <c r="J86" s="7"/>
      <c r="K86" s="7"/>
      <c r="L86" s="7"/>
      <c r="M86" s="7"/>
      <c r="N86" s="7"/>
      <c r="O86" s="7"/>
      <c r="P86" s="7"/>
      <c r="Q86" s="7"/>
      <c r="R86" s="7"/>
      <c r="S86" s="7"/>
      <c r="T86" s="7"/>
      <c r="U86" s="7"/>
      <c r="V86" s="7"/>
      <c r="W86" s="7"/>
      <c r="X86" s="7"/>
      <c r="Y86" s="7"/>
      <c r="Z86" s="7"/>
    </row>
    <row r="87" ht="19.5" customHeight="1">
      <c r="A87" s="7"/>
      <c r="B87" s="7"/>
      <c r="C87" s="7"/>
      <c r="D87" s="7"/>
      <c r="E87" s="7"/>
      <c r="F87" s="7"/>
      <c r="G87" s="7"/>
      <c r="H87" s="7"/>
      <c r="I87" s="7"/>
      <c r="J87" s="7"/>
      <c r="K87" s="7"/>
      <c r="L87" s="7"/>
      <c r="M87" s="7"/>
      <c r="N87" s="7"/>
      <c r="O87" s="7"/>
      <c r="P87" s="7"/>
      <c r="Q87" s="7"/>
      <c r="R87" s="7"/>
      <c r="S87" s="7"/>
      <c r="T87" s="7"/>
      <c r="U87" s="7"/>
      <c r="V87" s="7"/>
      <c r="W87" s="7"/>
      <c r="X87" s="7"/>
      <c r="Y87" s="7"/>
      <c r="Z87" s="7"/>
    </row>
    <row r="88" ht="19.5" customHeight="1">
      <c r="A88" s="7"/>
      <c r="B88" s="7"/>
      <c r="C88" s="7"/>
      <c r="D88" s="7"/>
      <c r="E88" s="7"/>
      <c r="F88" s="7"/>
      <c r="G88" s="7"/>
      <c r="H88" s="7"/>
      <c r="I88" s="7"/>
      <c r="J88" s="7"/>
      <c r="K88" s="7"/>
      <c r="L88" s="7"/>
      <c r="M88" s="7"/>
      <c r="N88" s="7"/>
      <c r="O88" s="7"/>
      <c r="P88" s="7"/>
      <c r="Q88" s="7"/>
      <c r="R88" s="7"/>
      <c r="S88" s="7"/>
      <c r="T88" s="7"/>
      <c r="U88" s="7"/>
      <c r="V88" s="7"/>
      <c r="W88" s="7"/>
      <c r="X88" s="7"/>
      <c r="Y88" s="7"/>
      <c r="Z88" s="7"/>
    </row>
    <row r="89" ht="19.5" customHeight="1">
      <c r="A89" s="7"/>
      <c r="B89" s="7"/>
      <c r="C89" s="7"/>
      <c r="D89" s="7"/>
      <c r="E89" s="7"/>
      <c r="F89" s="7"/>
      <c r="G89" s="7"/>
      <c r="H89" s="7"/>
      <c r="I89" s="7"/>
      <c r="J89" s="7"/>
      <c r="K89" s="7"/>
      <c r="L89" s="7"/>
      <c r="M89" s="7"/>
      <c r="N89" s="7"/>
      <c r="O89" s="7"/>
      <c r="P89" s="7"/>
      <c r="Q89" s="7"/>
      <c r="R89" s="7"/>
      <c r="S89" s="7"/>
      <c r="T89" s="7"/>
      <c r="U89" s="7"/>
      <c r="V89" s="7"/>
      <c r="W89" s="7"/>
      <c r="X89" s="7"/>
      <c r="Y89" s="7"/>
      <c r="Z89" s="7"/>
    </row>
    <row r="90" ht="19.5" customHeight="1">
      <c r="A90" s="7"/>
      <c r="B90" s="7"/>
      <c r="C90" s="7"/>
      <c r="D90" s="7"/>
      <c r="E90" s="7"/>
      <c r="F90" s="7"/>
      <c r="G90" s="7"/>
      <c r="H90" s="7"/>
      <c r="I90" s="7"/>
      <c r="J90" s="7"/>
      <c r="K90" s="7"/>
      <c r="L90" s="7"/>
      <c r="M90" s="7"/>
      <c r="N90" s="7"/>
      <c r="O90" s="7"/>
      <c r="P90" s="7"/>
      <c r="Q90" s="7"/>
      <c r="R90" s="7"/>
      <c r="S90" s="7"/>
      <c r="T90" s="7"/>
      <c r="U90" s="7"/>
      <c r="V90" s="7"/>
      <c r="W90" s="7"/>
      <c r="X90" s="7"/>
      <c r="Y90" s="7"/>
      <c r="Z90" s="7"/>
    </row>
    <row r="91" ht="19.5" customHeight="1">
      <c r="A91" s="7"/>
      <c r="B91" s="7"/>
      <c r="C91" s="7"/>
      <c r="D91" s="7"/>
      <c r="E91" s="7"/>
      <c r="F91" s="7"/>
      <c r="G91" s="7"/>
      <c r="H91" s="7"/>
      <c r="I91" s="7"/>
      <c r="J91" s="7"/>
      <c r="K91" s="7"/>
      <c r="L91" s="7"/>
      <c r="M91" s="7"/>
      <c r="N91" s="7"/>
      <c r="O91" s="7"/>
      <c r="P91" s="7"/>
      <c r="Q91" s="7"/>
      <c r="R91" s="7"/>
      <c r="S91" s="7"/>
      <c r="T91" s="7"/>
      <c r="U91" s="7"/>
      <c r="V91" s="7"/>
      <c r="W91" s="7"/>
      <c r="X91" s="7"/>
      <c r="Y91" s="7"/>
      <c r="Z91" s="7"/>
    </row>
    <row r="92" ht="19.5" customHeight="1">
      <c r="A92" s="7"/>
      <c r="B92" s="7"/>
      <c r="C92" s="7"/>
      <c r="D92" s="7"/>
      <c r="E92" s="7"/>
      <c r="F92" s="7"/>
      <c r="G92" s="7"/>
      <c r="H92" s="7"/>
      <c r="I92" s="7"/>
      <c r="J92" s="7"/>
      <c r="K92" s="7"/>
      <c r="L92" s="7"/>
      <c r="M92" s="7"/>
      <c r="N92" s="7"/>
      <c r="O92" s="7"/>
      <c r="P92" s="7"/>
      <c r="Q92" s="7"/>
      <c r="R92" s="7"/>
      <c r="S92" s="7"/>
      <c r="T92" s="7"/>
      <c r="U92" s="7"/>
      <c r="V92" s="7"/>
      <c r="W92" s="7"/>
      <c r="X92" s="7"/>
      <c r="Y92" s="7"/>
      <c r="Z92" s="7"/>
    </row>
    <row r="93" ht="19.5" customHeight="1">
      <c r="A93" s="7"/>
      <c r="B93" s="7"/>
      <c r="C93" s="7"/>
      <c r="D93" s="7"/>
      <c r="E93" s="7"/>
      <c r="F93" s="7"/>
      <c r="G93" s="7"/>
      <c r="H93" s="7"/>
      <c r="I93" s="7"/>
      <c r="J93" s="7"/>
      <c r="K93" s="7"/>
      <c r="L93" s="7"/>
      <c r="M93" s="7"/>
      <c r="N93" s="7"/>
      <c r="O93" s="7"/>
      <c r="P93" s="7"/>
      <c r="Q93" s="7"/>
      <c r="R93" s="7"/>
      <c r="S93" s="7"/>
      <c r="T93" s="7"/>
      <c r="U93" s="7"/>
      <c r="V93" s="7"/>
      <c r="W93" s="7"/>
      <c r="X93" s="7"/>
      <c r="Y93" s="7"/>
      <c r="Z93" s="7"/>
    </row>
    <row r="94" ht="19.5" customHeight="1">
      <c r="A94" s="7"/>
      <c r="B94" s="7"/>
      <c r="C94" s="7"/>
      <c r="D94" s="7"/>
      <c r="E94" s="7"/>
      <c r="F94" s="7"/>
      <c r="G94" s="7"/>
      <c r="H94" s="7"/>
      <c r="I94" s="7"/>
      <c r="J94" s="7"/>
      <c r="K94" s="7"/>
      <c r="L94" s="7"/>
      <c r="M94" s="7"/>
      <c r="N94" s="7"/>
      <c r="O94" s="7"/>
      <c r="P94" s="7"/>
      <c r="Q94" s="7"/>
      <c r="R94" s="7"/>
      <c r="S94" s="7"/>
      <c r="T94" s="7"/>
      <c r="U94" s="7"/>
      <c r="V94" s="7"/>
      <c r="W94" s="7"/>
      <c r="X94" s="7"/>
      <c r="Y94" s="7"/>
      <c r="Z94" s="7"/>
    </row>
    <row r="95" ht="19.5" customHeight="1">
      <c r="A95" s="7"/>
      <c r="B95" s="7"/>
      <c r="C95" s="7"/>
      <c r="D95" s="7"/>
      <c r="E95" s="7"/>
      <c r="F95" s="7"/>
      <c r="G95" s="7"/>
      <c r="H95" s="7"/>
      <c r="I95" s="7"/>
      <c r="J95" s="7"/>
      <c r="K95" s="7"/>
      <c r="L95" s="7"/>
      <c r="M95" s="7"/>
      <c r="N95" s="7"/>
      <c r="O95" s="7"/>
      <c r="P95" s="7"/>
      <c r="Q95" s="7"/>
      <c r="R95" s="7"/>
      <c r="S95" s="7"/>
      <c r="T95" s="7"/>
      <c r="U95" s="7"/>
      <c r="V95" s="7"/>
      <c r="W95" s="7"/>
      <c r="X95" s="7"/>
      <c r="Y95" s="7"/>
      <c r="Z95" s="7"/>
    </row>
    <row r="96" ht="19.5" customHeight="1">
      <c r="A96" s="7"/>
      <c r="B96" s="7"/>
      <c r="C96" s="7"/>
      <c r="D96" s="7"/>
      <c r="E96" s="7"/>
      <c r="F96" s="7"/>
      <c r="G96" s="7"/>
      <c r="H96" s="7"/>
      <c r="I96" s="7"/>
      <c r="J96" s="7"/>
      <c r="K96" s="7"/>
      <c r="L96" s="7"/>
      <c r="M96" s="7"/>
      <c r="N96" s="7"/>
      <c r="O96" s="7"/>
      <c r="P96" s="7"/>
      <c r="Q96" s="7"/>
      <c r="R96" s="7"/>
      <c r="S96" s="7"/>
      <c r="T96" s="7"/>
      <c r="U96" s="7"/>
      <c r="V96" s="7"/>
      <c r="W96" s="7"/>
      <c r="X96" s="7"/>
      <c r="Y96" s="7"/>
      <c r="Z96" s="7"/>
    </row>
    <row r="97" ht="19.5" customHeight="1">
      <c r="A97" s="7"/>
      <c r="B97" s="7"/>
      <c r="C97" s="7"/>
      <c r="D97" s="7"/>
      <c r="E97" s="7"/>
      <c r="F97" s="7"/>
      <c r="G97" s="7"/>
      <c r="H97" s="7"/>
      <c r="I97" s="7"/>
      <c r="J97" s="7"/>
      <c r="K97" s="7"/>
      <c r="L97" s="7"/>
      <c r="M97" s="7"/>
      <c r="N97" s="7"/>
      <c r="O97" s="7"/>
      <c r="P97" s="7"/>
      <c r="Q97" s="7"/>
      <c r="R97" s="7"/>
      <c r="S97" s="7"/>
      <c r="T97" s="7"/>
      <c r="U97" s="7"/>
      <c r="V97" s="7"/>
      <c r="W97" s="7"/>
      <c r="X97" s="7"/>
      <c r="Y97" s="7"/>
      <c r="Z97" s="7"/>
    </row>
    <row r="98" ht="19.5" customHeight="1">
      <c r="A98" s="7"/>
      <c r="B98" s="7"/>
      <c r="C98" s="7"/>
      <c r="D98" s="7"/>
      <c r="E98" s="7"/>
      <c r="F98" s="7"/>
      <c r="G98" s="7"/>
      <c r="H98" s="7"/>
      <c r="I98" s="7"/>
      <c r="J98" s="7"/>
      <c r="K98" s="7"/>
      <c r="L98" s="7"/>
      <c r="M98" s="7"/>
      <c r="N98" s="7"/>
      <c r="O98" s="7"/>
      <c r="P98" s="7"/>
      <c r="Q98" s="7"/>
      <c r="R98" s="7"/>
      <c r="S98" s="7"/>
      <c r="T98" s="7"/>
      <c r="U98" s="7"/>
      <c r="V98" s="7"/>
      <c r="W98" s="7"/>
      <c r="X98" s="7"/>
      <c r="Y98" s="7"/>
      <c r="Z98" s="7"/>
    </row>
    <row r="99" ht="19.5" customHeight="1">
      <c r="A99" s="7"/>
      <c r="B99" s="7"/>
      <c r="C99" s="7"/>
      <c r="D99" s="7"/>
      <c r="E99" s="7"/>
      <c r="F99" s="7"/>
      <c r="G99" s="7"/>
      <c r="H99" s="7"/>
      <c r="I99" s="7"/>
      <c r="J99" s="7"/>
      <c r="K99" s="7"/>
      <c r="L99" s="7"/>
      <c r="M99" s="7"/>
      <c r="N99" s="7"/>
      <c r="O99" s="7"/>
      <c r="P99" s="7"/>
      <c r="Q99" s="7"/>
      <c r="R99" s="7"/>
      <c r="S99" s="7"/>
      <c r="T99" s="7"/>
      <c r="U99" s="7"/>
      <c r="V99" s="7"/>
      <c r="W99" s="7"/>
      <c r="X99" s="7"/>
      <c r="Y99" s="7"/>
      <c r="Z99" s="7"/>
    </row>
    <row r="100" ht="19.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ht="19.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ht="19.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ht="19.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ht="19.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ht="19.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ht="19.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ht="19.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ht="19.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ht="19.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ht="19.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ht="19.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ht="19.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ht="19.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ht="19.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ht="19.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ht="19.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ht="19.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ht="19.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ht="19.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ht="19.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ht="19.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ht="19.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ht="19.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ht="19.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ht="19.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ht="19.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ht="19.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ht="19.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ht="19.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ht="19.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ht="19.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ht="19.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ht="19.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ht="19.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ht="19.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ht="19.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ht="19.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ht="19.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ht="19.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ht="19.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ht="19.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ht="19.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ht="19.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ht="19.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ht="19.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ht="19.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ht="19.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ht="19.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ht="19.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ht="19.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ht="19.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ht="19.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ht="19.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ht="19.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ht="19.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ht="19.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ht="19.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ht="19.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ht="19.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ht="19.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ht="19.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ht="19.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ht="19.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ht="19.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ht="19.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ht="19.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ht="19.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ht="19.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ht="19.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ht="19.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ht="19.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ht="19.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ht="19.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ht="19.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ht="19.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ht="19.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ht="19.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ht="19.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ht="19.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ht="19.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ht="19.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ht="19.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ht="19.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ht="19.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ht="19.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ht="19.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ht="19.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ht="19.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ht="19.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ht="19.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ht="19.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ht="19.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ht="19.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ht="19.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ht="19.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ht="19.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ht="19.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ht="19.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ht="19.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ht="19.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ht="19.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ht="19.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ht="19.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ht="19.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ht="19.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ht="19.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ht="19.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ht="19.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ht="19.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ht="19.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ht="19.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ht="19.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ht="19.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ht="19.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ht="19.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ht="19.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ht="19.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ht="19.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ht="19.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ht="19.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ht="19.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ht="19.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ht="19.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ht="19.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ht="19.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ht="19.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ht="19.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ht="19.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ht="19.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ht="19.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ht="19.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ht="19.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ht="19.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ht="19.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ht="19.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ht="19.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ht="19.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ht="19.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ht="19.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ht="19.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ht="19.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ht="19.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ht="19.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ht="19.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ht="19.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ht="19.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ht="19.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ht="19.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ht="19.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ht="19.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ht="19.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ht="19.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ht="19.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ht="19.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ht="19.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ht="19.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ht="19.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ht="19.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ht="19.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ht="19.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ht="19.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ht="19.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ht="19.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ht="19.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ht="19.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ht="19.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ht="19.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ht="19.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ht="19.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ht="19.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ht="19.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ht="19.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ht="19.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ht="19.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ht="19.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ht="19.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ht="19.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ht="19.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ht="19.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ht="19.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ht="19.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ht="19.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ht="19.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ht="19.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ht="19.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ht="19.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ht="19.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ht="19.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ht="19.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ht="19.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ht="19.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ht="19.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ht="19.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ht="19.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ht="19.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ht="19.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ht="19.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ht="19.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ht="19.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ht="19.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ht="19.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ht="19.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ht="19.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ht="19.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ht="19.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ht="19.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ht="19.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ht="19.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ht="19.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ht="19.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ht="19.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ht="19.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ht="19.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ht="19.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ht="19.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ht="19.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ht="19.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ht="19.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ht="19.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ht="19.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ht="19.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ht="19.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ht="19.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ht="19.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ht="19.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ht="19.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ht="19.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ht="19.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ht="19.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ht="19.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ht="19.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ht="19.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ht="19.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ht="19.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ht="19.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ht="19.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ht="19.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ht="19.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ht="19.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ht="19.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ht="19.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ht="19.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ht="19.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ht="19.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ht="19.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ht="19.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ht="19.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ht="19.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ht="19.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ht="19.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ht="19.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ht="19.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ht="19.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ht="19.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ht="19.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ht="19.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ht="19.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ht="19.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ht="19.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ht="19.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ht="19.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ht="19.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ht="19.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ht="19.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ht="19.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ht="19.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ht="19.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ht="19.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ht="19.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ht="19.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ht="19.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ht="19.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ht="19.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ht="19.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ht="19.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ht="19.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ht="19.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ht="19.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ht="19.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ht="19.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ht="19.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ht="19.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ht="19.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ht="19.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ht="19.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ht="19.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ht="19.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ht="19.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ht="19.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ht="19.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ht="19.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ht="19.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ht="19.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ht="19.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ht="19.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ht="19.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ht="19.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ht="19.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ht="19.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ht="19.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ht="19.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ht="19.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ht="19.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ht="19.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ht="19.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ht="19.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ht="19.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ht="19.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ht="19.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ht="19.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ht="19.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ht="19.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ht="19.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ht="19.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ht="19.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ht="19.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ht="19.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ht="19.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ht="19.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ht="19.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ht="19.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ht="19.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ht="19.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ht="19.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ht="19.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ht="19.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ht="19.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ht="19.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ht="19.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ht="19.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ht="19.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ht="19.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ht="19.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ht="19.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ht="19.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ht="19.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ht="19.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ht="19.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ht="19.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ht="19.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ht="19.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ht="19.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ht="19.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ht="19.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ht="19.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ht="19.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ht="19.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ht="19.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ht="19.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ht="19.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ht="19.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ht="19.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ht="19.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ht="19.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ht="19.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ht="19.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ht="19.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ht="19.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ht="19.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ht="19.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ht="19.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ht="19.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ht="19.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ht="19.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ht="19.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ht="19.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ht="19.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ht="19.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ht="19.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ht="19.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ht="19.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ht="19.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ht="19.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ht="19.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ht="19.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ht="19.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ht="19.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ht="19.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ht="19.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ht="19.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ht="19.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ht="19.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ht="19.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ht="19.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ht="19.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ht="19.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ht="19.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ht="19.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ht="19.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ht="19.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ht="19.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ht="19.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ht="19.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ht="19.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ht="19.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ht="19.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ht="19.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ht="19.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ht="19.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ht="19.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ht="19.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ht="19.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ht="19.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ht="19.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ht="19.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ht="19.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ht="19.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ht="19.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ht="19.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ht="19.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ht="19.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ht="19.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ht="19.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ht="19.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ht="19.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ht="19.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ht="19.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ht="19.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ht="19.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ht="19.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ht="19.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ht="19.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ht="19.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ht="19.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ht="19.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ht="19.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ht="19.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ht="19.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ht="19.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ht="19.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ht="19.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ht="19.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ht="19.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ht="19.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ht="19.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ht="19.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ht="19.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ht="19.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ht="19.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ht="19.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ht="19.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ht="19.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ht="19.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ht="19.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ht="19.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ht="19.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ht="19.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ht="19.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ht="19.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ht="19.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ht="19.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ht="19.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ht="19.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ht="19.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ht="19.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ht="19.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ht="19.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ht="19.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ht="19.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ht="19.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ht="19.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ht="19.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ht="19.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ht="19.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ht="19.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ht="19.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ht="19.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ht="19.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ht="19.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ht="19.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ht="19.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ht="19.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ht="19.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ht="19.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ht="19.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ht="19.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ht="19.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ht="19.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ht="19.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ht="19.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ht="19.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ht="19.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ht="19.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ht="19.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ht="19.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ht="19.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ht="19.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ht="19.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ht="19.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ht="19.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ht="19.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ht="19.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ht="19.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ht="19.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ht="19.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ht="19.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ht="19.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ht="19.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ht="19.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ht="19.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ht="19.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ht="19.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ht="19.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ht="19.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ht="19.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ht="19.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ht="19.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ht="19.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ht="19.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ht="19.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ht="19.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ht="19.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ht="19.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ht="19.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ht="19.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ht="19.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ht="19.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ht="19.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ht="19.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ht="19.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ht="19.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ht="19.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ht="19.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ht="19.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ht="19.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ht="19.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ht="19.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ht="19.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ht="19.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ht="19.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ht="19.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ht="19.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ht="19.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ht="19.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ht="19.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ht="19.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ht="19.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ht="19.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ht="19.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ht="19.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ht="19.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ht="19.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ht="19.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ht="19.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ht="19.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ht="19.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ht="19.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ht="19.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ht="19.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ht="19.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ht="19.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ht="19.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ht="19.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ht="19.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ht="19.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ht="19.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ht="19.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ht="19.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ht="19.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ht="19.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ht="19.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ht="19.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ht="19.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ht="19.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ht="19.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ht="19.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ht="19.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ht="19.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ht="19.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ht="19.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ht="19.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ht="19.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ht="19.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ht="19.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ht="19.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ht="19.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ht="19.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ht="19.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ht="19.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ht="19.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ht="19.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ht="19.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ht="19.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ht="19.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ht="19.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ht="19.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ht="19.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ht="19.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ht="19.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ht="19.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ht="19.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ht="19.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ht="19.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ht="19.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ht="19.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ht="19.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ht="19.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ht="19.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ht="19.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ht="19.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ht="19.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ht="19.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ht="19.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ht="19.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ht="19.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ht="19.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ht="19.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ht="19.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ht="19.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ht="19.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ht="19.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ht="19.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ht="19.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ht="19.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ht="19.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ht="19.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ht="19.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ht="19.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ht="19.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ht="19.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ht="19.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ht="19.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ht="19.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ht="19.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ht="19.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ht="19.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ht="19.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ht="19.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ht="19.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ht="19.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ht="19.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ht="19.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ht="19.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ht="19.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ht="19.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ht="19.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ht="19.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ht="19.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ht="19.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ht="19.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ht="19.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ht="19.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ht="19.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ht="19.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ht="19.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ht="19.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ht="19.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ht="19.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ht="19.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ht="19.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ht="19.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ht="19.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ht="19.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ht="19.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ht="19.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ht="19.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ht="19.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ht="19.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ht="19.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ht="19.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ht="19.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ht="19.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ht="19.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ht="19.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ht="19.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ht="19.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ht="19.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ht="19.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ht="19.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ht="19.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ht="19.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ht="19.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ht="19.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ht="19.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ht="19.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ht="19.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ht="19.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ht="19.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ht="19.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ht="19.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ht="19.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ht="19.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ht="19.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ht="19.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ht="19.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ht="19.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ht="19.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ht="19.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ht="19.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ht="19.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ht="19.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ht="19.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ht="19.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ht="19.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ht="19.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ht="19.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ht="19.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ht="19.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ht="19.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ht="19.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ht="19.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ht="19.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ht="19.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ht="19.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ht="19.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ht="19.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ht="19.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ht="19.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ht="19.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ht="19.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ht="19.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ht="19.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ht="19.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ht="19.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ht="19.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ht="19.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ht="19.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ht="19.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ht="19.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ht="19.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ht="19.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ht="19.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ht="19.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ht="19.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ht="19.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ht="19.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ht="19.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ht="19.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ht="19.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ht="19.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ht="19.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ht="19.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ht="19.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ht="19.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ht="19.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ht="19.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ht="19.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ht="19.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ht="19.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ht="19.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ht="19.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ht="19.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ht="19.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ht="19.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ht="19.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ht="19.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ht="19.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ht="19.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ht="19.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ht="19.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ht="19.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ht="19.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ht="19.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ht="19.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ht="19.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ht="19.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ht="19.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ht="19.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ht="19.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ht="19.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ht="19.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ht="19.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ht="19.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ht="19.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ht="19.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ht="19.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ht="19.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ht="19.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ht="19.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ht="19.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ht="19.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ht="19.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ht="19.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ht="19.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ht="19.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ht="19.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ht="19.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ht="19.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ht="19.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ht="19.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ht="19.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ht="19.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ht="19.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ht="19.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ht="19.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ht="19.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ht="19.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ht="19.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ht="19.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ht="19.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ht="19.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ht="19.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ht="19.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ht="19.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ht="19.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ht="19.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ht="19.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ht="19.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ht="19.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ht="19.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ht="19.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ht="19.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ht="19.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ht="19.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ht="19.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ht="19.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ht="19.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ht="19.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ht="19.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ht="19.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ht="19.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ht="19.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ht="19.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ht="19.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ht="19.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ht="19.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ht="19.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ht="19.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ht="19.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ht="19.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ht="19.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ht="19.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ht="19.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ht="19.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ht="19.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ht="19.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ht="19.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ht="19.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ht="19.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ht="19.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ht="19.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ht="19.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ht="19.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ht="19.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ht="19.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ht="19.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ht="19.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ht="19.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ht="19.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ht="19.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ht="19.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ht="19.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ht="19.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ht="19.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ht="19.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ht="19.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ht="19.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ht="19.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ht="19.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ht="19.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ht="19.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ht="19.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ht="19.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ht="19.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ht="19.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ht="19.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ht="19.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ht="19.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ht="19.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ht="19.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ht="19.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ht="19.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ht="19.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ht="19.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ht="19.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ht="19.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ht="19.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ht="19.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ht="19.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ht="19.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ht="19.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ht="19.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ht="19.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ht="19.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ht="19.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ht="19.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ht="19.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ht="19.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ht="19.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ht="19.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ht="19.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ht="19.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ht="19.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ht="19.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ht="19.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ht="19.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ht="19.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ht="19.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ht="19.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ht="19.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ht="19.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ht="19.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ht="19.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ht="19.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ht="19.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ht="19.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ht="19.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ht="19.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ht="19.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ht="19.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1">
    <mergeCell ref="A1:C1"/>
  </mergeCells>
  <hyperlinks>
    <hyperlink r:id="rId1" ref="B3"/>
    <hyperlink r:id="rId2" ref="B4"/>
    <hyperlink r:id="rId3" ref="B5"/>
  </hyperlinks>
  <printOptions/>
  <pageMargins bottom="1.0" footer="0.0" header="0.0" left="1.0" right="1.0" top="1.0"/>
  <pageSetup orientation="portrait"/>
  <headerFooter>
    <oddFooter>&amp;C000000&amp;P</oddFooter>
  </headerFooter>
  <drawing r:id="rId4"/>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