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5693" documentId="8_{E3A1674B-6A8A-4A99-A406-09518669CD3C}" xr6:coauthVersionLast="47" xr6:coauthVersionMax="47" xr10:uidLastSave="{3B291141-944B-4C7A-9EB7-ED64C7E99258}"/>
  <bookViews>
    <workbookView xWindow="0" yWindow="0" windowWidth="24720" windowHeight="13905" firstSheet="5" activeTab="7" xr2:uid="{07024F4D-E5C7-4B8A-AB6A-143DE046C366}"/>
  </bookViews>
  <sheets>
    <sheet name="Overall Farm" sheetId="5" r:id="rId1"/>
    <sheet name="Plants" sheetId="22" r:id="rId2"/>
    <sheet name="Irrigation system" sheetId="21" r:id="rId3"/>
    <sheet name="Ball mill grinder" sheetId="13" r:id="rId4"/>
    <sheet name="Smart Dryer" sheetId="9" r:id="rId5"/>
    <sheet name="Solar PV power plant" sheetId="6" r:id="rId6"/>
    <sheet name="Solar Tracking" sheetId="7" r:id="rId7"/>
    <sheet name="No-Reesa" sheetId="11" r:id="rId8"/>
    <sheet name="Face Recognition" sheetId="10" r:id="rId9"/>
  </sheets>
  <definedNames>
    <definedName name="_xlnm._FilterDatabase" localSheetId="3" hidden="1">'Ball mill grinder'!$B$12:$H$12</definedName>
    <definedName name="_xlnm._FilterDatabase" localSheetId="2" hidden="1">'Irrigation system'!$B$4:$E$4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2" l="1"/>
  <c r="G13" i="22"/>
  <c r="G12" i="22"/>
  <c r="G11" i="22"/>
  <c r="G10" i="22"/>
  <c r="G9" i="22"/>
  <c r="G8" i="22"/>
  <c r="G7" i="22"/>
  <c r="G6" i="22"/>
  <c r="G5" i="22"/>
  <c r="G4" i="22"/>
  <c r="Q80" i="6"/>
  <c r="Q79" i="6"/>
  <c r="Q78" i="6"/>
  <c r="Q77" i="6"/>
  <c r="P80" i="6"/>
  <c r="P79" i="6"/>
  <c r="P78" i="6"/>
  <c r="P77" i="6"/>
  <c r="C22" i="11"/>
  <c r="D21" i="11"/>
  <c r="C21" i="11"/>
  <c r="D101" i="6"/>
  <c r="F101" i="6" s="1"/>
  <c r="D100" i="6"/>
  <c r="F100" i="6" s="1"/>
  <c r="D99" i="6"/>
  <c r="F99" i="6" s="1"/>
  <c r="D98" i="6"/>
  <c r="F98" i="6" s="1"/>
  <c r="D18" i="5"/>
  <c r="E18" i="5"/>
  <c r="F21" i="21"/>
  <c r="F18" i="5"/>
  <c r="F20" i="21"/>
  <c r="C18" i="5"/>
  <c r="E88" i="6"/>
  <c r="G88" i="6" s="1"/>
  <c r="E89" i="6"/>
  <c r="G89" i="6" s="1"/>
  <c r="E90" i="6"/>
  <c r="G90" i="6" s="1"/>
  <c r="E87" i="6"/>
  <c r="G87" i="6" s="1"/>
  <c r="D130" i="5"/>
  <c r="D91" i="5"/>
  <c r="D208" i="5"/>
  <c r="D169" i="5"/>
  <c r="D199" i="5"/>
  <c r="D160" i="5"/>
  <c r="D121" i="5"/>
  <c r="F19" i="21"/>
  <c r="F18" i="21"/>
  <c r="F17" i="21"/>
  <c r="F16" i="21"/>
  <c r="D225" i="5"/>
  <c r="D186" i="5"/>
  <c r="D152" i="5"/>
  <c r="D147" i="5"/>
  <c r="D142" i="5"/>
  <c r="D113" i="5"/>
  <c r="D108" i="5"/>
  <c r="D103" i="5"/>
  <c r="D98" i="5"/>
  <c r="D137" i="5"/>
  <c r="D80" i="6"/>
  <c r="F80" i="6" s="1"/>
  <c r="H80" i="6" s="1"/>
  <c r="D79" i="6"/>
  <c r="F79" i="6" s="1"/>
  <c r="H79" i="6" s="1"/>
  <c r="D78" i="6"/>
  <c r="F78" i="6" s="1"/>
  <c r="H78" i="6" s="1"/>
  <c r="D77" i="6"/>
  <c r="F77" i="6" s="1"/>
  <c r="H77" i="6" s="1"/>
  <c r="D215" i="5"/>
  <c r="D176" i="5"/>
  <c r="D220" i="5"/>
  <c r="D181" i="5"/>
  <c r="D191" i="5"/>
  <c r="D230" i="5"/>
  <c r="D36" i="6"/>
  <c r="D37" i="6"/>
  <c r="D38" i="6"/>
  <c r="D35" i="6"/>
  <c r="D40" i="6" s="1"/>
  <c r="D45" i="6"/>
  <c r="D46" i="6"/>
  <c r="D47" i="6"/>
  <c r="D44" i="6"/>
  <c r="D49" i="6" s="1"/>
  <c r="D54" i="6"/>
  <c r="D55" i="6"/>
  <c r="D56" i="6"/>
  <c r="D57" i="6"/>
  <c r="D64" i="6"/>
  <c r="D65" i="6"/>
  <c r="D66" i="6"/>
  <c r="D63" i="6"/>
  <c r="D68" i="6" s="1"/>
  <c r="D82" i="5"/>
  <c r="C17" i="5" s="1"/>
  <c r="B18" i="5"/>
  <c r="B35" i="13"/>
  <c r="B34" i="13"/>
  <c r="B33" i="13"/>
  <c r="B32" i="13"/>
  <c r="H15" i="13"/>
  <c r="H14" i="13"/>
  <c r="H13" i="13"/>
  <c r="G15" i="13"/>
  <c r="G14" i="13"/>
  <c r="G13" i="13"/>
  <c r="G22" i="11"/>
  <c r="G21" i="11"/>
  <c r="G20" i="11"/>
  <c r="E22" i="11"/>
  <c r="E37" i="21"/>
  <c r="F15" i="21"/>
  <c r="F14" i="21"/>
  <c r="F13" i="21"/>
  <c r="F12" i="21"/>
  <c r="F11" i="21"/>
  <c r="F50" i="21"/>
  <c r="F49" i="21"/>
  <c r="F48" i="21"/>
  <c r="C37" i="21"/>
  <c r="D37" i="21"/>
  <c r="F37" i="21"/>
  <c r="B52" i="5"/>
  <c r="E21" i="11"/>
  <c r="E20" i="11"/>
  <c r="E41" i="5"/>
  <c r="B41" i="5"/>
  <c r="B74" i="5"/>
  <c r="B59" i="5"/>
  <c r="B64" i="5"/>
  <c r="B69" i="5"/>
  <c r="B43" i="5"/>
  <c r="D17" i="5" l="1"/>
  <c r="E17" i="5"/>
  <c r="F17" i="5"/>
  <c r="D59" i="6"/>
</calcChain>
</file>

<file path=xl/sharedStrings.xml><?xml version="1.0" encoding="utf-8"?>
<sst xmlns="http://schemas.openxmlformats.org/spreadsheetml/2006/main" count="1217" uniqueCount="698">
  <si>
    <t>Burkina Faso Sustainable Farm</t>
  </si>
  <si>
    <t>equivalence between euro and xof: 1€ = ... xof</t>
  </si>
  <si>
    <t>1 million xof = ...€</t>
  </si>
  <si>
    <t>Simulation</t>
  </si>
  <si>
    <t>Prototype1</t>
  </si>
  <si>
    <t>Prototype 2</t>
  </si>
  <si>
    <t>Productive</t>
  </si>
  <si>
    <t>Scalable</t>
  </si>
  <si>
    <t>Location</t>
  </si>
  <si>
    <t>software simulation</t>
  </si>
  <si>
    <t>Koubri</t>
  </si>
  <si>
    <t>Loumbila</t>
  </si>
  <si>
    <t>Size (hectare)</t>
  </si>
  <si>
    <t>//</t>
  </si>
  <si>
    <t>Investment needed (million xof)</t>
  </si>
  <si>
    <t xml:space="preserve">    0,5</t>
  </si>
  <si>
    <t>cost for running the farm per month (million xof)</t>
  </si>
  <si>
    <t>comments</t>
  </si>
  <si>
    <t>phase of simulating the whole farm workflow</t>
  </si>
  <si>
    <t>prototype 1</t>
  </si>
  <si>
    <t>first testphase during which we setup the physical farm in a small size</t>
  </si>
  <si>
    <t>prototype 2</t>
  </si>
  <si>
    <t xml:space="preserve">an improved version of the prototype 1, where we increase the crops that we grow and the capacity of our automation system </t>
  </si>
  <si>
    <t>productive</t>
  </si>
  <si>
    <t>phase during which we set up everything to allow the farm to be productive and profitable</t>
  </si>
  <si>
    <t>scalable</t>
  </si>
  <si>
    <t>this phase consist of expanding our farm to a more bigger areas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</si>
  <si>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</si>
  <si>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</si>
  <si>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</si>
  <si>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</si>
  <si>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</si>
  <si>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</si>
  <si>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</si>
  <si>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</si>
  <si>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</si>
  <si>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</si>
  <si>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areas, personnal management(attendance), classify plants as useful or unwanted</t>
  </si>
  <si>
    <t>Visitors Management (No Reesa)</t>
  </si>
  <si>
    <t>Translate from Moore(local language) to English   and  Give some description of a plant in different languages</t>
  </si>
  <si>
    <t>Product Transformation System (Ball mill grinder)</t>
  </si>
  <si>
    <t>Grinds raw products like grains into finer forms, such as flour or feed.</t>
  </si>
  <si>
    <t>Stage of the Project</t>
  </si>
  <si>
    <t>key figures from subpart</t>
  </si>
  <si>
    <t>Size(m²)</t>
  </si>
  <si>
    <t>simulation</t>
  </si>
  <si>
    <t>Investment needed  (F CFA)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</si>
  <si>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</si>
  <si>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</si>
  <si>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</si>
  <si>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</si>
  <si>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</si>
  <si>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</si>
  <si>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</si>
  <si>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</si>
  <si>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</si>
  <si>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</si>
  <si>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</si>
  <si>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water</t>
  </si>
  <si>
    <t>smart irrigation</t>
  </si>
  <si>
    <t>capteur XENSIV</t>
  </si>
  <si>
    <t>Bluetoofh Low Energy</t>
  </si>
  <si>
    <t xml:space="preserve">PSoC CAPSENSE </t>
  </si>
  <si>
    <t>crops</t>
  </si>
  <si>
    <t>dried crops</t>
  </si>
  <si>
    <t>plant image</t>
  </si>
  <si>
    <t>disease detection</t>
  </si>
  <si>
    <t>XENSIV™ radar</t>
  </si>
  <si>
    <t>speech in Moore or English</t>
  </si>
  <si>
    <t>translation into the other language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</si>
  <si>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</si>
  <si>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</si>
  <si>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</si>
  <si>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</si>
  <si>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</si>
  <si>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</si>
  <si>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Prototype 1</t>
  </si>
  <si>
    <t>Investment needed  (million xof)</t>
  </si>
  <si>
    <t>2,5</t>
  </si>
  <si>
    <t>Investment needed   (million xof)</t>
  </si>
  <si>
    <t>0,88</t>
  </si>
  <si>
    <t>1,89</t>
  </si>
  <si>
    <t>Investment needed  (million xof))</t>
  </si>
  <si>
    <t>loumbila</t>
  </si>
  <si>
    <t>SUSTAINABLE FARM'S PLANTS STUDY &amp; REVENUE ANALYSIS</t>
  </si>
  <si>
    <t>Crop type</t>
  </si>
  <si>
    <t>Number of plants /ha</t>
  </si>
  <si>
    <t>Installation cost (XOF/ha)</t>
  </si>
  <si>
    <t>Selling price(XOF/kg)</t>
  </si>
  <si>
    <t>Yield(kg/ha)</t>
  </si>
  <si>
    <t>Total revenue(XOF/ha)</t>
  </si>
  <si>
    <t>Corn</t>
  </si>
  <si>
    <t>Cowpea</t>
  </si>
  <si>
    <t>Sorghum</t>
  </si>
  <si>
    <t>Tomatoes</t>
  </si>
  <si>
    <t>Onions</t>
  </si>
  <si>
    <t>Peppers</t>
  </si>
  <si>
    <t>Lettuce</t>
  </si>
  <si>
    <t>Mango</t>
  </si>
  <si>
    <t>Banana</t>
  </si>
  <si>
    <t>Apple</t>
  </si>
  <si>
    <t>Papaya</t>
  </si>
  <si>
    <t>Installation cost : Include plants cost, seeds and labor</t>
  </si>
  <si>
    <t>Selling price : Average market price for each type of crop (Burkina Faso Price Bulletin April 2024)</t>
  </si>
  <si>
    <t>Total revenue = Yield * Selling price</t>
  </si>
  <si>
    <t>AUTOMATIC IRRIGATION SYSTEM</t>
  </si>
  <si>
    <t>Irrigation system sizing</t>
  </si>
  <si>
    <t>Surface Area (ha)</t>
  </si>
  <si>
    <t>Irrigation pipes (m)</t>
  </si>
  <si>
    <t>Water Consumption (m³/day)</t>
  </si>
  <si>
    <t>Irrigation Time (hours/day)</t>
  </si>
  <si>
    <t>1ha</t>
  </si>
  <si>
    <t>3ha</t>
  </si>
  <si>
    <t>30ha</t>
  </si>
  <si>
    <t>60ha</t>
  </si>
  <si>
    <t>Water Applied (L/ha)</t>
  </si>
  <si>
    <t>Water Used (L/ha)</t>
  </si>
  <si>
    <t>Yield (kg/ha)</t>
  </si>
  <si>
    <t>Efficiency (%)</t>
  </si>
  <si>
    <t>Data monitoring</t>
  </si>
  <si>
    <t>Moisture level (%)</t>
  </si>
  <si>
    <t>System action</t>
  </si>
  <si>
    <t>0 - 20%</t>
  </si>
  <si>
    <t>Irrigation activated immediately</t>
  </si>
  <si>
    <t>21 - 40%</t>
  </si>
  <si>
    <t>Irrigation activated if no rain is forecasted</t>
  </si>
  <si>
    <t>41 - 60%</t>
  </si>
  <si>
    <t>Monitoring mode, irrigation delayed</t>
  </si>
  <si>
    <t>61 - 80%</t>
  </si>
  <si>
    <t>No irrigation needed</t>
  </si>
  <si>
    <t>81 - 100%</t>
  </si>
  <si>
    <t>Soil saturated, drainage prioritized</t>
  </si>
  <si>
    <t>Equipment Pricing Based on Farm Size</t>
  </si>
  <si>
    <t>Equipment</t>
  </si>
  <si>
    <t>1 ha (XOF)</t>
  </si>
  <si>
    <t>3 ha (XOF)</t>
  </si>
  <si>
    <t>30 ha (XOF)</t>
  </si>
  <si>
    <t>60 ha (XOF)</t>
  </si>
  <si>
    <t>Irrigation pipes</t>
  </si>
  <si>
    <t>Water pump</t>
  </si>
  <si>
    <t>Soil moisture sensors</t>
  </si>
  <si>
    <t>Valves and fittings</t>
  </si>
  <si>
    <t>Total Investment</t>
  </si>
  <si>
    <t>Financial analysis</t>
  </si>
  <si>
    <t>Investment Cost (XOF)</t>
  </si>
  <si>
    <t>Annual Income (XOF)</t>
  </si>
  <si>
    <t>Financial comparison</t>
  </si>
  <si>
    <t>Crop Yield (kg/ha)</t>
  </si>
  <si>
    <t>Revenue (XOF/ha)</t>
  </si>
  <si>
    <t>Cost (XOF/ha)</t>
  </si>
  <si>
    <t>Net Income (XOF/ha)</t>
  </si>
  <si>
    <t>Without Irrigation</t>
  </si>
  <si>
    <t>With Manual Irrigation</t>
  </si>
  <si>
    <t>With Automated Irrigation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</si>
  <si>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</si>
  <si>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</si>
  <si>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</si>
  <si>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</si>
  <si>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</si>
  <si>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</si>
  <si>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</si>
  <si>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</si>
  <si>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</si>
  <si>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</si>
  <si>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</si>
  <si>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</si>
  <si>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</si>
  <si>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</si>
  <si>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</si>
  <si>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</si>
  <si>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</si>
  <si>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</si>
  <si>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</si>
  <si>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</si>
  <si>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</si>
  <si>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</si>
  <si>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</si>
  <si>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</si>
  <si>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</si>
  <si>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</si>
  <si>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</si>
  <si>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</si>
  <si>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</si>
  <si>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</si>
  <si>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BALL MILL</t>
  </si>
  <si>
    <t>Production Analysis</t>
  </si>
  <si>
    <t>Input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</si>
  <si>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</si>
  <si>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</si>
  <si>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</si>
  <si>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</si>
  <si>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</si>
  <si>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</si>
  <si>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</si>
  <si>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</si>
  <si>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</si>
  <si>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</si>
  <si>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</si>
  <si>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</si>
  <si>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</si>
  <si>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</si>
  <si>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</si>
  <si>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</si>
  <si>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</si>
  <si>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</si>
  <si>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</si>
  <si>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</si>
  <si>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</si>
  <si>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</si>
  <si>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</si>
  <si>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</si>
  <si>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</si>
  <si>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 </t>
  </si>
  <si>
    <t>Process</t>
  </si>
  <si>
    <t>Output (kg)</t>
  </si>
  <si>
    <t>Initial Investment (Xof)</t>
  </si>
  <si>
    <t>Cost per Month (Xof)</t>
  </si>
  <si>
    <t>Income per Month (Xof)</t>
  </si>
  <si>
    <t>Ecological</t>
  </si>
  <si>
    <t xml:space="preserve">Cowpea grains </t>
  </si>
  <si>
    <t>Grinding/milling</t>
  </si>
  <si>
    <t>intial investment of the Ball Mill Depend on the Size</t>
  </si>
  <si>
    <t>Eco-friendly practices minimize environmental impact.</t>
  </si>
  <si>
    <t>Collaborating with organizations for innovation in sustainability.</t>
  </si>
  <si>
    <t xml:space="preserve">Maize grains </t>
  </si>
  <si>
    <t>Water conservation through rainwater harvesting and drip irrigation.</t>
  </si>
  <si>
    <t>Contribution to combating climate change with sustainable certifications.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</si>
  <si>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</si>
  <si>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</si>
  <si>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</si>
  <si>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</si>
  <si>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</si>
  <si>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</si>
  <si>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</si>
  <si>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 xml:space="preserve">Electricity 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</si>
  <si>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</si>
  <si>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</si>
  <si>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</si>
  <si>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</si>
  <si>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</si>
  <si>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</si>
  <si>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</si>
  <si>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</si>
  <si>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</si>
  <si>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</si>
  <si>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</si>
  <si>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</si>
  <si>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</si>
  <si>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</si>
  <si>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</si>
  <si>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</si>
  <si>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</si>
  <si>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</si>
  <si>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</si>
  <si>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</si>
  <si>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</si>
  <si>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</si>
  <si>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</si>
  <si>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</si>
  <si>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</si>
  <si>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</si>
  <si>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</si>
  <si>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</si>
  <si>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</si>
  <si>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</si>
  <si>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</si>
  <si>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</si>
  <si>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</si>
  <si>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Strategies of Mitigation</t>
  </si>
  <si>
    <t>Initial investment of the Ball Mill</t>
  </si>
  <si>
    <t>Weaknesses</t>
  </si>
  <si>
    <t>Mitigation Strategies</t>
  </si>
  <si>
    <t>Price (Xof)</t>
  </si>
  <si>
    <t>Farm Size (Ha)</t>
  </si>
  <si>
    <t>Ball Mill Size (mm)</t>
  </si>
  <si>
    <t>Total Surface Area (m²)</t>
  </si>
  <si>
    <t>1 Ha</t>
  </si>
  <si>
    <t>400 × 500</t>
  </si>
  <si>
    <t>1- Apply for government subsidies or grants.
2- Cost-sharing models with local communities.                                                              3- Partner with NGOs for funding and low-interest loans.</t>
  </si>
  <si>
    <t>3 Ha</t>
  </si>
  <si>
    <t>600 × 700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</si>
  <si>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</si>
  <si>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</si>
  <si>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5 Ha</t>
  </si>
  <si>
    <t>900 × 1200</t>
  </si>
  <si>
    <t>10 Ha</t>
  </si>
  <si>
    <t>900 × 1800</t>
  </si>
  <si>
    <t>1- Implement diversified cropping systems.
2- Invest in climate-resilient crops and irrigation systems.
3- Use predictive analytics for weather planning.</t>
  </si>
  <si>
    <t>30 Ha</t>
  </si>
  <si>
    <t>1000 × 2000</t>
  </si>
  <si>
    <t>1- Combine renewable systems with backup sources.
2- Enhance water storage facilities.
3- Regular maintenance of renewable systems.</t>
  </si>
  <si>
    <t>60 Ha</t>
  </si>
  <si>
    <t>1200 × 2200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</si>
  <si>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</si>
  <si>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</si>
  <si>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</si>
  <si>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</si>
  <si>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</si>
  <si>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</si>
  <si>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</si>
  <si>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</si>
  <si>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</si>
  <si>
    <t>Smart Dryer</t>
  </si>
  <si>
    <t>Crop Type</t>
  </si>
  <si>
    <t>Moisture Level (%)</t>
  </si>
  <si>
    <t>Smart Drying Time (hours)</t>
  </si>
  <si>
    <t>Energy Consumption (kWh)</t>
  </si>
  <si>
    <t>Energy Consumption per kg (kWh/kg)</t>
  </si>
  <si>
    <t>Cost of Raw Material (FCFA/kg)</t>
  </si>
  <si>
    <t>Production Quantity (kg)</t>
  </si>
  <si>
    <t>Packaging Process</t>
  </si>
  <si>
    <t>Market Price (FCFA/kg)</t>
  </si>
  <si>
    <t>Income per kg (FCFA)</t>
  </si>
  <si>
    <t>Waste Reduction (%)</t>
  </si>
  <si>
    <t>-</t>
  </si>
  <si>
    <t>Tomato</t>
  </si>
  <si>
    <t>1. Economic Section</t>
  </si>
  <si>
    <t>Crop</t>
  </si>
  <si>
    <t>Initial Moisture (%)</t>
  </si>
  <si>
    <t>Drying Time (h)</t>
  </si>
  <si>
    <t>Raw Material Cost (FCFA/kg)</t>
  </si>
  <si>
    <t>Total Revenue (FCFA)</t>
  </si>
  <si>
    <t>2.Ecological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</si>
  <si>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</si>
  <si>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</si>
  <si>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</si>
  <si>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</si>
  <si>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</si>
  <si>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</si>
  <si>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</si>
  <si>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</si>
  <si>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</si>
  <si>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</si>
  <si>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</si>
  <si>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</si>
  <si>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</si>
  <si>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</si>
  <si>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Investment Cost (FCFA)</t>
  </si>
  <si>
    <t>Income (FCFA)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</si>
  <si>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</si>
  <si>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</si>
  <si>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</si>
  <si>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</si>
  <si>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</si>
  <si>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</si>
  <si>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</si>
  <si>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</si>
  <si>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</si>
  <si>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</si>
  <si>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</si>
  <si>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</si>
  <si>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</si>
  <si>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</si>
  <si>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Business Model Canvas – Smart Dryer</t>
  </si>
  <si>
    <r>
      <t>🔹</t>
    </r>
    <r>
      <rPr>
        <b/>
        <sz val="12"/>
        <color theme="1"/>
        <rFont val="Times New Roman"/>
        <family val="1"/>
        <charset val="1"/>
      </rPr>
      <t xml:space="preserve"> Elements</t>
    </r>
  </si>
  <si>
    <r>
      <t>🔹</t>
    </r>
    <r>
      <rPr>
        <b/>
        <sz val="12"/>
        <color theme="1"/>
        <rFont val="Times New Roman"/>
        <family val="1"/>
        <charset val="1"/>
      </rPr>
      <t xml:space="preserve"> Details</t>
    </r>
  </si>
  <si>
    <r>
      <t>🛠</t>
    </r>
    <r>
      <rPr>
        <b/>
        <sz val="12"/>
        <color theme="1"/>
        <rFont val="Times New Roman"/>
        <family val="1"/>
        <charset val="1"/>
      </rPr>
      <t>️ Key Partners</t>
    </r>
  </si>
  <si>
    <r>
      <t>🔹</t>
    </r>
    <r>
      <rPr>
        <sz val="12"/>
        <color theme="1"/>
        <rFont val="Times New Roman"/>
        <family val="1"/>
        <charset val="1"/>
      </rPr>
      <t xml:space="preserve"> Infineon (Technology &amp; sensors)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Agricultural cooperatives &amp; farmers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Universities &amp; research institutions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Government &amp; NGOs (support &amp; funding)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Tech &amp; IoT companies (technology integration)</t>
    </r>
  </si>
  <si>
    <r>
      <t>⚙️</t>
    </r>
    <r>
      <rPr>
        <b/>
        <sz val="12"/>
        <color theme="1"/>
        <rFont val="Times New Roman"/>
        <family val="1"/>
        <charset val="1"/>
      </rPr>
      <t xml:space="preserve"> Key Activities</t>
    </r>
  </si>
  <si>
    <r>
      <t>🔹</t>
    </r>
    <r>
      <rPr>
        <sz val="12"/>
        <color theme="1"/>
        <rFont val="Times New Roman"/>
        <family val="1"/>
        <charset val="1"/>
      </rPr>
      <t xml:space="preserve"> Product development &amp; innovation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Manufacturing &amp; distribution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Data monitoring &amp; optimization (via IoT)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Customer training &amp; support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Marketing &amp; strategic partnerships</t>
    </r>
  </si>
  <si>
    <r>
      <t>💡</t>
    </r>
    <r>
      <rPr>
        <b/>
        <sz val="12"/>
        <color theme="1"/>
        <rFont val="Times New Roman"/>
        <family val="1"/>
        <charset val="1"/>
      </rPr>
      <t xml:space="preserve"> Value Proposition</t>
    </r>
  </si>
  <si>
    <r>
      <t>✅</t>
    </r>
    <r>
      <rPr>
        <sz val="12"/>
        <color theme="1"/>
        <rFont val="Times New Roman"/>
        <family val="1"/>
        <charset val="1"/>
      </rPr>
      <t xml:space="preserve"> Energy-efficient &amp; optimized drying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Reduction of post-harvest losses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Real-time monitoring &amp; automation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Adaptable to different crops &amp; climates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Sustainable &amp; cost-effective solution for farmers</t>
    </r>
  </si>
  <si>
    <r>
      <t>🤝</t>
    </r>
    <r>
      <rPr>
        <b/>
        <sz val="12"/>
        <color theme="1"/>
        <rFont val="Times New Roman"/>
        <family val="1"/>
        <charset val="1"/>
      </rPr>
      <t xml:space="preserve"> Customer Relationships</t>
    </r>
  </si>
  <si>
    <r>
      <t>🔹</t>
    </r>
    <r>
      <rPr>
        <sz val="12"/>
        <color theme="1"/>
        <rFont val="Times New Roman"/>
        <family val="1"/>
        <charset val="1"/>
      </rPr>
      <t xml:space="preserve"> Personalized support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Online platform &amp; mobile app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Workshops &amp; practical training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Subscription &amp; maintenance services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Technical support network</t>
    </r>
  </si>
  <si>
    <r>
      <t>🎯</t>
    </r>
    <r>
      <rPr>
        <b/>
        <sz val="12"/>
        <color theme="1"/>
        <rFont val="Times New Roman"/>
        <family val="1"/>
        <charset val="1"/>
      </rPr>
      <t xml:space="preserve"> Customer Segments</t>
    </r>
  </si>
  <si>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Small &amp; medium-sized farmers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Cooperatives &amp; agribusinesses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Food processing companies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Governments &amp; NGOs in food security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Distributors &amp; exporters</t>
    </r>
  </si>
  <si>
    <r>
      <t>🛠</t>
    </r>
    <r>
      <rPr>
        <b/>
        <sz val="12"/>
        <color theme="1"/>
        <rFont val="Times New Roman"/>
        <family val="1"/>
        <charset val="1"/>
      </rPr>
      <t>️ Key Resources</t>
    </r>
  </si>
  <si>
    <r>
      <t>🔹</t>
    </r>
    <r>
      <rPr>
        <sz val="12"/>
        <color theme="1"/>
        <rFont val="Times New Roman"/>
        <family val="1"/>
        <charset val="1"/>
      </rPr>
      <t xml:space="preserve"> IoT sensors &amp; automation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Manufacturing infrastructure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Agricultural expertise &amp; R&amp;D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Funding &amp; grants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Data analytics &amp; artificial intelligence</t>
    </r>
  </si>
  <si>
    <r>
      <t>📢</t>
    </r>
    <r>
      <rPr>
        <b/>
        <sz val="12"/>
        <color theme="1"/>
        <rFont val="Times New Roman"/>
        <family val="1"/>
        <charset val="1"/>
      </rPr>
      <t xml:space="preserve"> Distribution Channels</t>
    </r>
  </si>
  <si>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Direct sales to farmers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Partnerships with cooperatives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Online marketplace &amp; e-commerce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Integration with government programs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Presence at agricultural expos</t>
    </r>
  </si>
  <si>
    <r>
      <t>💰</t>
    </r>
    <r>
      <rPr>
        <b/>
        <sz val="12"/>
        <color theme="1"/>
        <rFont val="Times New Roman"/>
        <family val="1"/>
        <charset val="1"/>
      </rPr>
      <t xml:space="preserve"> Cost Structure</t>
    </r>
  </si>
  <si>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R&amp;D and prototyping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Manufacturing &amp; assembly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Marketing &amp; logistics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Software &amp; IoT development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Customer training &amp; support</t>
    </r>
  </si>
  <si>
    <r>
      <t>💵</t>
    </r>
    <r>
      <rPr>
        <b/>
        <sz val="12"/>
        <color theme="1"/>
        <rFont val="Times New Roman"/>
        <family val="1"/>
        <charset val="1"/>
      </rPr>
      <t xml:space="preserve"> Revenue Streams</t>
    </r>
  </si>
  <si>
    <r>
      <t>💵</t>
    </r>
    <r>
      <rPr>
        <sz val="12"/>
        <color theme="1"/>
        <rFont val="Times New Roman"/>
        <family val="1"/>
        <charset val="1"/>
      </rPr>
      <t xml:space="preserve"> Direct sales of Smart Dryer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Subscriptions for advanced monitoring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Maintenance &amp; support contracts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Licensing &amp; partnerships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Government &amp; NGO funding</t>
    </r>
  </si>
  <si>
    <t>SOLAR PHOTOVOLTAIC SYSTEM</t>
  </si>
  <si>
    <t xml:space="preserve">Equipment technical sheet </t>
  </si>
  <si>
    <t>Solar panel</t>
  </si>
  <si>
    <t>Batteries</t>
  </si>
  <si>
    <t>PV inverters</t>
  </si>
  <si>
    <t>charging inverters</t>
  </si>
  <si>
    <t>Manufacturer</t>
  </si>
  <si>
    <t>Winaico</t>
  </si>
  <si>
    <t>ABB</t>
  </si>
  <si>
    <t>SMA Solar technology AG</t>
  </si>
  <si>
    <t>Type</t>
  </si>
  <si>
    <t>WST-260P6</t>
  </si>
  <si>
    <t>HOPPECKE</t>
  </si>
  <si>
    <t>Model Trio-TM-60.0</t>
  </si>
  <si>
    <t>Sunny Island 6.0H</t>
  </si>
  <si>
    <t>Category</t>
  </si>
  <si>
    <t>Polycristallin</t>
  </si>
  <si>
    <t>Lead acid / Sun power VRL 2-1250</t>
  </si>
  <si>
    <t>Rated DC input power (W)</t>
  </si>
  <si>
    <t>Nominal DC voltage</t>
  </si>
  <si>
    <t>Nominal Power (Wp)</t>
  </si>
  <si>
    <t>Nominal capacity (Ah)</t>
  </si>
  <si>
    <t>Nominal DC input power(W)</t>
  </si>
  <si>
    <t>Nominal DC input current (A)</t>
  </si>
  <si>
    <t>MPP current (A)</t>
  </si>
  <si>
    <t>Capacity (Kwh)</t>
  </si>
  <si>
    <t>DC input voltage (A)</t>
  </si>
  <si>
    <t>145-530</t>
  </si>
  <si>
    <t>DC Output current (A)</t>
  </si>
  <si>
    <t>MPP voltage (V)</t>
  </si>
  <si>
    <t>Nominal voltage (A)</t>
  </si>
  <si>
    <t>Max DC input current (A) / for MPPT</t>
  </si>
  <si>
    <t>38.0 / 19.0</t>
  </si>
  <si>
    <t>Nominal AC voltage (V)</t>
  </si>
  <si>
    <t>Short circuit current (A)</t>
  </si>
  <si>
    <t>Weight (Kg)</t>
  </si>
  <si>
    <t>Max input short circuit (A)</t>
  </si>
  <si>
    <t>22.0 / 44.0</t>
  </si>
  <si>
    <t>Nominal power (W)</t>
  </si>
  <si>
    <t>Open circuit voltage (V)</t>
  </si>
  <si>
    <t>Lenght (mm)</t>
  </si>
  <si>
    <t>Max AC input power(W)</t>
  </si>
  <si>
    <t>Max. Voltage (V)</t>
  </si>
  <si>
    <t>Width (mm)</t>
  </si>
  <si>
    <t>Nominal alternating current (A)</t>
  </si>
  <si>
    <t>Max power current (A)</t>
  </si>
  <si>
    <t>Height (mm)</t>
  </si>
  <si>
    <t>Max AC current (A)</t>
  </si>
  <si>
    <t>Depth (mm)</t>
  </si>
  <si>
    <t>Area (m²)</t>
  </si>
  <si>
    <t>Yield</t>
  </si>
  <si>
    <t>≈ 0.8</t>
  </si>
  <si>
    <t>Prototypes sizing and investment cost</t>
  </si>
  <si>
    <t>Equipements</t>
  </si>
  <si>
    <t>number</t>
  </si>
  <si>
    <t>Unit cost</t>
  </si>
  <si>
    <t>Prototype 1 Cost (Fcfa)2</t>
  </si>
  <si>
    <t>solar panel</t>
  </si>
  <si>
    <t>Lithium batteries</t>
  </si>
  <si>
    <t>Power Inverters</t>
  </si>
  <si>
    <t> Charging inverters</t>
  </si>
  <si>
    <t>other installation cost (Fcfa)</t>
  </si>
  <si>
    <t>total cost (Fcfa)</t>
  </si>
  <si>
    <t>Prototype 32</t>
  </si>
  <si>
    <t>Summary prototypes cost</t>
  </si>
  <si>
    <t>Price (Fcfa)</t>
  </si>
  <si>
    <t>Prototype 42</t>
  </si>
  <si>
    <t>Prototypes daily energy production</t>
  </si>
  <si>
    <t>Annual energy production and need</t>
  </si>
  <si>
    <t>Farm Area</t>
  </si>
  <si>
    <t>solar panels number</t>
  </si>
  <si>
    <t>Peak power (Wp)</t>
  </si>
  <si>
    <t>Power (W)</t>
  </si>
  <si>
    <t>Average daily sun set (hour)</t>
  </si>
  <si>
    <t>energy produce (Wh)</t>
  </si>
  <si>
    <t>need (Wh)</t>
  </si>
  <si>
    <t>surplus (Wh)</t>
  </si>
  <si>
    <t>Additional Energy with 
solar Tracking (kWh/year)</t>
  </si>
  <si>
    <t>days of the year</t>
  </si>
  <si>
    <t>daily energy production (kWh)</t>
  </si>
  <si>
    <t>daily need (kWh)</t>
  </si>
  <si>
    <t>Annual energy production (kWh)</t>
  </si>
  <si>
    <t>annual need (kWh)</t>
  </si>
  <si>
    <t>1Ha</t>
  </si>
  <si>
    <t>3Ha</t>
  </si>
  <si>
    <t>30Ha</t>
  </si>
  <si>
    <t>60Ha</t>
  </si>
  <si>
    <t>Convertion in KWh</t>
  </si>
  <si>
    <t>Power produce (kW)</t>
  </si>
  <si>
    <t>energy produce (kWh)</t>
  </si>
  <si>
    <t>need (kWh)</t>
  </si>
  <si>
    <t>surplus (kWh)</t>
  </si>
  <si>
    <t>Additional Energy with 
solar Tracking (kWh/day)</t>
  </si>
  <si>
    <t>Surplus total (kWh)</t>
  </si>
  <si>
    <t>The farm potential daily and annual energy sales</t>
  </si>
  <si>
    <t>Surplus to be sale</t>
  </si>
  <si>
    <t>the Average cost of kWh in BF (Fcfa)</t>
  </si>
  <si>
    <t>daily incomes (Fcfa)</t>
  </si>
  <si>
    <t>Supposed days of production (day)</t>
  </si>
  <si>
    <t>Annual incomes (Fcfa)</t>
  </si>
  <si>
    <t>Pie chart for the farm investment cost</t>
  </si>
  <si>
    <t>Projet</t>
  </si>
  <si>
    <t>cost ( million XOF )</t>
  </si>
  <si>
    <t>Ball mill grinder</t>
  </si>
  <si>
    <t>Solar PV Power Plant</t>
  </si>
  <si>
    <t>solar tracking</t>
  </si>
  <si>
    <t>No-Reesa</t>
  </si>
  <si>
    <t>Face Recognition</t>
  </si>
  <si>
    <t>Business model</t>
  </si>
  <si>
    <t>Key Partners</t>
  </si>
  <si>
    <t>Key Activities</t>
  </si>
  <si>
    <t>Value Propositions</t>
  </si>
  <si>
    <t>Customer Relationships</t>
  </si>
  <si>
    <t>Customer Segments</t>
  </si>
  <si>
    <r>
      <t>•</t>
    </r>
    <r>
      <rPr>
        <sz val="14"/>
        <color theme="1"/>
        <rFont val="Times New Roman"/>
        <family val="1"/>
        <charset val="1"/>
      </rPr>
      <t>      Infineon &amp; BIT (Technical support, funding)</t>
    </r>
  </si>
  <si>
    <r>
      <t>•</t>
    </r>
    <r>
      <rPr>
        <sz val="14"/>
        <color theme="1"/>
        <rFont val="Times New Roman"/>
        <family val="1"/>
        <charset val="1"/>
      </rPr>
      <t>      Installation &amp; maintenance of PV solar system</t>
    </r>
  </si>
  <si>
    <r>
      <t>•</t>
    </r>
    <r>
      <rPr>
        <sz val="14"/>
        <color theme="1"/>
        <rFont val="Times New Roman"/>
        <family val="1"/>
        <charset val="1"/>
      </rPr>
      <t>      Reliable &amp; sustainable energy for farm operations</t>
    </r>
  </si>
  <si>
    <r>
      <t>•</t>
    </r>
    <r>
      <rPr>
        <sz val="14"/>
        <color theme="1"/>
        <rFont val="Times New Roman"/>
        <family val="1"/>
        <charset val="1"/>
      </rPr>
      <t>      Direct partnerships with farm operators</t>
    </r>
  </si>
  <si>
    <r>
      <t>•</t>
    </r>
    <r>
      <rPr>
        <sz val="14"/>
        <color theme="1"/>
        <rFont val="Times New Roman"/>
        <family val="1"/>
        <charset val="1"/>
      </rPr>
      <t>      Farmers &amp; agribusinesses</t>
    </r>
  </si>
  <si>
    <r>
      <t>•</t>
    </r>
    <r>
      <rPr>
        <sz val="14"/>
        <color theme="1"/>
        <rFont val="Times New Roman"/>
        <family val="1"/>
        <charset val="1"/>
      </rPr>
      <t>      Solar panel &amp; battery suppliers (e.g., WINAICO, Sun Power)</t>
    </r>
  </si>
  <si>
    <r>
      <t>•</t>
    </r>
    <r>
      <rPr>
        <sz val="14"/>
        <color theme="1"/>
        <rFont val="Times New Roman"/>
        <family val="1"/>
        <charset val="1"/>
      </rPr>
      <t>      Energy production &amp; storage management</t>
    </r>
  </si>
  <si>
    <r>
      <t>•</t>
    </r>
    <r>
      <rPr>
        <sz val="14"/>
        <color theme="1"/>
        <rFont val="Times New Roman"/>
        <family val="1"/>
        <charset val="1"/>
      </rPr>
      <t>      Reduction of electricity costs &amp; energy independence</t>
    </r>
  </si>
  <si>
    <r>
      <t>•</t>
    </r>
    <r>
      <rPr>
        <sz val="14"/>
        <color theme="1"/>
        <rFont val="Times New Roman"/>
        <family val="1"/>
        <charset val="1"/>
      </rPr>
      <t>      Support &amp; maintenance services</t>
    </r>
  </si>
  <si>
    <r>
      <t>•</t>
    </r>
    <r>
      <rPr>
        <sz val="14"/>
        <color theme="1"/>
        <rFont val="Times New Roman"/>
        <family val="1"/>
        <charset val="1"/>
      </rPr>
      <t>      Local communities benefiting from clean energy</t>
    </r>
  </si>
  <si>
    <r>
      <t>•</t>
    </r>
    <r>
      <rPr>
        <sz val="14"/>
        <color theme="1"/>
        <rFont val="Times New Roman"/>
        <family val="1"/>
        <charset val="1"/>
      </rPr>
      <t>      Local government &amp; energy agencies</t>
    </r>
  </si>
  <si>
    <r>
      <t>•</t>
    </r>
    <r>
      <rPr>
        <sz val="14"/>
        <color theme="1"/>
        <rFont val="Times New Roman"/>
        <family val="1"/>
        <charset val="1"/>
      </rPr>
      <t>      Optimization of energy distribution for the farm</t>
    </r>
  </si>
  <si>
    <r>
      <t>•</t>
    </r>
    <r>
      <rPr>
        <sz val="14"/>
        <color theme="1"/>
        <rFont val="Times New Roman"/>
        <family val="1"/>
        <charset val="1"/>
      </rPr>
      <t>      Lower carbon footprint &amp; environmental benefits</t>
    </r>
  </si>
  <si>
    <r>
      <t>•</t>
    </r>
    <r>
      <rPr>
        <sz val="14"/>
        <color theme="1"/>
        <rFont val="Times New Roman"/>
        <family val="1"/>
        <charset val="1"/>
      </rPr>
      <t>      Educational initiatives for farmers on energy usage</t>
    </r>
  </si>
  <si>
    <r>
      <t>•</t>
    </r>
    <r>
      <rPr>
        <sz val="14"/>
        <color theme="1"/>
        <rFont val="Times New Roman"/>
        <family val="1"/>
        <charset val="1"/>
      </rPr>
      <t>      Government &amp; NGOs focused on sustainability</t>
    </r>
  </si>
  <si>
    <r>
      <t>•</t>
    </r>
    <r>
      <rPr>
        <sz val="14"/>
        <color theme="1"/>
        <rFont val="Times New Roman"/>
        <family val="1"/>
        <charset val="1"/>
      </rPr>
      <t>      Agricultural cooperatives &amp; farmers</t>
    </r>
  </si>
  <si>
    <r>
      <t>•</t>
    </r>
    <r>
      <rPr>
        <sz val="14"/>
        <color theme="1"/>
        <rFont val="Times New Roman"/>
        <family val="1"/>
        <charset val="1"/>
      </rPr>
      <t>      Monitoring &amp; data analysis for efficiency improvement</t>
    </r>
  </si>
  <si>
    <r>
      <t>•</t>
    </r>
    <r>
      <rPr>
        <sz val="14"/>
        <color theme="1"/>
        <rFont val="Times New Roman"/>
        <family val="1"/>
        <charset val="1"/>
      </rPr>
      <t>      Increased agricultural productivity through stable power</t>
    </r>
  </si>
  <si>
    <r>
      <t>•</t>
    </r>
    <r>
      <rPr>
        <sz val="14"/>
        <color theme="1"/>
        <rFont val="Times New Roman"/>
        <family val="1"/>
        <charset val="1"/>
      </rPr>
      <t>      Government &amp; community engagement for sustainability</t>
    </r>
  </si>
  <si>
    <r>
      <t>•</t>
    </r>
    <r>
      <rPr>
        <sz val="14"/>
        <color theme="1"/>
        <rFont val="Times New Roman"/>
        <family val="1"/>
        <charset val="1"/>
      </rPr>
      <t>      Renewable energy investors</t>
    </r>
  </si>
  <si>
    <t>Financial institutions (for loans &amp; subsidies)</t>
  </si>
  <si>
    <r>
      <t>•</t>
    </r>
    <r>
      <rPr>
        <sz val="14"/>
        <color theme="1"/>
        <rFont val="Times New Roman"/>
        <family val="1"/>
        <charset val="1"/>
      </rPr>
      <t>      Collaboration with agricultural partners for energy use</t>
    </r>
  </si>
  <si>
    <r>
      <t>•</t>
    </r>
    <r>
      <rPr>
        <sz val="14"/>
        <color theme="1"/>
        <rFont val="Times New Roman"/>
        <family val="1"/>
        <charset val="1"/>
      </rPr>
      <t>      Scalability for future energy expansion</t>
    </r>
  </si>
  <si>
    <r>
      <t>•</t>
    </r>
    <r>
      <rPr>
        <sz val="14"/>
        <color theme="1"/>
        <rFont val="Times New Roman"/>
        <family val="1"/>
        <charset val="1"/>
      </rPr>
      <t>      Potential sale of surplus energy to the grid</t>
    </r>
  </si>
  <si>
    <t>Key Resources</t>
  </si>
  <si>
    <t>Channels</t>
  </si>
  <si>
    <r>
      <t>•</t>
    </r>
    <r>
      <rPr>
        <sz val="14"/>
        <color theme="1"/>
        <rFont val="Times New Roman"/>
        <family val="1"/>
        <charset val="1"/>
      </rPr>
      <t>      Solar panels, inverters, and batteries</t>
    </r>
  </si>
  <si>
    <r>
      <t>•</t>
    </r>
    <r>
      <rPr>
        <sz val="14"/>
        <color theme="1"/>
        <rFont val="Times New Roman"/>
        <family val="1"/>
        <charset val="1"/>
      </rPr>
      <t>      Direct farm integration</t>
    </r>
  </si>
  <si>
    <r>
      <t>•</t>
    </r>
    <r>
      <rPr>
        <sz val="14"/>
        <color theme="1"/>
        <rFont val="Times New Roman"/>
        <family val="1"/>
        <charset val="1"/>
      </rPr>
      <t>      Human resources (technicians, engineers)</t>
    </r>
  </si>
  <si>
    <r>
      <t>•</t>
    </r>
    <r>
      <rPr>
        <sz val="14"/>
        <color theme="1"/>
        <rFont val="Times New Roman"/>
        <family val="1"/>
        <charset val="1"/>
      </rPr>
      <t>      Digital platforms for energy monitoring</t>
    </r>
  </si>
  <si>
    <r>
      <t>•</t>
    </r>
    <r>
      <rPr>
        <sz val="14"/>
        <color theme="1"/>
        <rFont val="Times New Roman"/>
        <family val="1"/>
        <charset val="1"/>
      </rPr>
      <t>      Financial support (grants, subsidies, private investment)</t>
    </r>
  </si>
  <si>
    <r>
      <t>•</t>
    </r>
    <r>
      <rPr>
        <sz val="14"/>
        <color theme="1"/>
        <rFont val="Times New Roman"/>
        <family val="1"/>
        <charset val="1"/>
      </rPr>
      <t>      Partnerships with agricultural cooperatives</t>
    </r>
  </si>
  <si>
    <r>
      <t>•</t>
    </r>
    <r>
      <rPr>
        <sz val="14"/>
        <color theme="1"/>
        <rFont val="Times New Roman"/>
        <family val="1"/>
        <charset val="1"/>
      </rPr>
      <t>      Infineon Sensors for real-time monitoring</t>
    </r>
  </si>
  <si>
    <r>
      <t>•</t>
    </r>
    <r>
      <rPr>
        <sz val="14"/>
        <color theme="1"/>
        <rFont val="Times New Roman"/>
        <family val="1"/>
        <charset val="1"/>
      </rPr>
      <t>      Local energy markets (potential energy sales)</t>
    </r>
  </si>
  <si>
    <r>
      <t>•</t>
    </r>
    <r>
      <rPr>
        <sz val="14"/>
        <color theme="1"/>
        <rFont val="Times New Roman"/>
        <family val="1"/>
        <charset val="1"/>
      </rPr>
      <t>      Research &amp; development (efficiency improvements)</t>
    </r>
  </si>
  <si>
    <t>Cost Structure</t>
  </si>
  <si>
    <t>Revenue Streams</t>
  </si>
  <si>
    <r>
      <t>•</t>
    </r>
    <r>
      <rPr>
        <sz val="14"/>
        <color theme="1"/>
        <rFont val="Times New Roman"/>
        <family val="1"/>
        <charset val="1"/>
      </rPr>
      <t>      Initial investment in solar panels &amp; inverters</t>
    </r>
  </si>
  <si>
    <r>
      <t>•</t>
    </r>
    <r>
      <rPr>
        <sz val="14"/>
        <color theme="1"/>
        <rFont val="Times New Roman"/>
        <family val="1"/>
        <charset val="1"/>
      </rPr>
      <t>      Cost savings on electricity consumption</t>
    </r>
  </si>
  <si>
    <r>
      <t>•</t>
    </r>
    <r>
      <rPr>
        <sz val="14"/>
        <color theme="1"/>
        <rFont val="Times New Roman"/>
        <family val="1"/>
        <charset val="1"/>
      </rPr>
      <t>      Maintenance &amp; operational costs</t>
    </r>
  </si>
  <si>
    <r>
      <t>•</t>
    </r>
    <r>
      <rPr>
        <sz val="14"/>
        <color theme="1"/>
        <rFont val="Times New Roman"/>
        <family val="1"/>
        <charset val="1"/>
      </rPr>
      <t>      Energy sales to the local grid</t>
    </r>
  </si>
  <si>
    <r>
      <t>•</t>
    </r>
    <r>
      <rPr>
        <sz val="14"/>
        <color theme="1"/>
        <rFont val="Times New Roman"/>
        <family val="1"/>
        <charset val="1"/>
      </rPr>
      <t>      Software &amp; monitoring system expenses</t>
    </r>
  </si>
  <si>
    <r>
      <t>•</t>
    </r>
    <r>
      <rPr>
        <sz val="14"/>
        <color theme="1"/>
        <rFont val="Times New Roman"/>
        <family val="1"/>
        <charset val="1"/>
      </rPr>
      <t>      Carbon credits &amp; environmental incentives</t>
    </r>
  </si>
  <si>
    <r>
      <t>•</t>
    </r>
    <r>
      <rPr>
        <sz val="14"/>
        <color theme="1"/>
        <rFont val="Times New Roman"/>
        <family val="1"/>
        <charset val="1"/>
      </rPr>
      <t>      Workforce &amp; training programs</t>
    </r>
  </si>
  <si>
    <r>
      <t>•</t>
    </r>
    <r>
      <rPr>
        <sz val="14"/>
        <color theme="1"/>
        <rFont val="Times New Roman"/>
        <family val="1"/>
        <charset val="1"/>
      </rPr>
      <t>      Potential partnerships &amp; sponsorships</t>
    </r>
  </si>
  <si>
    <t>Solar Tracking</t>
  </si>
  <si>
    <t>Tracking Structure (Motorized Supports)</t>
  </si>
  <si>
    <t>LDR Sensors (Sunlight Detection)</t>
  </si>
  <si>
    <t>Control System</t>
  </si>
  <si>
    <t xml:space="preserve"> Motor</t>
  </si>
  <si>
    <t>TOTAL</t>
  </si>
  <si>
    <t>Unit Price (FCFA)</t>
  </si>
  <si>
    <t>—</t>
  </si>
  <si>
    <t>Estimated Quantity</t>
  </si>
  <si>
    <t>Total Cost (FCFA)</t>
  </si>
  <si>
    <t>Payback Period (Years)</t>
  </si>
  <si>
    <t>Minimum Estimate (10% gain)</t>
  </si>
  <si>
    <t>Maximum Estimate (25% gain)</t>
  </si>
  <si>
    <t>Grid Electricity Price (FCFA/kWh)</t>
  </si>
  <si>
    <t>Annual Savings (FCFA)</t>
  </si>
  <si>
    <t>Carbon footprint estimation</t>
  </si>
  <si>
    <t>Additional Energy (kWh)</t>
  </si>
  <si>
    <t>Carbon Footprint Avoided per kWh (gCO2eq/kWh)</t>
  </si>
  <si>
    <t>Carbon Footprint Avoided (gCO2eq)</t>
  </si>
  <si>
    <t>Carbon Footprint Avoided ( Tons CO2eq)</t>
  </si>
  <si>
    <t>No-Reesa (voice translation app)</t>
  </si>
  <si>
    <t>No Reesa means  interpreter in our local language(Moore)</t>
  </si>
  <si>
    <t>Moore is the most spoken langage with 52.9% of speakers in Burkina Faso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</si>
  <si>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</si>
  <si>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</si>
  <si>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</si>
  <si>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</si>
  <si>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</si>
  <si>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</si>
  <si>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</si>
  <si>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</si>
  <si>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</si>
  <si>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</si>
  <si>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</si>
  <si>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Plant</t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</si>
  <si>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</si>
  <si>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</si>
  <si>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</si>
  <si>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</si>
  <si>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</si>
  <si>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</si>
  <si>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</si>
  <si>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Importance of Voice translation in the Farm</t>
  </si>
  <si>
    <t>without voice translation app per year</t>
  </si>
  <si>
    <t>with voice translation app per year</t>
  </si>
  <si>
    <t>total profit using translation app</t>
  </si>
  <si>
    <t>%</t>
  </si>
  <si>
    <t>visitors number</t>
  </si>
  <si>
    <t>amount of money get (million xof)</t>
  </si>
  <si>
    <t>amount of money spent for hiring interpreters (million xof)</t>
  </si>
  <si>
    <t>BUSINESS MODEL CANVAS</t>
  </si>
  <si>
    <t>Moore language experts</t>
  </si>
  <si>
    <t>Data Collection &amp; Labeling for Moore Language</t>
  </si>
  <si>
    <t>Unleash Language Barriers between English speakers and Moore speakers</t>
  </si>
  <si>
    <t>Social Media &amp; Community Engagement</t>
  </si>
  <si>
    <t>Farm managers</t>
  </si>
  <si>
    <t>AI/ML Developers &amp; Engineers</t>
  </si>
  <si>
    <t xml:space="preserve">AI Model Training &amp; Optimization </t>
  </si>
  <si>
    <t>Travelers &amp; Tourists</t>
  </si>
  <si>
    <t>Universities &amp; Research Institutions</t>
  </si>
  <si>
    <t>Mobile App Development &amp; Maintenance (Flutter, FastAPI)</t>
  </si>
  <si>
    <t>Government &amp; NGOs</t>
  </si>
  <si>
    <t>Cloud Service Providers (e.g., Google Cloud, AWS, or Azure)</t>
  </si>
  <si>
    <t>Marketing &amp; Partnership Building</t>
  </si>
  <si>
    <t>Real-time Voice Translation for quick communication</t>
  </si>
  <si>
    <t>Customer Support &amp; Feedback Collection</t>
  </si>
  <si>
    <t>Time &amp; Cost Saving For Farmers and their visitors</t>
  </si>
  <si>
    <t>Trained AI Model &amp; Voice Data</t>
  </si>
  <si>
    <t>Mobile App (Google Play Store, Apple App Store)</t>
  </si>
  <si>
    <t>Mobile App (Flutter) &amp; Backend API (FastAPI)</t>
  </si>
  <si>
    <t>Cloud Infrastructure (for hosting &amp; processing)</t>
  </si>
  <si>
    <t>Social Media (Facebook, Twitter, LinkedIn)</t>
  </si>
  <si>
    <t>Technical Team (AI Engineers, Developers, Linguists)</t>
  </si>
  <si>
    <t>AI Model Development &amp; Training</t>
  </si>
  <si>
    <t>Freemium Model (Basic free version, premium features via subscription)</t>
  </si>
  <si>
    <t>Mobile App &amp; Backend Server Maintenance</t>
  </si>
  <si>
    <t>B2B Partnerships (Businesses</t>
  </si>
  <si>
    <t>Cloud Storage &amp; API Hosting Costs</t>
  </si>
  <si>
    <t>Government &amp; NGO Grants (For language development projects)</t>
  </si>
  <si>
    <t>Team Salaries &amp; Consultants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</si>
  <si>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</si>
  <si>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</si>
  <si>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</si>
  <si>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</si>
  <si>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</si>
  <si>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</si>
  <si>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</si>
  <si>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</si>
  <si>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</si>
  <si>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</si>
  <si>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</si>
  <si>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</si>
  <si>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</si>
  <si>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</si>
  <si>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</si>
  <si>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</si>
  <si>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</si>
  <si>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</si>
  <si>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</si>
  <si>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</si>
  <si>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</si>
  <si>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</si>
  <si>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</si>
  <si>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</si>
  <si>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</si>
  <si>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</si>
  <si>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</si>
  <si>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</si>
  <si>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</si>
  <si>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</si>
  <si>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</si>
  <si>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</si>
  <si>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Annual deficit (millions XOF) |                                                                           3 500 000</t>
  </si>
  <si>
    <t>Annual deficit (XOF) |                             600 000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</si>
  <si>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</si>
  <si>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</si>
  <si>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</si>
  <si>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Seasonal deficit (millions XOF) |                                                                        1 200 000</t>
  </si>
  <si>
    <t>Seasonal deficit (XOF) |                             300 000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</si>
  <si>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</si>
  <si>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</si>
  <si>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</si>
  <si>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</si>
  <si>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</si>
  <si>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</si>
  <si>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</si>
  <si>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</si>
  <si>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</si>
  <si>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the farm stores its tools, equipment, fertilizer, crops, or other valuable resources.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~3 500 000 per year.
Impact With Face Recognition:
Only authorized personnel can enter the storage area.
Fewer thefts, access tracking, reduced losses (~1 200 000 per year).
Damage Reduction: Around 83%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</si>
  <si>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~600 000 per season.
Impact With Face Recognition:
Only authorized technicians or personnel can activate irrigation.
Water savings and reduced bills (~300 000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</si>
  <si>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</si>
  <si>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Economic Impact: With vs. Without Connected Irrigation_x000D_</t>
  </si>
  <si>
    <t>Scenario</t>
  </si>
  <si>
    <t>Irrigation Cost</t>
  </si>
  <si>
    <t>Agricultural Yield</t>
  </si>
  <si>
    <t>Revenue Generated</t>
  </si>
  <si>
    <t>Without connected
irrigation</t>
  </si>
  <si>
    <t>Low cost (manual)</t>
  </si>
  <si>
    <t>30-40% crop loss</t>
  </si>
  <si>
    <t>Limited revenue</t>
  </si>
  <si>
    <t>With connected
irrigation</t>
  </si>
  <si>
    <t>Initial investment,
but optimized</t>
  </si>
  <si>
    <t>+30% yield (less
water waste)</t>
  </si>
  <si>
    <t>Increased profit</t>
  </si>
  <si>
    <t>SWOT Analysis With Mitigation Measures</t>
  </si>
  <si>
    <t xml:space="preserve">Factor </t>
  </si>
  <si>
    <t xml:space="preserve">Strengths </t>
  </si>
  <si>
    <t>Weaknesses &amp;Mitigation</t>
  </si>
  <si>
    <t xml:space="preserve">Opportunities </t>
  </si>
  <si>
    <t>Threats &amp; Mitigation</t>
  </si>
  <si>
    <t>Connected System</t>
  </si>
  <si>
    <t>Resource optimization</t>
  </si>
  <si>
    <t>High initial cost→ Subsidies &amp; agricultural grants</t>
  </si>
  <si>
    <t>Automation &amp; AI</t>
  </si>
  <si>
    <t>Tech dependency → Manual backup plans</t>
  </si>
  <si>
    <t>Security</t>
  </si>
  <si>
    <t>Controlled access to equipment</t>
  </si>
  <si>
    <t>Requires training → Simplify user interface_x000D_</t>
  </si>
  <si>
    <t>Protects infrastructure_x000D_</t>
  </si>
  <si>
    <t>Cyber risks → Firewalls &amp; cybersecurity protocols</t>
  </si>
  <si>
    <t>Irrigation</t>
  </si>
  <si>
    <t>Reduced water waste_x000D_</t>
  </si>
  <si>
    <t>Requires maintenance → Self-diagnostic sensors</t>
  </si>
  <si>
    <t>Increased yield</t>
  </si>
  <si>
    <t>Climate change → Predictive climate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</si>
</sst>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-* #,##0\ [$CFA-340C]_-;\-* #,##0\ [$CFA-340C]_-;_-* &quot;-&quot;\ [$CFA-340C]_-;_-@_-"/>
    <numFmt numFmtId="165" formatCode="#,##0\ [$CFA-340C]"/>
    <numFmt numFmtId="166" formatCode="_([$€-2]\ * #,##0.00_);_([$€-2]\ * \(#,##0.00\);_([$€-2]\ * &quot;-&quot;??_);_(@_)"/>
    <numFmt numFmtId="167" formatCode="_(* #,##0_);_(* \(#,##0\);_(* &quot;-&quot;??_);_(@_)"/>
    <numFmt numFmtId="168" formatCode="0.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</font>
    <font>
      <b/>
      <sz val="16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12"/>
      <color theme="1"/>
      <name val="Arial"/>
    </font>
    <font>
      <sz val="11"/>
      <color rgb="FF242424"/>
      <name val="Arial"/>
    </font>
    <font>
      <sz val="1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sz val="12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sz val="14"/>
      <color rgb="FF1D1D1D"/>
      <name val="Calibri"/>
      <scheme val="minor"/>
    </font>
    <font>
      <b/>
      <sz val="14"/>
      <color rgb="FF1D1D1D"/>
      <name val="Calibri"/>
      <scheme val="minor"/>
    </font>
    <font>
      <b/>
      <sz val="11"/>
      <color rgb="FF0070C0"/>
      <name val="Arial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sz val="11"/>
      <color theme="0"/>
      <name val="Arial"/>
    </font>
    <font>
      <b/>
      <sz val="36"/>
      <color theme="0"/>
      <name val="Arial"/>
      <family val="2"/>
    </font>
    <font>
      <b/>
      <sz val="12"/>
      <color rgb="FF1D1D1D"/>
      <name val="Times New Roman"/>
    </font>
    <font>
      <sz val="11"/>
      <color rgb="FF1D1D1D"/>
      <name val="Calibri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</font>
    <font>
      <sz val="18"/>
      <color theme="1"/>
      <name val="Calibri"/>
      <family val="2"/>
      <scheme val="minor"/>
    </font>
    <font>
      <sz val="18"/>
      <color theme="1"/>
      <name val="Times New Roman"/>
    </font>
    <font>
      <b/>
      <sz val="1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charset val="1"/>
    </font>
    <font>
      <sz val="12"/>
      <color theme="0"/>
      <name val="Times New Roman"/>
      <family val="1"/>
      <charset val="1"/>
    </font>
    <font>
      <sz val="14"/>
      <color theme="0"/>
      <name val="Arial"/>
    </font>
    <font>
      <sz val="12"/>
      <color theme="0"/>
      <name val="Arial"/>
    </font>
    <font>
      <b/>
      <sz val="26"/>
      <color rgb="FF1D1D1D"/>
      <name val="Book Antiqua"/>
    </font>
    <font>
      <sz val="11"/>
      <color theme="1"/>
      <name val="Times New Roman"/>
    </font>
    <font>
      <sz val="72"/>
      <color rgb="FF1D1D1D"/>
      <name val="Times New Roman"/>
    </font>
    <font>
      <sz val="12"/>
      <color theme="1"/>
      <name val="Calibri"/>
      <scheme val="minor"/>
    </font>
    <font>
      <b/>
      <sz val="11"/>
      <color rgb="FF1D1D1D"/>
      <name val="Calibri"/>
      <charset val="1"/>
    </font>
    <font>
      <sz val="20"/>
      <color theme="1"/>
      <name val="Arial"/>
    </font>
    <font>
      <sz val="12"/>
      <color rgb="FFFFFFFF"/>
      <name val="Arial"/>
    </font>
    <font>
      <sz val="11"/>
      <color rgb="FF1D1D1D"/>
      <name val="Arial"/>
      <family val="2"/>
    </font>
    <font>
      <b/>
      <sz val="15"/>
      <color rgb="FFFFFFFF"/>
      <name val="Arial"/>
      <family val="2"/>
    </font>
    <font>
      <b/>
      <sz val="15"/>
      <color rgb="FF1D1D1D"/>
      <name val="Arial"/>
      <family val="2"/>
    </font>
    <font>
      <sz val="12"/>
      <color rgb="FF545454"/>
      <name val="-Apple-System"/>
      <charset val="1"/>
    </font>
    <font>
      <b/>
      <sz val="15"/>
      <color theme="0"/>
      <name val="Arial"/>
      <family val="2"/>
    </font>
    <font>
      <sz val="14"/>
      <color theme="0"/>
      <name val="Arial"/>
      <family val="2"/>
    </font>
    <font>
      <sz val="11"/>
      <color theme="3"/>
      <name val="Arial"/>
      <family val="2"/>
    </font>
    <font>
      <b/>
      <sz val="15"/>
      <color theme="3"/>
      <name val="Arial"/>
    </font>
    <font>
      <b/>
      <sz val="11"/>
      <color theme="1"/>
      <name val="Times New Roman"/>
    </font>
    <font>
      <b/>
      <sz val="16"/>
      <color rgb="FF1D1D1D"/>
      <name val="Calibri"/>
      <family val="2"/>
      <scheme val="minor"/>
    </font>
    <font>
      <b/>
      <sz val="12"/>
      <color theme="1"/>
      <name val="Times New Roman"/>
    </font>
    <font>
      <b/>
      <sz val="20"/>
      <color theme="0"/>
      <name val="Times New Roman"/>
    </font>
    <font>
      <b/>
      <sz val="11"/>
      <color theme="3"/>
      <name val="Arial"/>
    </font>
    <font>
      <b/>
      <sz val="26"/>
      <color rgb="FF0070C0"/>
      <name val="Calibri"/>
      <charset val="1"/>
    </font>
    <font>
      <sz val="36"/>
      <color theme="1"/>
      <name val="Times New Roman"/>
    </font>
    <font>
      <b/>
      <sz val="36"/>
      <color theme="1"/>
      <name val="Times New Roman"/>
    </font>
    <font>
      <b/>
      <sz val="36"/>
      <color rgb="FF1D1D1D"/>
      <name val="Times New Roman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1D1D1D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1D1D1D"/>
      <name val="Calibri"/>
      <scheme val="minor"/>
    </font>
    <font>
      <b/>
      <sz val="14"/>
      <color rgb="FF000000"/>
      <name val="Times New Roman"/>
    </font>
    <font>
      <b/>
      <u/>
      <sz val="16"/>
      <color rgb="FF1D1D1D"/>
      <name val="Calibri"/>
      <scheme val="minor"/>
    </font>
    <font>
      <sz val="12"/>
      <color theme="1"/>
      <name val="Segoe UI Emoji"/>
      <family val="2"/>
      <charset val="1"/>
    </font>
    <font>
      <b/>
      <sz val="12"/>
      <color theme="1"/>
      <name val="Segoe UI Emoji"/>
      <charset val="1"/>
    </font>
    <font>
      <b/>
      <sz val="12"/>
      <color theme="1"/>
      <name val="Segoe UI Symbol"/>
      <charset val="1"/>
    </font>
    <font>
      <sz val="12"/>
      <color theme="1"/>
      <name val="Segoe UI Emoji"/>
      <charset val="1"/>
    </font>
    <font>
      <sz val="11"/>
      <color theme="1"/>
      <name val="Calibri"/>
      <charset val="1"/>
    </font>
    <font>
      <sz val="12"/>
      <color rgb="FF1D1D1D"/>
      <name val="Segoe UI Emoji"/>
    </font>
    <font>
      <sz val="12"/>
      <color rgb="FF1D1D1D"/>
      <name val="Times New Roman"/>
    </font>
    <font>
      <sz val="12"/>
      <color rgb="FF1D1D1D"/>
      <name val="Segoe UI Emoji"/>
      <charset val="1"/>
    </font>
    <font>
      <b/>
      <sz val="24"/>
      <color theme="1"/>
      <name val="Times New Roman"/>
      <family val="1"/>
      <charset val="1"/>
    </font>
    <font>
      <sz val="14"/>
      <color theme="1"/>
      <name val="Times New Roman"/>
      <family val="1"/>
      <charset val="1"/>
    </font>
    <font>
      <sz val="14"/>
      <color theme="1"/>
      <name val="Arial"/>
      <family val="2"/>
      <charset val="1"/>
    </font>
    <font>
      <sz val="24"/>
      <color theme="1"/>
      <name val="Calibri"/>
      <family val="2"/>
      <scheme val="minor"/>
    </font>
    <font>
      <b/>
      <sz val="20"/>
      <color theme="3"/>
      <name val="Times New Roman"/>
    </font>
    <font>
      <b/>
      <sz val="14"/>
      <color theme="1"/>
      <name val="Times New Roman"/>
    </font>
    <font>
      <sz val="11"/>
      <color rgb="FF1D1D1D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8276"/>
        <bgColor indexed="64"/>
      </patternFill>
    </fill>
    <fill>
      <patternFill patternType="solid">
        <fgColor rgb="FF0A827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1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medium">
        <color rgb="FF078276"/>
      </left>
      <right style="medium">
        <color rgb="FF078276"/>
      </right>
      <top style="medium">
        <color rgb="FF078276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rgb="FF000000"/>
      </bottom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/>
      <bottom/>
      <diagonal/>
    </border>
    <border>
      <left style="thin">
        <color rgb="FF000000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D1D1D"/>
      </left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/>
      <top style="thin">
        <color rgb="FF1D1D1D"/>
      </top>
      <bottom style="thin">
        <color rgb="FF1D1D1D"/>
      </bottom>
      <diagonal/>
    </border>
    <border>
      <left style="thin">
        <color rgb="FFE5E9F0"/>
      </left>
      <right style="thin">
        <color rgb="FFE5E9F0"/>
      </right>
      <top style="thin">
        <color rgb="FFE5E9F0"/>
      </top>
      <bottom style="thin">
        <color rgb="FFE5E9F0"/>
      </bottom>
      <diagonal/>
    </border>
    <border>
      <left style="medium">
        <color rgb="FF078276"/>
      </left>
      <right style="medium">
        <color rgb="FF078276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78276"/>
      </right>
      <top/>
      <bottom/>
      <diagonal/>
    </border>
    <border>
      <left style="thin">
        <color rgb="FF078276"/>
      </left>
      <right style="thin">
        <color rgb="FF078276"/>
      </right>
      <top/>
      <bottom/>
      <diagonal/>
    </border>
    <border>
      <left style="thin">
        <color rgb="FF078276"/>
      </left>
      <right/>
      <top/>
      <bottom/>
      <diagonal/>
    </border>
    <border>
      <left/>
      <right/>
      <top style="thin">
        <color rgb="FF078276"/>
      </top>
      <bottom/>
      <diagonal/>
    </border>
    <border>
      <left/>
      <right/>
      <top/>
      <bottom style="thin">
        <color rgb="FF078276"/>
      </bottom>
      <diagonal/>
    </border>
    <border>
      <left/>
      <right style="thin">
        <color rgb="FF078276"/>
      </right>
      <top style="thin">
        <color rgb="FF078276"/>
      </top>
      <bottom/>
      <diagonal/>
    </border>
    <border>
      <left/>
      <right style="thin">
        <color rgb="FF078276"/>
      </right>
      <top/>
      <bottom style="thin">
        <color rgb="FF078276"/>
      </bottom>
      <diagonal/>
    </border>
    <border>
      <left style="thin">
        <color rgb="FF078276"/>
      </left>
      <right/>
      <top style="thin">
        <color rgb="FF078276"/>
      </top>
      <bottom/>
      <diagonal/>
    </border>
    <border>
      <left style="thin">
        <color rgb="FF078276"/>
      </left>
      <right/>
      <top/>
      <bottom style="thin">
        <color rgb="FF078276"/>
      </bottom>
      <diagonal/>
    </border>
    <border>
      <left style="thin">
        <color rgb="FF078276"/>
      </left>
      <right style="thin">
        <color rgb="FF078276"/>
      </right>
      <top style="thin">
        <color rgb="FF078276"/>
      </top>
      <bottom/>
      <diagonal/>
    </border>
    <border>
      <left style="thin">
        <color rgb="FF078276"/>
      </left>
      <right style="thin">
        <color rgb="FF078276"/>
      </right>
      <top/>
      <bottom style="thin">
        <color rgb="FF078276"/>
      </bottom>
      <diagonal/>
    </border>
    <border>
      <left style="thin">
        <color rgb="FF078276"/>
      </left>
      <right/>
      <top style="thin">
        <color rgb="FF078276"/>
      </top>
      <bottom style="thin">
        <color rgb="FF078276"/>
      </bottom>
      <diagonal/>
    </border>
    <border>
      <left/>
      <right/>
      <top style="thin">
        <color rgb="FF078276"/>
      </top>
      <bottom style="thin">
        <color rgb="FF078276"/>
      </bottom>
      <diagonal/>
    </border>
    <border>
      <left/>
      <right style="thin">
        <color rgb="FF078276"/>
      </right>
      <top style="thin">
        <color rgb="FF078276"/>
      </top>
      <bottom style="thin">
        <color rgb="FF07827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7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0" fillId="0" borderId="0" xfId="0" applyBorder="1"/>
    <xf numFmtId="0" fontId="6" fillId="0" borderId="0" xfId="0" applyFont="1"/>
    <xf numFmtId="0" fontId="9" fillId="0" borderId="14" xfId="0" applyFont="1" applyBorder="1"/>
    <xf numFmtId="0" fontId="8" fillId="0" borderId="0" xfId="0" applyFont="1"/>
    <xf numFmtId="0" fontId="10" fillId="0" borderId="0" xfId="0" applyFont="1"/>
    <xf numFmtId="0" fontId="13" fillId="0" borderId="4" xfId="0" applyFont="1" applyBorder="1"/>
    <xf numFmtId="0" fontId="13" fillId="0" borderId="4" xfId="0" quotePrefix="1" applyFont="1" applyBorder="1"/>
    <xf numFmtId="0" fontId="13" fillId="0" borderId="5" xfId="0" applyFont="1" applyBorder="1"/>
    <xf numFmtId="0" fontId="13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2" xfId="0" quotePrefix="1" applyFont="1" applyBorder="1"/>
    <xf numFmtId="0" fontId="13" fillId="0" borderId="23" xfId="0" applyFont="1" applyBorder="1"/>
    <xf numFmtId="0" fontId="5" fillId="0" borderId="0" xfId="0" applyFont="1" applyBorder="1"/>
    <xf numFmtId="0" fontId="14" fillId="0" borderId="0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27" xfId="0" applyFont="1" applyBorder="1"/>
    <xf numFmtId="0" fontId="12" fillId="0" borderId="0" xfId="0" applyFont="1" applyBorder="1"/>
    <xf numFmtId="0" fontId="13" fillId="0" borderId="0" xfId="0" applyFont="1" applyBorder="1"/>
    <xf numFmtId="0" fontId="2" fillId="0" borderId="0" xfId="0" applyFont="1" applyAlignment="1"/>
    <xf numFmtId="0" fontId="2" fillId="0" borderId="15" xfId="0" applyFont="1" applyBorder="1"/>
    <xf numFmtId="0" fontId="17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9" fillId="0" borderId="24" xfId="0" applyFont="1" applyBorder="1"/>
    <xf numFmtId="0" fontId="9" fillId="0" borderId="32" xfId="0" applyFont="1" applyBorder="1"/>
    <xf numFmtId="0" fontId="2" fillId="0" borderId="0" xfId="0" applyFont="1" applyFill="1"/>
    <xf numFmtId="0" fontId="2" fillId="0" borderId="1" xfId="0" applyFont="1" applyBorder="1"/>
    <xf numFmtId="0" fontId="29" fillId="0" borderId="1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0" xfId="0" applyFont="1" applyBorder="1"/>
    <xf numFmtId="0" fontId="2" fillId="0" borderId="36" xfId="0" applyFont="1" applyBorder="1"/>
    <xf numFmtId="0" fontId="14" fillId="0" borderId="28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46" xfId="0" applyFont="1" applyBorder="1"/>
    <xf numFmtId="0" fontId="2" fillId="0" borderId="47" xfId="0" applyFont="1" applyBorder="1"/>
    <xf numFmtId="0" fontId="30" fillId="0" borderId="29" xfId="0" applyFont="1" applyBorder="1" applyAlignment="1">
      <alignment horizontal="left" vertical="center" indent="3"/>
    </xf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28" xfId="0" applyFont="1" applyBorder="1"/>
    <xf numFmtId="0" fontId="2" fillId="0" borderId="7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2" fillId="0" borderId="0" xfId="0" applyFont="1"/>
    <xf numFmtId="0" fontId="22" fillId="0" borderId="28" xfId="0" applyFont="1" applyBorder="1"/>
    <xf numFmtId="0" fontId="22" fillId="0" borderId="52" xfId="0" applyFont="1" applyBorder="1"/>
    <xf numFmtId="0" fontId="29" fillId="0" borderId="0" xfId="0" applyFont="1" applyAlignment="1">
      <alignment horizontal="left" vertical="center" wrapText="1"/>
    </xf>
    <xf numFmtId="0" fontId="22" fillId="0" borderId="0" xfId="0" applyFont="1" applyAlignment="1"/>
    <xf numFmtId="0" fontId="2" fillId="0" borderId="12" xfId="0" applyFont="1" applyBorder="1"/>
    <xf numFmtId="0" fontId="22" fillId="0" borderId="48" xfId="0" applyFont="1" applyBorder="1"/>
    <xf numFmtId="0" fontId="22" fillId="0" borderId="27" xfId="0" applyFont="1" applyBorder="1"/>
    <xf numFmtId="0" fontId="22" fillId="0" borderId="49" xfId="0" applyFont="1" applyBorder="1"/>
    <xf numFmtId="164" fontId="2" fillId="0" borderId="51" xfId="0" applyNumberFormat="1" applyFont="1" applyBorder="1" applyAlignment="1">
      <alignment horizontal="center"/>
    </xf>
    <xf numFmtId="164" fontId="22" fillId="0" borderId="51" xfId="0" applyNumberFormat="1" applyFont="1" applyBorder="1" applyAlignment="1">
      <alignment horizontal="center"/>
    </xf>
    <xf numFmtId="165" fontId="2" fillId="0" borderId="51" xfId="0" applyNumberFormat="1" applyFont="1" applyBorder="1" applyAlignment="1">
      <alignment horizont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33" fillId="0" borderId="0" xfId="0" applyFont="1"/>
    <xf numFmtId="0" fontId="33" fillId="0" borderId="0" xfId="0" quotePrefix="1" applyFont="1"/>
    <xf numFmtId="0" fontId="5" fillId="0" borderId="1" xfId="0" applyFont="1" applyBorder="1"/>
    <xf numFmtId="3" fontId="0" fillId="0" borderId="1" xfId="0" applyNumberFormat="1" applyBorder="1"/>
    <xf numFmtId="0" fontId="5" fillId="0" borderId="3" xfId="0" applyFont="1" applyBorder="1"/>
    <xf numFmtId="0" fontId="5" fillId="0" borderId="11" xfId="0" applyFont="1" applyBorder="1"/>
    <xf numFmtId="0" fontId="5" fillId="0" borderId="8" xfId="0" applyFont="1" applyBorder="1"/>
    <xf numFmtId="0" fontId="5" fillId="0" borderId="13" xfId="0" applyFont="1" applyBorder="1"/>
    <xf numFmtId="0" fontId="0" fillId="0" borderId="28" xfId="0" applyBorder="1"/>
    <xf numFmtId="3" fontId="0" fillId="0" borderId="0" xfId="0" applyNumberFormat="1" applyBorder="1"/>
    <xf numFmtId="0" fontId="3" fillId="0" borderId="0" xfId="0" applyFont="1" applyAlignment="1">
      <alignment wrapText="1"/>
    </xf>
    <xf numFmtId="3" fontId="5" fillId="0" borderId="0" xfId="0" applyNumberFormat="1" applyFont="1" applyBorder="1"/>
    <xf numFmtId="3" fontId="0" fillId="0" borderId="28" xfId="0" applyNumberFormat="1" applyBorder="1"/>
    <xf numFmtId="0" fontId="2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0" fillId="6" borderId="25" xfId="0" applyFont="1" applyFill="1" applyBorder="1" applyAlignment="1">
      <alignment horizontal="center" vertical="center"/>
    </xf>
    <xf numFmtId="0" fontId="40" fillId="6" borderId="25" xfId="0" applyFont="1" applyFill="1" applyBorder="1" applyAlignment="1">
      <alignment horizontal="center" vertical="center" wrapText="1"/>
    </xf>
    <xf numFmtId="0" fontId="39" fillId="6" borderId="16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36" xfId="0" applyFont="1" applyBorder="1"/>
    <xf numFmtId="0" fontId="2" fillId="0" borderId="37" xfId="0" applyFont="1" applyBorder="1"/>
    <xf numFmtId="0" fontId="2" fillId="0" borderId="64" xfId="0" applyFont="1" applyBorder="1"/>
    <xf numFmtId="0" fontId="2" fillId="0" borderId="57" xfId="0" applyFont="1" applyBorder="1"/>
    <xf numFmtId="0" fontId="2" fillId="0" borderId="66" xfId="0" applyFont="1" applyBorder="1"/>
    <xf numFmtId="166" fontId="2" fillId="0" borderId="13" xfId="0" applyNumberFormat="1" applyFont="1" applyBorder="1" applyAlignment="1">
      <alignment horizontal="center" vertical="center"/>
    </xf>
    <xf numFmtId="0" fontId="41" fillId="0" borderId="0" xfId="0" applyFont="1" applyFill="1" applyBorder="1"/>
    <xf numFmtId="0" fontId="2" fillId="0" borderId="29" xfId="0" applyFont="1" applyBorder="1"/>
    <xf numFmtId="0" fontId="20" fillId="0" borderId="0" xfId="0" applyFont="1" applyFill="1" applyBorder="1" applyAlignment="1">
      <alignment vertical="center"/>
    </xf>
    <xf numFmtId="167" fontId="2" fillId="0" borderId="51" xfId="0" applyNumberFormat="1" applyFont="1" applyBorder="1" applyAlignment="1">
      <alignment horizontal="center"/>
    </xf>
    <xf numFmtId="0" fontId="2" fillId="0" borderId="69" xfId="0" applyFont="1" applyBorder="1"/>
    <xf numFmtId="0" fontId="2" fillId="0" borderId="70" xfId="0" applyFont="1" applyBorder="1"/>
    <xf numFmtId="0" fontId="2" fillId="0" borderId="71" xfId="0" applyFont="1" applyBorder="1"/>
    <xf numFmtId="165" fontId="2" fillId="0" borderId="72" xfId="0" applyNumberFormat="1" applyFont="1" applyBorder="1" applyAlignment="1">
      <alignment horizontal="center"/>
    </xf>
    <xf numFmtId="0" fontId="2" fillId="0" borderId="73" xfId="0" applyFont="1" applyBorder="1"/>
    <xf numFmtId="0" fontId="2" fillId="0" borderId="74" xfId="0" applyFont="1" applyBorder="1"/>
    <xf numFmtId="3" fontId="13" fillId="0" borderId="4" xfId="0" applyNumberFormat="1" applyFont="1" applyBorder="1"/>
    <xf numFmtId="3" fontId="13" fillId="0" borderId="22" xfId="0" applyNumberFormat="1" applyFont="1" applyBorder="1"/>
    <xf numFmtId="0" fontId="13" fillId="0" borderId="17" xfId="0" quotePrefix="1" applyFont="1" applyBorder="1"/>
    <xf numFmtId="0" fontId="43" fillId="0" borderId="21" xfId="0" applyFont="1" applyBorder="1"/>
    <xf numFmtId="0" fontId="14" fillId="0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indent="1"/>
    </xf>
    <xf numFmtId="0" fontId="44" fillId="0" borderId="1" xfId="0" applyFont="1" applyFill="1" applyBorder="1" applyAlignment="1">
      <alignment horizontal="center" vertical="center"/>
    </xf>
    <xf numFmtId="10" fontId="5" fillId="0" borderId="26" xfId="0" applyNumberFormat="1" applyFont="1" applyBorder="1"/>
    <xf numFmtId="10" fontId="5" fillId="0" borderId="16" xfId="0" applyNumberFormat="1" applyFont="1" applyBorder="1"/>
    <xf numFmtId="9" fontId="5" fillId="0" borderId="16" xfId="0" applyNumberFormat="1" applyFont="1" applyBorder="1"/>
    <xf numFmtId="0" fontId="5" fillId="0" borderId="2" xfId="0" applyFont="1" applyBorder="1"/>
    <xf numFmtId="3" fontId="0" fillId="0" borderId="2" xfId="0" applyNumberFormat="1" applyBorder="1"/>
    <xf numFmtId="0" fontId="5" fillId="0" borderId="30" xfId="0" applyFont="1" applyBorder="1"/>
    <xf numFmtId="3" fontId="5" fillId="0" borderId="7" xfId="0" applyNumberFormat="1" applyFont="1" applyBorder="1"/>
    <xf numFmtId="0" fontId="5" fillId="0" borderId="7" xfId="0" applyFont="1" applyBorder="1"/>
    <xf numFmtId="0" fontId="31" fillId="0" borderId="0" xfId="0" applyFont="1"/>
    <xf numFmtId="0" fontId="0" fillId="0" borderId="1" xfId="0" applyBorder="1" applyAlignment="1">
      <alignment horizontal="left" vertical="center"/>
    </xf>
    <xf numFmtId="0" fontId="47" fillId="19" borderId="1" xfId="0" applyFont="1" applyFill="1" applyBorder="1" applyAlignment="1">
      <alignment horizontal="center" vertical="center"/>
    </xf>
    <xf numFmtId="0" fontId="48" fillId="19" borderId="1" xfId="0" applyFont="1" applyFill="1" applyBorder="1" applyAlignment="1">
      <alignment horizontal="center" vertical="center"/>
    </xf>
    <xf numFmtId="0" fontId="47" fillId="19" borderId="3" xfId="0" applyFont="1" applyFill="1" applyBorder="1" applyAlignment="1">
      <alignment horizontal="center" vertical="center"/>
    </xf>
    <xf numFmtId="0" fontId="50" fillId="0" borderId="0" xfId="0" applyFont="1"/>
    <xf numFmtId="0" fontId="49" fillId="6" borderId="11" xfId="0" applyFont="1" applyFill="1" applyBorder="1" applyAlignment="1">
      <alignment horizontal="center" vertical="center"/>
    </xf>
    <xf numFmtId="0" fontId="49" fillId="6" borderId="3" xfId="0" applyFont="1" applyFill="1" applyBorder="1" applyAlignment="1">
      <alignment horizontal="center" vertical="center"/>
    </xf>
    <xf numFmtId="0" fontId="49" fillId="6" borderId="13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vertical="center" wrapText="1"/>
    </xf>
    <xf numFmtId="0" fontId="52" fillId="9" borderId="4" xfId="0" applyFont="1" applyFill="1" applyBorder="1" applyAlignment="1">
      <alignment horizontal="center" vertical="center"/>
    </xf>
    <xf numFmtId="0" fontId="52" fillId="9" borderId="5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29" fillId="0" borderId="18" xfId="0" applyFont="1" applyFill="1" applyBorder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0" xfId="0" applyFont="1"/>
    <xf numFmtId="3" fontId="51" fillId="0" borderId="0" xfId="0" applyNumberFormat="1" applyFont="1"/>
    <xf numFmtId="0" fontId="51" fillId="0" borderId="0" xfId="0" quotePrefix="1" applyFont="1"/>
    <xf numFmtId="0" fontId="52" fillId="10" borderId="4" xfId="0" applyFont="1" applyFill="1" applyBorder="1" applyAlignment="1">
      <alignment horizontal="center"/>
    </xf>
    <xf numFmtId="0" fontId="52" fillId="10" borderId="5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/>
    </xf>
    <xf numFmtId="0" fontId="52" fillId="12" borderId="19" xfId="0" applyFont="1" applyFill="1" applyBorder="1" applyAlignment="1">
      <alignment horizontal="center" vertical="center"/>
    </xf>
    <xf numFmtId="0" fontId="52" fillId="13" borderId="18" xfId="0" applyFont="1" applyFill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1" xfId="0" quotePrefix="1" applyFont="1" applyBorder="1" applyAlignment="1">
      <alignment horizontal="center"/>
    </xf>
    <xf numFmtId="3" fontId="51" fillId="0" borderId="1" xfId="0" applyNumberFormat="1" applyFont="1" applyBorder="1" applyAlignment="1">
      <alignment horizontal="center"/>
    </xf>
    <xf numFmtId="0" fontId="51" fillId="0" borderId="1" xfId="0" quotePrefix="1" applyFont="1" applyBorder="1" applyAlignment="1">
      <alignment horizontal="center" vertical="center"/>
    </xf>
    <xf numFmtId="0" fontId="50" fillId="0" borderId="0" xfId="0" applyFont="1" applyBorder="1"/>
    <xf numFmtId="0" fontId="54" fillId="5" borderId="0" xfId="0" applyFont="1" applyFill="1"/>
    <xf numFmtId="0" fontId="55" fillId="5" borderId="0" xfId="0" applyFont="1" applyFill="1"/>
    <xf numFmtId="3" fontId="51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56" fillId="0" borderId="0" xfId="0" applyFont="1"/>
    <xf numFmtId="0" fontId="35" fillId="0" borderId="0" xfId="0" applyFont="1" applyBorder="1"/>
    <xf numFmtId="0" fontId="57" fillId="19" borderId="4" xfId="0" applyFont="1" applyFill="1" applyBorder="1"/>
    <xf numFmtId="0" fontId="2" fillId="0" borderId="67" xfId="0" applyFont="1" applyBorder="1"/>
    <xf numFmtId="0" fontId="2" fillId="0" borderId="26" xfId="0" applyFont="1" applyBorder="1"/>
    <xf numFmtId="0" fontId="59" fillId="6" borderId="14" xfId="0" applyFont="1" applyFill="1" applyBorder="1" applyAlignment="1">
      <alignment vertical="center"/>
    </xf>
    <xf numFmtId="0" fontId="59" fillId="6" borderId="24" xfId="0" applyFont="1" applyFill="1" applyBorder="1" applyAlignment="1">
      <alignment vertical="center" wrapText="1"/>
    </xf>
    <xf numFmtId="0" fontId="0" fillId="0" borderId="3" xfId="0" applyBorder="1"/>
    <xf numFmtId="0" fontId="0" fillId="0" borderId="30" xfId="0" applyBorder="1" applyAlignment="1">
      <alignment horizontal="center"/>
    </xf>
    <xf numFmtId="3" fontId="4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 indent="3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0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4" fillId="0" borderId="89" xfId="0" applyFont="1" applyBorder="1" applyAlignment="1">
      <alignment horizontal="left" vertical="center"/>
    </xf>
    <xf numFmtId="0" fontId="66" fillId="20" borderId="91" xfId="0" applyFont="1" applyFill="1" applyBorder="1" applyAlignment="1"/>
    <xf numFmtId="0" fontId="67" fillId="0" borderId="0" xfId="0" applyFont="1" applyFill="1" applyBorder="1" applyAlignment="1"/>
    <xf numFmtId="0" fontId="70" fillId="22" borderId="95" xfId="0" applyFont="1" applyFill="1" applyBorder="1" applyAlignment="1">
      <alignment wrapText="1"/>
    </xf>
    <xf numFmtId="0" fontId="70" fillId="23" borderId="95" xfId="0" applyFont="1" applyFill="1" applyBorder="1" applyAlignment="1">
      <alignment wrapText="1"/>
    </xf>
    <xf numFmtId="0" fontId="69" fillId="0" borderId="30" xfId="0" applyFont="1" applyFill="1" applyBorder="1" applyAlignment="1"/>
    <xf numFmtId="0" fontId="73" fillId="0" borderId="0" xfId="0" applyFont="1"/>
    <xf numFmtId="0" fontId="72" fillId="19" borderId="24" xfId="0" applyFont="1" applyFill="1" applyBorder="1"/>
    <xf numFmtId="0" fontId="74" fillId="0" borderId="0" xfId="0" applyFont="1"/>
    <xf numFmtId="0" fontId="23" fillId="0" borderId="30" xfId="0" applyNumberFormat="1" applyFont="1" applyBorder="1" applyAlignment="1">
      <alignment vertical="center"/>
    </xf>
    <xf numFmtId="0" fontId="2" fillId="0" borderId="16" xfId="0" applyNumberFormat="1" applyFont="1" applyBorder="1"/>
    <xf numFmtId="43" fontId="2" fillId="0" borderId="51" xfId="0" applyNumberFormat="1" applyFont="1" applyBorder="1" applyAlignment="1">
      <alignment horizontal="center" vertical="center"/>
    </xf>
    <xf numFmtId="43" fontId="67" fillId="0" borderId="93" xfId="0" applyNumberFormat="1" applyFont="1" applyFill="1" applyBorder="1" applyAlignment="1"/>
    <xf numFmtId="43" fontId="67" fillId="0" borderId="94" xfId="0" applyNumberFormat="1" applyFont="1" applyFill="1" applyBorder="1" applyAlignment="1"/>
    <xf numFmtId="43" fontId="23" fillId="0" borderId="28" xfId="0" applyNumberFormat="1" applyFont="1" applyBorder="1" applyAlignment="1">
      <alignment horizontal="center"/>
    </xf>
    <xf numFmtId="3" fontId="51" fillId="0" borderId="2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70" fillId="5" borderId="95" xfId="0" applyFont="1" applyFill="1" applyBorder="1" applyAlignment="1">
      <alignment wrapText="1"/>
    </xf>
    <xf numFmtId="0" fontId="51" fillId="0" borderId="30" xfId="0" applyFont="1" applyBorder="1" applyAlignment="1">
      <alignment horizontal="center"/>
    </xf>
    <xf numFmtId="0" fontId="56" fillId="0" borderId="1" xfId="0" applyFont="1" applyBorder="1"/>
    <xf numFmtId="0" fontId="48" fillId="19" borderId="1" xfId="0" applyFont="1" applyFill="1" applyBorder="1"/>
    <xf numFmtId="0" fontId="35" fillId="0" borderId="1" xfId="0" applyFont="1" applyBorder="1"/>
    <xf numFmtId="0" fontId="34" fillId="0" borderId="1" xfId="0" applyFont="1" applyBorder="1"/>
    <xf numFmtId="0" fontId="13" fillId="0" borderId="1" xfId="0" applyFont="1" applyBorder="1"/>
    <xf numFmtId="3" fontId="63" fillId="0" borderId="1" xfId="0" applyNumberFormat="1" applyFont="1" applyBorder="1"/>
    <xf numFmtId="0" fontId="2" fillId="0" borderId="51" xfId="0" applyNumberFormat="1" applyFont="1" applyBorder="1" applyAlignment="1">
      <alignment horizontal="center"/>
    </xf>
    <xf numFmtId="0" fontId="22" fillId="0" borderId="51" xfId="0" applyNumberFormat="1" applyFont="1" applyBorder="1" applyAlignment="1">
      <alignment horizontal="center"/>
    </xf>
    <xf numFmtId="1" fontId="22" fillId="0" borderId="5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8" fillId="0" borderId="13" xfId="0" applyFont="1" applyBorder="1" applyAlignment="1">
      <alignment wrapText="1"/>
    </xf>
    <xf numFmtId="0" fontId="6" fillId="0" borderId="28" xfId="0" applyFont="1" applyBorder="1"/>
    <xf numFmtId="0" fontId="6" fillId="0" borderId="1" xfId="0" applyFont="1" applyBorder="1"/>
    <xf numFmtId="0" fontId="8" fillId="0" borderId="3" xfId="0" applyFont="1" applyBorder="1" applyAlignment="1">
      <alignment wrapText="1"/>
    </xf>
    <xf numFmtId="2" fontId="2" fillId="0" borderId="51" xfId="0" applyNumberFormat="1" applyFont="1" applyBorder="1" applyAlignment="1">
      <alignment horizontal="center"/>
    </xf>
    <xf numFmtId="168" fontId="2" fillId="0" borderId="51" xfId="0" applyNumberFormat="1" applyFont="1" applyBorder="1" applyAlignment="1">
      <alignment horizontal="center"/>
    </xf>
    <xf numFmtId="0" fontId="12" fillId="0" borderId="1" xfId="0" applyFont="1" applyBorder="1"/>
    <xf numFmtId="0" fontId="61" fillId="0" borderId="0" xfId="0" applyFont="1"/>
    <xf numFmtId="0" fontId="61" fillId="0" borderId="1" xfId="0" applyFont="1" applyBorder="1"/>
    <xf numFmtId="0" fontId="0" fillId="0" borderId="1" xfId="0" applyFont="1" applyBorder="1"/>
    <xf numFmtId="0" fontId="67" fillId="0" borderId="92" xfId="0" applyFont="1" applyFill="1" applyBorder="1" applyAlignment="1">
      <alignment horizontal="right"/>
    </xf>
    <xf numFmtId="0" fontId="75" fillId="0" borderId="1" xfId="0" applyFont="1" applyBorder="1"/>
    <xf numFmtId="0" fontId="76" fillId="0" borderId="0" xfId="0" applyFont="1" applyAlignment="1">
      <alignment vertical="center"/>
    </xf>
    <xf numFmtId="0" fontId="77" fillId="0" borderId="1" xfId="0" applyFont="1" applyBorder="1"/>
    <xf numFmtId="0" fontId="33" fillId="0" borderId="1" xfId="0" applyFont="1" applyBorder="1"/>
    <xf numFmtId="0" fontId="5" fillId="0" borderId="28" xfId="0" applyFont="1" applyBorder="1"/>
    <xf numFmtId="0" fontId="75" fillId="0" borderId="28" xfId="0" applyFont="1" applyBorder="1"/>
    <xf numFmtId="0" fontId="12" fillId="0" borderId="28" xfId="0" applyFont="1" applyBorder="1"/>
    <xf numFmtId="0" fontId="5" fillId="0" borderId="16" xfId="0" applyNumberFormat="1" applyFont="1" applyBorder="1"/>
    <xf numFmtId="0" fontId="5" fillId="0" borderId="36" xfId="0" applyNumberFormat="1" applyFont="1" applyBorder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1" fillId="18" borderId="0" xfId="0" applyFont="1" applyFill="1" applyAlignment="1">
      <alignment wrapText="1"/>
    </xf>
    <xf numFmtId="0" fontId="22" fillId="0" borderId="0" xfId="0" applyFont="1" applyBorder="1" applyAlignment="1">
      <alignment horizontal="center"/>
    </xf>
    <xf numFmtId="0" fontId="80" fillId="0" borderId="1" xfId="0" applyFont="1" applyBorder="1"/>
    <xf numFmtId="0" fontId="5" fillId="0" borderId="28" xfId="0" applyFont="1" applyBorder="1" applyAlignment="1">
      <alignment wrapText="1"/>
    </xf>
    <xf numFmtId="0" fontId="22" fillId="0" borderId="0" xfId="0" applyFont="1" applyBorder="1" applyAlignment="1"/>
    <xf numFmtId="0" fontId="5" fillId="0" borderId="1" xfId="0" applyFont="1" applyBorder="1" applyAlignment="1">
      <alignment wrapText="1"/>
    </xf>
    <xf numFmtId="3" fontId="13" fillId="0" borderId="0" xfId="0" applyNumberFormat="1" applyFont="1" applyBorder="1"/>
    <xf numFmtId="0" fontId="49" fillId="19" borderId="3" xfId="0" applyFont="1" applyFill="1" applyBorder="1" applyAlignment="1">
      <alignment horizontal="center" vertical="center"/>
    </xf>
    <xf numFmtId="0" fontId="31" fillId="18" borderId="0" xfId="0" applyFont="1" applyFill="1"/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0" fillId="23" borderId="95" xfId="0" applyFont="1" applyFill="1" applyBorder="1" applyAlignment="1">
      <alignment horizontal="right" wrapText="1"/>
    </xf>
    <xf numFmtId="0" fontId="3" fillId="0" borderId="1" xfId="0" applyFont="1" applyBorder="1"/>
    <xf numFmtId="0" fontId="84" fillId="0" borderId="0" xfId="0" applyFont="1"/>
    <xf numFmtId="0" fontId="85" fillId="0" borderId="0" xfId="0" applyFont="1"/>
    <xf numFmtId="0" fontId="84" fillId="0" borderId="0" xfId="0" applyFont="1" applyBorder="1"/>
    <xf numFmtId="0" fontId="0" fillId="0" borderId="31" xfId="0" applyBorder="1"/>
    <xf numFmtId="0" fontId="0" fillId="0" borderId="13" xfId="0" applyBorder="1"/>
    <xf numFmtId="0" fontId="0" fillId="0" borderId="11" xfId="0" applyBorder="1"/>
    <xf numFmtId="0" fontId="5" fillId="0" borderId="1" xfId="0" applyFont="1" applyBorder="1" applyAlignment="1">
      <alignment horizontal="left" vertical="center"/>
    </xf>
    <xf numFmtId="0" fontId="47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5" fillId="0" borderId="29" xfId="0" applyFont="1" applyBorder="1"/>
    <xf numFmtId="0" fontId="61" fillId="0" borderId="3" xfId="0" applyFont="1" applyBorder="1"/>
    <xf numFmtId="0" fontId="11" fillId="4" borderId="0" xfId="0" applyFont="1" applyFill="1" applyBorder="1"/>
    <xf numFmtId="0" fontId="8" fillId="0" borderId="0" xfId="0" applyFont="1" applyBorder="1"/>
    <xf numFmtId="0" fontId="6" fillId="0" borderId="0" xfId="0" applyFont="1" applyBorder="1"/>
    <xf numFmtId="0" fontId="37" fillId="0" borderId="0" xfId="0" applyFont="1" applyBorder="1"/>
    <xf numFmtId="3" fontId="7" fillId="0" borderId="0" xfId="0" applyNumberFormat="1" applyFont="1" applyBorder="1"/>
    <xf numFmtId="3" fontId="6" fillId="0" borderId="0" xfId="0" applyNumberFormat="1" applyFont="1" applyBorder="1"/>
    <xf numFmtId="9" fontId="6" fillId="21" borderId="0" xfId="0" applyNumberFormat="1" applyFont="1" applyFill="1" applyBorder="1"/>
    <xf numFmtId="0" fontId="0" fillId="0" borderId="28" xfId="0" applyFont="1" applyBorder="1"/>
    <xf numFmtId="0" fontId="78" fillId="0" borderId="0" xfId="0" applyFont="1" applyFill="1" applyBorder="1" applyAlignment="1">
      <alignment horizontal="center" vertical="center" wrapText="1"/>
    </xf>
    <xf numFmtId="0" fontId="0" fillId="0" borderId="99" xfId="0" applyBorder="1"/>
    <xf numFmtId="0" fontId="86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92" fillId="0" borderId="4" xfId="0" applyFont="1" applyBorder="1"/>
    <xf numFmtId="0" fontId="93" fillId="0" borderId="4" xfId="0" applyFont="1" applyBorder="1"/>
    <xf numFmtId="0" fontId="94" fillId="0" borderId="4" xfId="0" applyFont="1" applyBorder="1" applyAlignment="1">
      <alignment wrapText="1"/>
    </xf>
    <xf numFmtId="0" fontId="95" fillId="0" borderId="0" xfId="0" applyFont="1"/>
    <xf numFmtId="0" fontId="98" fillId="0" borderId="4" xfId="0" applyFont="1" applyBorder="1" applyAlignment="1">
      <alignment wrapText="1"/>
    </xf>
    <xf numFmtId="0" fontId="99" fillId="0" borderId="0" xfId="0" applyFont="1"/>
    <xf numFmtId="0" fontId="100" fillId="0" borderId="4" xfId="0" applyFont="1" applyBorder="1"/>
    <xf numFmtId="0" fontId="101" fillId="0" borderId="112" xfId="0" applyFont="1" applyBorder="1"/>
    <xf numFmtId="0" fontId="101" fillId="0" borderId="22" xfId="0" applyFont="1" applyBorder="1"/>
    <xf numFmtId="0" fontId="101" fillId="0" borderId="0" xfId="0" applyFont="1"/>
    <xf numFmtId="0" fontId="101" fillId="0" borderId="113" xfId="0" applyFont="1" applyBorder="1"/>
    <xf numFmtId="0" fontId="101" fillId="0" borderId="35" xfId="0" applyFont="1" applyBorder="1"/>
    <xf numFmtId="0" fontId="100" fillId="0" borderId="112" xfId="0" applyFont="1" applyBorder="1"/>
    <xf numFmtId="0" fontId="8" fillId="0" borderId="35" xfId="0" applyFont="1" applyBorder="1"/>
    <xf numFmtId="0" fontId="8" fillId="0" borderId="112" xfId="0" applyFont="1" applyBorder="1"/>
    <xf numFmtId="0" fontId="8" fillId="0" borderId="19" xfId="0" applyFont="1" applyBorder="1"/>
    <xf numFmtId="0" fontId="8" fillId="0" borderId="113" xfId="0" applyFont="1" applyBorder="1"/>
    <xf numFmtId="0" fontId="101" fillId="0" borderId="19" xfId="0" applyFont="1" applyBorder="1"/>
    <xf numFmtId="0" fontId="101" fillId="0" borderId="12" xfId="0" applyFont="1" applyBorder="1"/>
    <xf numFmtId="0" fontId="100" fillId="0" borderId="20" xfId="0" applyFont="1" applyBorder="1"/>
    <xf numFmtId="0" fontId="8" fillId="0" borderId="115" xfId="0" applyFont="1" applyBorder="1"/>
    <xf numFmtId="0" fontId="100" fillId="0" borderId="117" xfId="0" applyFont="1" applyBorder="1"/>
    <xf numFmtId="0" fontId="8" fillId="0" borderId="18" xfId="0" applyFont="1" applyBorder="1"/>
    <xf numFmtId="0" fontId="101" fillId="0" borderId="0" xfId="0" applyFont="1" applyBorder="1"/>
    <xf numFmtId="0" fontId="100" fillId="0" borderId="19" xfId="0" applyFont="1" applyBorder="1"/>
    <xf numFmtId="0" fontId="8" fillId="0" borderId="118" xfId="0" applyFont="1" applyBorder="1"/>
    <xf numFmtId="0" fontId="8" fillId="0" borderId="119" xfId="0" applyFont="1" applyBorder="1"/>
    <xf numFmtId="0" fontId="8" fillId="0" borderId="31" xfId="0" applyFont="1" applyBorder="1"/>
    <xf numFmtId="0" fontId="100" fillId="0" borderId="120" xfId="0" applyFont="1" applyBorder="1"/>
    <xf numFmtId="0" fontId="46" fillId="6" borderId="62" xfId="0" applyFont="1" applyFill="1" applyBorder="1" applyAlignment="1">
      <alignment horizontal="center" vertical="center" textRotation="90"/>
    </xf>
    <xf numFmtId="0" fontId="46" fillId="6" borderId="33" xfId="0" applyFont="1" applyFill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/>
    </xf>
    <xf numFmtId="0" fontId="22" fillId="0" borderId="80" xfId="0" applyFont="1" applyBorder="1" applyAlignment="1">
      <alignment horizontal="center"/>
    </xf>
    <xf numFmtId="0" fontId="22" fillId="0" borderId="81" xfId="0" applyFont="1" applyBorder="1" applyAlignment="1">
      <alignment horizontal="center"/>
    </xf>
    <xf numFmtId="0" fontId="22" fillId="0" borderId="86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97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2" fillId="0" borderId="5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65" fillId="0" borderId="3" xfId="0" applyFont="1" applyBorder="1" applyAlignment="1">
      <alignment horizontal="center" vertical="center" textRotation="90"/>
    </xf>
    <xf numFmtId="0" fontId="65" fillId="0" borderId="1" xfId="0" applyFont="1" applyBorder="1" applyAlignment="1">
      <alignment horizontal="center" vertical="center" textRotation="90"/>
    </xf>
    <xf numFmtId="0" fontId="65" fillId="0" borderId="30" xfId="0" applyFont="1" applyBorder="1" applyAlignment="1">
      <alignment horizontal="center" vertical="center" textRotation="90"/>
    </xf>
    <xf numFmtId="0" fontId="65" fillId="0" borderId="2" xfId="0" applyFont="1" applyBorder="1" applyAlignment="1">
      <alignment horizontal="center" vertical="center" textRotation="90"/>
    </xf>
    <xf numFmtId="0" fontId="20" fillId="19" borderId="62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28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0" fillId="19" borderId="14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/>
    </xf>
    <xf numFmtId="0" fontId="68" fillId="20" borderId="0" xfId="0" applyFont="1" applyFill="1" applyBorder="1" applyAlignment="1"/>
    <xf numFmtId="0" fontId="69" fillId="0" borderId="61" xfId="0" applyFont="1" applyFill="1" applyBorder="1" applyAlignment="1"/>
    <xf numFmtId="0" fontId="69" fillId="0" borderId="96" xfId="0" applyFont="1" applyFill="1" applyBorder="1" applyAlignment="1"/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58" fillId="6" borderId="14" xfId="0" applyFont="1" applyFill="1" applyBorder="1" applyAlignment="1">
      <alignment horizontal="center" vertical="center"/>
    </xf>
    <xf numFmtId="0" fontId="71" fillId="19" borderId="24" xfId="0" applyFont="1" applyFill="1" applyBorder="1" applyAlignment="1">
      <alignment horizontal="center"/>
    </xf>
    <xf numFmtId="0" fontId="71" fillId="19" borderId="32" xfId="0" applyFont="1" applyFill="1" applyBorder="1" applyAlignment="1">
      <alignment horizontal="center"/>
    </xf>
    <xf numFmtId="167" fontId="23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5" fillId="0" borderId="76" xfId="0" applyFont="1" applyBorder="1" applyAlignment="1">
      <alignment horizontal="center" vertical="center" textRotation="45"/>
    </xf>
    <xf numFmtId="0" fontId="65" fillId="0" borderId="77" xfId="0" applyFont="1" applyBorder="1" applyAlignment="1">
      <alignment horizontal="center" vertical="center" textRotation="45"/>
    </xf>
    <xf numFmtId="0" fontId="65" fillId="0" borderId="78" xfId="0" applyFont="1" applyBorder="1" applyAlignment="1">
      <alignment horizontal="center" vertical="center" textRotation="45"/>
    </xf>
    <xf numFmtId="0" fontId="65" fillId="0" borderId="88" xfId="0" applyFont="1" applyBorder="1" applyAlignment="1">
      <alignment horizontal="center" vertical="center" textRotation="45"/>
    </xf>
    <xf numFmtId="0" fontId="65" fillId="0" borderId="1" xfId="0" applyFont="1" applyBorder="1" applyAlignment="1">
      <alignment horizontal="center" vertical="center" textRotation="45"/>
    </xf>
    <xf numFmtId="0" fontId="65" fillId="0" borderId="30" xfId="0" applyFont="1" applyBorder="1" applyAlignment="1">
      <alignment horizontal="center" vertical="center" textRotation="45"/>
    </xf>
    <xf numFmtId="0" fontId="65" fillId="0" borderId="2" xfId="0" applyFont="1" applyBorder="1" applyAlignment="1">
      <alignment horizontal="center" vertical="center" textRotation="45"/>
    </xf>
    <xf numFmtId="0" fontId="2" fillId="0" borderId="5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65" fillId="0" borderId="79" xfId="0" applyFont="1" applyBorder="1" applyAlignment="1">
      <alignment horizontal="center" vertical="center" textRotation="45"/>
    </xf>
    <xf numFmtId="0" fontId="65" fillId="0" borderId="68" xfId="0" applyFont="1" applyBorder="1" applyAlignment="1">
      <alignment horizontal="center" vertical="center" textRotation="45"/>
    </xf>
    <xf numFmtId="0" fontId="65" fillId="0" borderId="75" xfId="0" applyFont="1" applyBorder="1" applyAlignment="1">
      <alignment horizontal="center" vertical="center" textRotation="45"/>
    </xf>
    <xf numFmtId="0" fontId="53" fillId="0" borderId="7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left" vertical="center"/>
    </xf>
    <xf numFmtId="0" fontId="86" fillId="0" borderId="28" xfId="0" applyFont="1" applyBorder="1" applyAlignment="1">
      <alignment horizontal="left" vertical="center"/>
    </xf>
    <xf numFmtId="0" fontId="86" fillId="0" borderId="29" xfId="0" applyFont="1" applyBorder="1" applyAlignment="1">
      <alignment horizontal="left" vertical="center"/>
    </xf>
    <xf numFmtId="0" fontId="86" fillId="0" borderId="30" xfId="0" applyFont="1" applyBorder="1" applyAlignment="1">
      <alignment horizontal="left" vertical="center"/>
    </xf>
    <xf numFmtId="0" fontId="76" fillId="0" borderId="0" xfId="0" applyFont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7" fillId="17" borderId="29" xfId="0" applyFont="1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7" fillId="19" borderId="28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82" fillId="0" borderId="1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34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/>
    </xf>
    <xf numFmtId="0" fontId="52" fillId="0" borderId="34" xfId="0" applyFont="1" applyBorder="1" applyAlignment="1">
      <alignment horizontal="center"/>
    </xf>
    <xf numFmtId="0" fontId="51" fillId="0" borderId="2" xfId="0" quotePrefix="1" applyFont="1" applyBorder="1" applyAlignment="1">
      <alignment horizontal="center" vertical="center" wrapText="1"/>
    </xf>
    <xf numFmtId="0" fontId="51" fillId="0" borderId="10" xfId="0" quotePrefix="1" applyFont="1" applyBorder="1" applyAlignment="1">
      <alignment horizontal="center" vertical="center" wrapText="1"/>
    </xf>
    <xf numFmtId="0" fontId="51" fillId="0" borderId="3" xfId="0" quotePrefix="1" applyFont="1" applyBorder="1" applyAlignment="1">
      <alignment horizontal="center" vertical="center" wrapText="1"/>
    </xf>
    <xf numFmtId="0" fontId="52" fillId="11" borderId="17" xfId="0" applyFont="1" applyFill="1" applyBorder="1" applyAlignment="1">
      <alignment horizontal="center" vertical="center"/>
    </xf>
    <xf numFmtId="0" fontId="52" fillId="11" borderId="5" xfId="0" applyFont="1" applyFill="1" applyBorder="1" applyAlignment="1">
      <alignment horizontal="center" vertical="center"/>
    </xf>
    <xf numFmtId="0" fontId="82" fillId="0" borderId="1" xfId="0" applyFont="1" applyFill="1" applyBorder="1" applyAlignment="1">
      <alignment horizontal="center"/>
    </xf>
    <xf numFmtId="0" fontId="82" fillId="0" borderId="28" xfId="0" applyFont="1" applyBorder="1" applyAlignment="1">
      <alignment horizontal="center"/>
    </xf>
    <xf numFmtId="0" fontId="82" fillId="0" borderId="29" xfId="0" applyFont="1" applyBorder="1" applyAlignment="1">
      <alignment horizontal="center"/>
    </xf>
    <xf numFmtId="0" fontId="82" fillId="0" borderId="30" xfId="0" applyFont="1" applyBorder="1" applyAlignment="1">
      <alignment horizontal="center"/>
    </xf>
    <xf numFmtId="0" fontId="52" fillId="7" borderId="17" xfId="0" applyFont="1" applyFill="1" applyBorder="1" applyAlignment="1">
      <alignment horizontal="center" vertical="center"/>
    </xf>
    <xf numFmtId="0" fontId="52" fillId="8" borderId="35" xfId="0" applyFont="1" applyFill="1" applyBorder="1" applyAlignment="1">
      <alignment horizontal="center" vertical="center" textRotation="90"/>
    </xf>
    <xf numFmtId="0" fontId="52" fillId="0" borderId="17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/>
    </xf>
    <xf numFmtId="0" fontId="83" fillId="0" borderId="28" xfId="0" applyFont="1" applyBorder="1" applyAlignment="1">
      <alignment horizontal="center"/>
    </xf>
    <xf numFmtId="0" fontId="81" fillId="0" borderId="29" xfId="0" applyFont="1" applyBorder="1" applyAlignment="1">
      <alignment horizontal="center"/>
    </xf>
    <xf numFmtId="0" fontId="81" fillId="0" borderId="30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0" fillId="0" borderId="17" xfId="0" applyFont="1" applyBorder="1" applyAlignment="1"/>
    <xf numFmtId="0" fontId="100" fillId="0" borderId="114" xfId="0" applyFont="1" applyBorder="1" applyAlignment="1"/>
    <xf numFmtId="0" fontId="100" fillId="0" borderId="116" xfId="0" applyFont="1" applyBorder="1" applyAlignment="1"/>
    <xf numFmtId="0" fontId="100" fillId="0" borderId="5" xfId="0" applyFont="1" applyBorder="1" applyAlignment="1"/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3" fontId="13" fillId="0" borderId="2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1" fillId="0" borderId="3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7" fillId="0" borderId="10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0" fontId="87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98" xfId="0" applyBorder="1" applyAlignment="1">
      <alignment horizontal="center" wrapText="1"/>
    </xf>
    <xf numFmtId="0" fontId="78" fillId="4" borderId="0" xfId="0" applyFont="1" applyFill="1" applyAlignment="1">
      <alignment horizontal="center" vertical="center" wrapText="1"/>
    </xf>
    <xf numFmtId="0" fontId="40" fillId="6" borderId="1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/>
    </xf>
    <xf numFmtId="0" fontId="40" fillId="6" borderId="63" xfId="0" applyFont="1" applyFill="1" applyBorder="1" applyAlignment="1">
      <alignment horizontal="center"/>
    </xf>
    <xf numFmtId="0" fontId="40" fillId="6" borderId="62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67" fontId="5" fillId="0" borderId="36" xfId="0" applyNumberFormat="1" applyFont="1" applyBorder="1" applyAlignment="1">
      <alignment horizontal="center"/>
    </xf>
    <xf numFmtId="167" fontId="5" fillId="0" borderId="27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0" fontId="89" fillId="0" borderId="0" xfId="0" applyFont="1" applyFill="1" applyBorder="1" applyAlignment="1">
      <alignment horizontal="center" vertical="center" wrapText="1"/>
    </xf>
    <xf numFmtId="0" fontId="90" fillId="0" borderId="0" xfId="0" applyFont="1" applyBorder="1" applyAlignment="1">
      <alignment horizontal="center"/>
    </xf>
    <xf numFmtId="0" fontId="103" fillId="0" borderId="0" xfId="0" applyFont="1" applyAlignment="1">
      <alignment horizontal="center"/>
    </xf>
    <xf numFmtId="0" fontId="104" fillId="0" borderId="105" xfId="0" applyFont="1" applyBorder="1" applyAlignment="1">
      <alignment horizontal="center" vertical="center"/>
    </xf>
    <xf numFmtId="0" fontId="104" fillId="0" borderId="107" xfId="0" applyFont="1" applyBorder="1" applyAlignment="1">
      <alignment horizontal="center" vertical="center"/>
    </xf>
    <xf numFmtId="0" fontId="104" fillId="0" borderId="101" xfId="0" applyFont="1" applyBorder="1" applyAlignment="1">
      <alignment horizontal="center" vertical="center" wrapText="1"/>
    </xf>
    <xf numFmtId="0" fontId="104" fillId="0" borderId="103" xfId="0" applyFont="1" applyBorder="1" applyAlignment="1">
      <alignment horizontal="center" vertical="center" wrapText="1"/>
    </xf>
    <xf numFmtId="0" fontId="104" fillId="0" borderId="106" xfId="0" applyFont="1" applyBorder="1" applyAlignment="1">
      <alignment horizontal="center" vertical="center"/>
    </xf>
    <xf numFmtId="0" fontId="104" fillId="0" borderId="100" xfId="0" applyFont="1" applyBorder="1" applyAlignment="1">
      <alignment horizontal="center" vertical="center"/>
    </xf>
    <xf numFmtId="0" fontId="104" fillId="0" borderId="108" xfId="0" applyFont="1" applyBorder="1" applyAlignment="1">
      <alignment horizontal="center" vertical="center"/>
    </xf>
    <xf numFmtId="0" fontId="104" fillId="0" borderId="102" xfId="0" applyFont="1" applyBorder="1" applyAlignment="1">
      <alignment horizontal="center" vertical="center" wrapText="1"/>
    </xf>
    <xf numFmtId="0" fontId="104" fillId="0" borderId="104" xfId="0" applyFont="1" applyBorder="1" applyAlignment="1">
      <alignment horizontal="center" vertical="center" wrapText="1"/>
    </xf>
    <xf numFmtId="0" fontId="104" fillId="0" borderId="109" xfId="0" applyFont="1" applyBorder="1" applyAlignment="1">
      <alignment horizontal="center"/>
    </xf>
    <xf numFmtId="0" fontId="104" fillId="0" borderId="110" xfId="0" applyFont="1" applyBorder="1" applyAlignment="1">
      <alignment horizontal="center"/>
    </xf>
    <xf numFmtId="0" fontId="104" fillId="0" borderId="111" xfId="0" applyFont="1" applyBorder="1" applyAlignment="1">
      <alignment horizontal="center"/>
    </xf>
    <xf numFmtId="0" fontId="104" fillId="0" borderId="107" xfId="0" applyFont="1" applyBorder="1"/>
    <xf numFmtId="0" fontId="104" fillId="0" borderId="105" xfId="0" applyFont="1" applyBorder="1" applyAlignment="1">
      <alignment horizontal="center"/>
    </xf>
    <xf numFmtId="0" fontId="104" fillId="0" borderId="101" xfId="0" applyFont="1" applyBorder="1" applyAlignment="1">
      <alignment horizontal="center"/>
    </xf>
    <xf numFmtId="0" fontId="61" fillId="0" borderId="100" xfId="0" applyFont="1" applyBorder="1"/>
    <xf numFmtId="0" fontId="61" fillId="0" borderId="100" xfId="0" applyFont="1" applyBorder="1" applyAlignment="1">
      <alignment horizontal="center" wrapText="1"/>
    </xf>
    <xf numFmtId="0" fontId="61" fillId="0" borderId="107" xfId="0" applyFont="1" applyBorder="1"/>
    <xf numFmtId="0" fontId="61" fillId="0" borderId="99" xfId="0" applyFont="1" applyBorder="1"/>
    <xf numFmtId="0" fontId="105" fillId="0" borderId="98" xfId="0" applyFont="1" applyBorder="1" applyAlignment="1">
      <alignment horizontal="left" wrapText="1"/>
    </xf>
    <xf numFmtId="0" fontId="61" fillId="0" borderId="98" xfId="0" applyFont="1" applyBorder="1" applyAlignment="1">
      <alignment horizontal="left" wrapText="1"/>
    </xf>
    <xf numFmtId="0" fontId="61" fillId="0" borderId="0" xfId="0" applyFont="1" applyBorder="1" applyAlignment="1">
      <alignment horizontal="left" wrapText="1"/>
    </xf>
    <xf numFmtId="0" fontId="61" fillId="0" borderId="0" xfId="0" applyFont="1" applyBorder="1" applyAlignment="1">
      <alignment horizontal="center" wrapText="1"/>
    </xf>
    <xf numFmtId="0" fontId="61" fillId="0" borderId="98" xfId="0" applyFont="1" applyBorder="1" applyAlignment="1">
      <alignment horizontal="center" wrapText="1"/>
    </xf>
    <xf numFmtId="0" fontId="105" fillId="0" borderId="100" xfId="0" applyFont="1" applyBorder="1" applyAlignment="1">
      <alignment horizontal="center"/>
    </xf>
    <xf numFmtId="0" fontId="61" fillId="0" borderId="98" xfId="0" applyFont="1" applyBorder="1" applyAlignment="1">
      <alignment horizontal="center"/>
    </xf>
    <xf numFmtId="0" fontId="61" fillId="0" borderId="100" xfId="0" applyFont="1" applyBorder="1" applyAlignment="1">
      <alignment horizontal="center"/>
    </xf>
    <xf numFmtId="0" fontId="61" fillId="0" borderId="105" xfId="0" applyFont="1" applyBorder="1" applyAlignment="1">
      <alignment horizontal="left"/>
    </xf>
    <xf numFmtId="0" fontId="61" fillId="0" borderId="103" xfId="0" applyFont="1" applyBorder="1" applyAlignment="1">
      <alignment horizontal="left"/>
    </xf>
    <xf numFmtId="0" fontId="61" fillId="0" borderId="100" xfId="0" applyFont="1" applyBorder="1" applyAlignment="1">
      <alignment horizontal="left"/>
    </xf>
    <xf numFmtId="0" fontId="61" fillId="0" borderId="98" xfId="0" applyFont="1" applyBorder="1" applyAlignment="1">
      <alignment horizontal="left"/>
    </xf>
    <xf numFmtId="0" fontId="61" fillId="0" borderId="101" xfId="0" applyFont="1" applyBorder="1" applyAlignment="1">
      <alignment horizontal="left"/>
    </xf>
    <xf numFmtId="0" fontId="61" fillId="0" borderId="0" xfId="0" applyFont="1" applyBorder="1" applyAlignment="1">
      <alignment horizontal="left"/>
    </xf>
    <xf numFmtId="0" fontId="61" fillId="0" borderId="0" xfId="0" applyFont="1" applyAlignment="1">
      <alignment horizontal="left"/>
    </xf>
    <xf numFmtId="3" fontId="1" fillId="0" borderId="1" xfId="0" applyNumberFormat="1" applyFont="1" applyBorder="1"/>
  </cellXfs>
  <cellStyles count="1">
    <cellStyle name="Normal" xfId="0" builtinId="0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3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rgb="FF078276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00B050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secondRowStripe" dxfId="145"/>
      <tableStyleElement type="firstColumnStripe" dxfId="144"/>
      <tableStyleElement type="secondColumnStripe" dxfId="143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( million XOF )                                                                                                                                                                                         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'Solar PV power plant'!$C$110</c:f>
              <c:strCache>
                <c:ptCount val="1"/>
                <c:pt idx="0">
                  <c:v>cost ( million XOF )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7E-48C3-817B-B8D411C5978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E-48C3-817B-B8D411C59785}"/>
              </c:ext>
            </c:extLst>
          </c:dPt>
          <c:dPt>
            <c:idx val="2"/>
            <c:bubble3D val="0"/>
            <c:spPr>
              <a:solidFill>
                <a:srgbClr val="A6A6A6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35-4126-907A-E197F242E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E3-4897-B33C-8C4CEEFFF8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E3-4897-B33C-8C4CEEFFF8C5}"/>
              </c:ext>
            </c:extLst>
          </c:dPt>
          <c:dPt>
            <c:idx val="5"/>
            <c:bubble3D val="0"/>
            <c:spPr>
              <a:solidFill>
                <a:srgbClr val="75F4E8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2B35-4126-907A-E197F242E32D}"/>
              </c:ext>
            </c:extLst>
          </c:dPt>
          <c:dPt>
            <c:idx val="6"/>
            <c:bubble3D val="0"/>
            <c:spPr>
              <a:solidFill>
                <a:srgbClr val="E994C9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5-4126-907A-E197F242E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56565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'Solar PV power plant'!$B$111:$B$117</c:f>
              <c:strCache>
                <c:ptCount val="7"/>
                <c:pt idx="0">
                  <c:v>Irrigation system</c:v>
                </c:pt>
                <c:pt idx="1">
                  <c:v>Ball mill grinder</c:v>
                </c:pt>
                <c:pt idx="2">
                  <c:v>Smart Dryer</c:v>
                </c:pt>
                <c:pt idx="3">
                  <c:v>Solar PV Power Plant</c:v>
                </c:pt>
                <c:pt idx="4">
                  <c:v>solar tracking</c:v>
                </c:pt>
                <c:pt idx="5">
                  <c:v>No-Reesa</c:v>
                </c:pt>
                <c:pt idx="6">
                  <c:v>Face Recognition</c:v>
                </c:pt>
              </c:strCache>
            </c:strRef>
          </c:cat>
          <c:val>
            <c:numRef>
              <c:f>'Solar PV power plant'!$C$111:$C$117</c:f>
              <c:numCache>
                <c:formatCode>General</c:formatCode>
                <c:ptCount val="7"/>
                <c:pt idx="0">
                  <c:v>1.0358270000000001</c:v>
                </c:pt>
                <c:pt idx="1">
                  <c:v>2</c:v>
                </c:pt>
                <c:pt idx="2">
                  <c:v>5</c:v>
                </c:pt>
                <c:pt idx="3">
                  <c:v>88.847999999999999</c:v>
                </c:pt>
                <c:pt idx="4">
                  <c:v>9.4499999999999993</c:v>
                </c:pt>
                <c:pt idx="5">
                  <c:v>30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7-4910-A018-8E575BF9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108</xdr:row>
      <xdr:rowOff>152400</xdr:rowOff>
    </xdr:from>
    <xdr:to>
      <xdr:col>8</xdr:col>
      <xdr:colOff>295275</xdr:colOff>
      <xdr:row>136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5A5D6-8322-8D04-D869-12C1B0991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6:F9" totalsRowShown="0" headerRowDxfId="141" dataDxfId="140" headerRowBorderDxfId="138" tableBorderDxfId="139" totalsRowBorderDxfId="137">
  <autoFilter ref="B6:F9" xr:uid="{939C936A-8FD6-405E-ABE7-0A0AAA937AC7}"/>
  <tableColumns count="5">
    <tableColumn id="1" xr3:uid="{983EF08C-F01C-4E35-B668-A9290C3D5C47}" name="Input" dataDxfId="136"/>
    <tableColumn id="7" xr3:uid="{A1840DF5-A0B8-4B56-AC8B-84A6F16EC9E8}" name="Quantity" dataDxfId="135"/>
    <tableColumn id="2" xr3:uid="{B4B6DB9A-768E-41FB-A601-BBBF2042CC3E}" name="Process time ( hours)" dataDxfId="134"/>
    <tableColumn id="3" xr3:uid="{11667969-5EB0-4B42-8937-6B81425FE2FB}" name="Output" dataDxfId="133"/>
    <tableColumn id="4" xr3:uid="{5ADCC6A7-4B5F-49A3-87B0-42EEBB2A4E77}" name="Quantity (kg/month)" dataDxfId="13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9ED5C1-8F67-486E-BC24-F8C277DB375F}" name="Table18" displayName="Table18" ref="A53:D59" totalsRowShown="0" headerRowDxfId="67">
  <autoFilter ref="A53:D59" xr:uid="{AA9ED5C1-8F67-486E-BC24-F8C277DB375F}"/>
  <tableColumns count="4">
    <tableColumn id="1" xr3:uid="{52898641-8292-47B9-8E42-1DA3DEB41C92}" name="Equipements" dataDxfId="66"/>
    <tableColumn id="2" xr3:uid="{0B4DF889-F9A6-4A86-915B-D5E268B8148E}" name="number" dataDxfId="65"/>
    <tableColumn id="3" xr3:uid="{D1DE2676-B1DD-4139-99F6-D5205256FAE6}" name="Unit cost" dataDxfId="64"/>
    <tableColumn id="4" xr3:uid="{FA9AC74E-FA02-4D49-A9C3-B9717F484968}" name="Prototype 42" dataDxfId="63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13823D-CECA-4773-93C1-FF55600E03E5}" name="Table1822" displayName="Table1822" ref="A62:D68" totalsRowShown="0" headerRowDxfId="62">
  <autoFilter ref="A62:D68" xr:uid="{A613823D-CECA-4773-93C1-FF55600E03E5}"/>
  <tableColumns count="4">
    <tableColumn id="1" xr3:uid="{21A4428A-4D90-4917-B6F5-6825A05E8C37}" name="Equipements" dataDxfId="61"/>
    <tableColumn id="2" xr3:uid="{AEC9057D-326F-4519-8873-299BFC2B99E4}" name="number" dataDxfId="60"/>
    <tableColumn id="3" xr3:uid="{EA2BCB56-EA91-4FA7-A499-0BF0725CA72A}" name="Unit cost" dataDxfId="59"/>
    <tableColumn id="4" xr3:uid="{FB80C1F7-EB84-4939-9CBD-6F0E9FB821E8}" name="Prototype 42" dataDxfId="58"/>
  </tableColumns>
  <tableStyleInfo name="IFX20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8E53B-121D-4221-8A78-38FCDCDA98E2}" name="Tableau9" displayName="Tableau9" ref="B4:G7" totalsRowShown="0" headerRowDxfId="57" headerRowBorderDxfId="55" tableBorderDxfId="56" totalsRowBorderDxfId="54">
  <autoFilter ref="B4:G7" xr:uid="{96A8E53B-121D-4221-8A78-38FCDCDA98E2}"/>
  <tableColumns count="6">
    <tableColumn id="1" xr3:uid="{9996D6CF-A56C-48CF-A9D1-517A7B91CDFF}" name="Category" dataDxfId="53"/>
    <tableColumn id="2" xr3:uid="{1CD2DA12-A373-4ABA-AFC5-1BFCD9E0B89A}" name="Tracking Structure (Motorized Supports)" dataDxfId="52"/>
    <tableColumn id="3" xr3:uid="{0523FA47-C42F-4AB5-B933-93450DD1D7D7}" name="LDR Sensors (Sunlight Detection)" dataDxfId="51"/>
    <tableColumn id="4" xr3:uid="{66007FD0-FF24-4CB2-B59A-31E3D047F69C}" name="Control System" dataDxfId="50"/>
    <tableColumn id="5" xr3:uid="{663CC131-3750-4CB0-B89A-BAB7E606E422}" name=" Motor" dataDxfId="49"/>
    <tableColumn id="6" xr3:uid="{2A8B87F3-755D-402B-B092-08DC40D2B462}" name="TOTAL" dataDxfId="48"/>
  </tableColumns>
  <tableStyleInfo name="IFX20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577059-63BE-4454-9546-F6BEBA674F96}" name="Tableau10" displayName="Tableau10" ref="B12:D16" totalsRowShown="0" headerRowDxfId="47" headerRowBorderDxfId="45" tableBorderDxfId="46" totalsRowBorderDxfId="44">
  <autoFilter ref="B12:D16" xr:uid="{2A577059-63BE-4454-9546-F6BEBA674F96}"/>
  <tableColumns count="3">
    <tableColumn id="1" xr3:uid="{E9820B82-9585-466C-BA7C-F306DF54E879}" name="Category" dataDxfId="43"/>
    <tableColumn id="2" xr3:uid="{679C8303-691A-4105-B03E-69B600DB7B75}" name="Minimum Estimate (10% gain)" dataDxfId="42"/>
    <tableColumn id="3" xr3:uid="{B4193186-A96E-463E-9160-45E8A159BA1D}" name="Maximum Estimate (25% gain)" dataDxfId="41"/>
  </tableColumns>
  <tableStyleInfo name="IFX20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F5B3A6-8F1A-4C5F-BE01-0385E9AD1701}" name="Tableau6" displayName="Tableau6" ref="B20:D24" totalsRowShown="0" headerRowDxfId="40" headerRowBorderDxfId="38" tableBorderDxfId="39" totalsRowBorderDxfId="37">
  <autoFilter ref="B20:D24" xr:uid="{9AF5B3A6-8F1A-4C5F-BE01-0385E9AD1701}"/>
  <tableColumns count="3">
    <tableColumn id="1" xr3:uid="{461F40CD-C24C-4A71-800D-669FFEF00E1F}" name="Category" dataDxfId="36"/>
    <tableColumn id="2" xr3:uid="{8AE85A8E-4EFE-41F2-A2DB-FD602CF48A4E}" name="Minimum Estimate (10% gain)" dataDxfId="35"/>
    <tableColumn id="3" xr3:uid="{EBB7A7C6-342E-479B-A237-A4B32A3F6FEB}" name="Maximum Estimate (25% gain)" dataDxfId="34"/>
  </tableColumns>
  <tableStyleInfo name="IFX20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7:D13" totalsRowShown="0" headerRowDxfId="33" dataDxfId="32" headerRowBorderDxfId="30" tableBorderDxfId="31">
  <autoFilter ref="B7:D13" xr:uid="{3C12D96E-CC9F-472D-AF13-FE16831A0FA6}"/>
  <tableColumns count="3">
    <tableColumn id="1" xr3:uid="{7CA5E02F-8D1E-4023-B65A-8CBA247255C3}" name="class names" dataDxfId="29"/>
    <tableColumn id="2" xr3:uid="{6162EEB4-3A85-4177-9047-35E5126B2CC1}" name="Responsibility/Description" dataDxfId="28"/>
    <tableColumn id="3" xr3:uid="{C750BCC3-0FBD-4298-A303-ACDF6E72CD66}" name="Linked Object(instances)" dataDxfId="2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26" dataDxfId="25">
  <autoFilter ref="B5:E11" xr:uid="{C2ECA703-909A-440C-B6A7-F9C9F3105F15}"/>
  <tableColumns count="4">
    <tableColumn id="1" xr3:uid="{9E63B032-3F09-439C-BC3F-3BAC88A706F3}" name="Colonne1" dataDxfId="24"/>
    <tableColumn id="2" xr3:uid="{D425A704-773F-4FD0-AE14-924005A81C08}" name="Colonne2" dataDxfId="23"/>
    <tableColumn id="3" xr3:uid="{C7A5B7DA-F465-4B71-A8EB-82EF9ECA3878}" name="Colonne3" dataDxfId="22"/>
    <tableColumn id="4" xr3:uid="{377CFEF7-7215-4FE6-9372-84B89019F543}" name="Colonne4" dataDxfId="21"/>
  </tableColumns>
  <tableStyleInfo name="IFX202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20" dataDxfId="19">
  <autoFilter ref="B16:G19" xr:uid="{90881124-5358-42EC-9686-DF8C78AC9DFD}"/>
  <tableColumns count="6">
    <tableColumn id="1" xr3:uid="{E789E750-DB10-4649-A477-A4F8BD66242C}" name="Farm Area " dataDxfId="18"/>
    <tableColumn id="2" xr3:uid="{5AFB56D3-3875-4505-BC07-DEDBF14A649A}" name="Identified Risk " dataDxfId="17"/>
    <tableColumn id="3" xr3:uid="{BB64F9FA-79F3-4206-8414-C46A8488A157}" name="Potential Damage " dataDxfId="16"/>
    <tableColumn id="4" xr3:uid="{F4CD837E-91AC-4A45-A3D5-D752250BA82B}" name="Without Face Recognition " dataDxfId="15"/>
    <tableColumn id="5" xr3:uid="{840216BB-44E4-49FA-B33E-123FAB52F03C}" name="With Face Recognition " dataDxfId="14"/>
    <tableColumn id="6" xr3:uid="{5C2DC45F-7CDE-4754-B047-D24409F14C26}" name="Damage Reduction (%)" dataDxfId="13"/>
  </tableColumns>
  <tableStyleInfo name="IFX202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3DA6355-9255-47AE-A0EF-E9563239BB1E}" name="Tableau23" displayName="Tableau23" ref="B29:E31" totalsRowShown="0" headerRowDxfId="12" dataDxfId="11">
  <autoFilter ref="B29:E31" xr:uid="{B3DA6355-9255-47AE-A0EF-E9563239BB1E}"/>
  <tableColumns count="4">
    <tableColumn id="1" xr3:uid="{8D4DA5DA-9A79-4E53-8334-F7E656E22758}" name="Scenario" dataDxfId="10"/>
    <tableColumn id="2" xr3:uid="{8928B9F5-606C-4A5E-8B69-8182A8927325}" name="Irrigation Cost" dataDxfId="9"/>
    <tableColumn id="3" xr3:uid="{D1649984-A829-4BC5-9ECA-E175B6C77D62}" name="Agricultural Yield" dataDxfId="8"/>
    <tableColumn id="4" xr3:uid="{8242B570-5295-4B9D-8E6D-544075E6EF3D}" name="Revenue Generated" dataDxfId="7"/>
  </tableColumns>
  <tableStyleInfo name="IFX202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7A4D75-6A31-4B20-A2E1-AD696EBA2A79}" name="Tableau24" displayName="Tableau24" ref="B37:F40" totalsRowShown="0" headerRowDxfId="6" dataDxfId="5">
  <autoFilter ref="B37:F40" xr:uid="{CA7A4D75-6A31-4B20-A2E1-AD696EBA2A79}"/>
  <tableColumns count="5">
    <tableColumn id="1" xr3:uid="{BD94816C-0A8C-4A12-8D61-C81825BF7ED7}" name="Factor " dataDxfId="4"/>
    <tableColumn id="2" xr3:uid="{CFB1E1AC-BF2B-4FA1-BBC4-E22192B81C97}" name="Strengths " dataDxfId="3"/>
    <tableColumn id="3" xr3:uid="{DF569603-D03D-4079-A8C1-FEF8D643B3FE}" name="Weaknesses &amp;Mitigation" dataDxfId="2"/>
    <tableColumn id="4" xr3:uid="{4AAE4A3C-DD58-4A13-92C4-AA586C02B89A}" name="Opportunities " dataDxfId="1"/>
    <tableColumn id="5" xr3:uid="{1EFC32DD-3E61-4112-815C-05A4C42D4DF9}" name="Threats &amp; Mitigation" dataDxfId="0"/>
  </tableColumns>
  <tableStyleInfo name="IFX20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E16B1C-6109-4C1E-8297-5FE92F968B2C}" name="Table13" displayName="Table13" ref="B31:E37" totalsRowShown="0" headerRowDxfId="131" dataDxfId="130" headerRowBorderDxfId="128" tableBorderDxfId="129" totalsRowBorderDxfId="127">
  <autoFilter ref="B31:E37" xr:uid="{68E16B1C-6109-4C1E-8297-5FE92F968B2C}"/>
  <tableColumns count="4">
    <tableColumn id="1" xr3:uid="{42022960-CF08-49B6-8B33-79185B1CF260}" name="Price (Xof)" dataDxfId="126"/>
    <tableColumn id="2" xr3:uid="{0D23AE1D-7F8B-40C8-A684-E5D0AC8561B3}" name="Farm Size (Ha)" dataDxfId="125"/>
    <tableColumn id="3" xr3:uid="{CC6A206E-7ACF-466A-BA65-F6821A3B0937}" name="Ball Mill Size (mm)" dataDxfId="124"/>
    <tableColumn id="4" xr3:uid="{739E194F-9717-4774-8F17-5161319E52EA}" name="Total Surface Area (m²)" dataDxfId="1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7D585-1D1B-409C-8D98-590E095B1B76}" name="Table3" displayName="Table3" ref="B6:L12" totalsRowShown="0" headerRowDxfId="122" headerRowBorderDxfId="120" tableBorderDxfId="121" totalsRowBorderDxfId="119">
  <autoFilter ref="B6:L12" xr:uid="{A517D585-1D1B-409C-8D98-590E095B1B76}"/>
  <tableColumns count="11">
    <tableColumn id="1" xr3:uid="{184A50DA-3F49-4659-A3B3-A01A07FF45CD}" name="Crop Type" dataDxfId="118"/>
    <tableColumn id="2" xr3:uid="{8BD6588C-08A0-49D2-8751-7C10DEE88165}" name="Moisture Level (%)" dataDxfId="117"/>
    <tableColumn id="3" xr3:uid="{14F751F5-391C-4B42-A389-9D639A64D5A2}" name="Smart Drying Time (hours)" dataDxfId="116"/>
    <tableColumn id="4" xr3:uid="{5FD167F0-8D03-4000-9972-DD1C907EAF16}" name="Energy Consumption (kWh)" dataDxfId="115"/>
    <tableColumn id="5" xr3:uid="{7A553E83-A822-4EB6-881C-5A6AF2E92438}" name="Energy Consumption per kg (kWh/kg)" dataDxfId="114"/>
    <tableColumn id="6" xr3:uid="{0ECACBF1-5F7D-4802-8E6C-E1F3E5E200E2}" name="Cost of Raw Material (FCFA/kg)" dataDxfId="113"/>
    <tableColumn id="7" xr3:uid="{D48888B3-5EDD-4DF8-B7FA-1867EF4F1453}" name="Production Quantity (kg)" dataDxfId="112"/>
    <tableColumn id="8" xr3:uid="{E167BFC8-E44D-4053-8E3F-E7C6B0103E2F}" name="Packaging Process" dataDxfId="111"/>
    <tableColumn id="9" xr3:uid="{CCCDC389-6AE0-452C-B6C5-D89D8FBE3296}" name="Market Price (FCFA/kg)" dataDxfId="110"/>
    <tableColumn id="10" xr3:uid="{B8323459-2672-4CBC-88A9-FFFB674A7A7C}" name="Income per kg (FCFA)" dataDxfId="109"/>
    <tableColumn id="11" xr3:uid="{9DC91AE5-DB34-4BA6-9CE0-18882D03CD11}" name="Waste Reduction (%)" dataDxfId="108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ED228-F7F8-4595-99FC-B65D1B48F138}" name="Table5" displayName="Table5" ref="B26:F32" totalsRowShown="0" headerRowDxfId="107" headerRowBorderDxfId="105" tableBorderDxfId="106" totalsRowBorderDxfId="104">
  <autoFilter ref="B26:F32" xr:uid="{1D3ED228-F7F8-4595-99FC-B65D1B48F138}"/>
  <tableColumns count="5">
    <tableColumn id="1" xr3:uid="{C4686D18-A924-4A00-BF5C-C18E1BCA7BC6}" name="Input" dataDxfId="103"/>
    <tableColumn id="2" xr3:uid="{08564244-4497-40E6-98DE-49CAFB27CBFF}" name="Process" dataDxfId="102"/>
    <tableColumn id="3" xr3:uid="{13911661-A874-490C-B1CE-3F69D750386C}" name="Output" dataDxfId="101"/>
    <tableColumn id="4" xr3:uid="{DDA14B63-CFB4-43DA-A082-D39F35413395}" name="Investment Cost (FCFA)" dataDxfId="100"/>
    <tableColumn id="5" xr3:uid="{EBC9C13C-6548-4DAA-8A7C-C68B0BFE5732}" name="Income (FCFA)" dataDxfId="99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A7860-C5A3-4208-BFCD-484133801526}" name="Table7" displayName="Table7" ref="B20:D25" totalsRowShown="0" headerRowDxfId="98" headerRowBorderDxfId="96" tableBorderDxfId="97" totalsRowBorderDxfId="95">
  <autoFilter ref="B20:D25" xr:uid="{445A7860-C5A3-4208-BFCD-484133801526}"/>
  <tableColumns count="3">
    <tableColumn id="1" xr3:uid="{8B49FEB7-16FA-4D6A-8905-C757B14EC43B}" name="Criteria" dataDxfId="94"/>
    <tableColumn id="2" xr3:uid="{2BBEC101-BF69-4B5C-A6A2-9E99DCAD0AB9}" name="Without Solar Panels" dataDxfId="93"/>
    <tableColumn id="3" xr3:uid="{D2CB1B3C-A6B3-485D-B2F4-3513866E5C80}" name="With Solar Panels" dataDxfId="92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97A935-B499-4331-A23D-87987193D3AD}" name="Table8" displayName="Table8" ref="B13:K19" totalsRowShown="0" headerRowDxfId="91" headerRowBorderDxfId="89" tableBorderDxfId="90" totalsRowBorderDxfId="88">
  <autoFilter ref="B13:K19" xr:uid="{2197A935-B499-4331-A23D-87987193D3AD}"/>
  <tableColumns count="10">
    <tableColumn id="1" xr3:uid="{98357D9D-8D6D-402C-8AC8-D60ECA750AFE}" name="Crop" dataDxfId="87"/>
    <tableColumn id="2" xr3:uid="{119C877C-EBE5-4752-82CE-5F1D6567256F}" name="Initial Moisture (%)" dataDxfId="86"/>
    <tableColumn id="3" xr3:uid="{7C7B1A77-EED8-4A89-BE92-6EE58AF8D4F8}" name="Drying Time (h)" dataDxfId="85"/>
    <tableColumn id="4" xr3:uid="{E31CEF37-2E62-40D6-9DBE-F744C13A2FC4}" name="Energy Consumption per kg (kWh/kg)" dataDxfId="84"/>
    <tableColumn id="5" xr3:uid="{852CFBEE-363B-4872-A9E0-4D3773D046B9}" name="Energy Consumption (kWh)" dataDxfId="83"/>
    <tableColumn id="6" xr3:uid="{1176AF85-036A-4B60-8CBD-503E26CA11F2}" name="Raw Material Cost (FCFA/kg)" dataDxfId="82"/>
    <tableColumn id="7" xr3:uid="{F905EF2B-A3A3-4898-8181-95874B86D9CA}" name="Production Quantity (kg)" dataDxfId="81"/>
    <tableColumn id="8" xr3:uid="{EE27958F-A460-476C-B2EB-8A174DB15443}" name="Market Price (FCFA/kg)" dataDxfId="80"/>
    <tableColumn id="9" xr3:uid="{1820F438-C4C8-414A-B382-9733A21A0C8D}" name="Total Revenue (FCFA)" dataDxfId="79"/>
    <tableColumn id="10" xr3:uid="{53FA0262-2E5D-4857-B1A8-94BA721DF381}" name="Waste Reduction (%)" dataDxfId="78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1C92B-14E3-4C65-AC96-1ECA969443BA}" name="Table15" displayName="Table15" ref="G46:I50" totalsRowShown="0">
  <autoFilter ref="G46:I50" xr:uid="{24D1C92B-14E3-4C65-AC96-1ECA969443BA}"/>
  <tableColumns count="3">
    <tableColumn id="1" xr3:uid="{48833752-F7ED-453F-8AED-FFE0C354204D}" name="Price (Fcfa)"/>
    <tableColumn id="2" xr3:uid="{66CA988D-17F0-477A-818F-E19A1B675CBB}" name="Farm Size (Ha)"/>
    <tableColumn id="3" xr3:uid="{7DA55F7D-A8ED-4241-81D0-B62AD121ACBA}" name="Total Surface Area (m²)"/>
  </tableColumns>
  <tableStyleInfo name="IFX20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DBE12D-9AE9-4967-A85B-A15FE1B2428A}" name="Table14" displayName="Table14" ref="A34:D40" totalsRowShown="0" headerRowDxfId="77">
  <autoFilter ref="A34:D40" xr:uid="{5DDBE12D-9AE9-4967-A85B-A15FE1B2428A}"/>
  <tableColumns count="4">
    <tableColumn id="1" xr3:uid="{B9000ED0-3BAE-4AAB-B9C2-909EBC8FDB69}" name="Equipements" dataDxfId="76"/>
    <tableColumn id="2" xr3:uid="{5A46D0F0-C50D-462D-819D-B2A0DEFC32E2}" name="number" dataDxfId="75"/>
    <tableColumn id="3" xr3:uid="{8A41C2C7-E0B2-4372-91B5-AECE90B0A1A5}" name="Unit cost" dataDxfId="74"/>
    <tableColumn id="4" xr3:uid="{9340BF52-D2AB-4DC6-8B58-CE238134EF81}" name="Prototype 1 Cost (Fcfa)2" dataDxfId="73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D3B4AC-9C9A-4B16-BFD1-FD0AD9848AC6}" name="Table17" displayName="Table17" ref="A43:D49" totalsRowShown="0" headerRowDxfId="72">
  <autoFilter ref="A43:D49" xr:uid="{32D3B4AC-9C9A-4B16-BFD1-FD0AD9848AC6}"/>
  <tableColumns count="4">
    <tableColumn id="1" xr3:uid="{8191A54B-15B6-45FD-8E4B-4507A6E47756}" name="Equipements" dataDxfId="71"/>
    <tableColumn id="2" xr3:uid="{E8A45488-E4B4-4748-9445-85215D8B7292}" name="number" dataDxfId="70"/>
    <tableColumn id="3" xr3:uid="{0B63C09C-A3EE-4A2F-80BB-5B16922AEE61}" name="Unit cost" dataDxfId="69"/>
    <tableColumn id="4" xr3:uid="{837CD032-A632-4575-93DA-2A456694B972}" name="Prototype 32" dataDxfId="68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W237"/>
  <sheetViews>
    <sheetView workbookViewId="0">
      <selection activeCell="G35" sqref="G35"/>
    </sheetView>
  </sheetViews>
  <sheetFormatPr defaultColWidth="9.140625" defaultRowHeight="14.25"/>
  <cols>
    <col min="1" max="1" width="34.85546875" style="1" customWidth="1"/>
    <col min="2" max="4" width="33.5703125" style="1" customWidth="1"/>
    <col min="5" max="5" width="16.42578125" style="1" customWidth="1"/>
    <col min="6" max="10" width="11.5703125" style="1" customWidth="1"/>
    <col min="11" max="11" width="14.7109375" style="1" bestFit="1" customWidth="1"/>
    <col min="12" max="17" width="9.140625" style="1"/>
    <col min="18" max="18" width="21.28515625" style="1" customWidth="1"/>
    <col min="19" max="16384" width="9.140625" style="1"/>
  </cols>
  <sheetData>
    <row r="1" spans="1:9" ht="37.5" customHeight="1">
      <c r="B1" s="404" t="s">
        <v>0</v>
      </c>
      <c r="C1" s="404"/>
      <c r="D1" s="404"/>
      <c r="E1" s="404"/>
      <c r="F1" s="404"/>
      <c r="G1" s="404"/>
      <c r="H1" s="404"/>
      <c r="I1" s="404"/>
    </row>
    <row r="2" spans="1:9" ht="37.5" customHeight="1">
      <c r="B2" s="404"/>
      <c r="C2" s="404"/>
      <c r="D2" s="404"/>
      <c r="E2" s="404"/>
      <c r="F2" s="404"/>
      <c r="G2" s="404"/>
      <c r="H2" s="404"/>
      <c r="I2" s="404"/>
    </row>
    <row r="7" spans="1:9" ht="15" customHeight="1">
      <c r="A7" s="412" t="s">
        <v>1</v>
      </c>
      <c r="B7" s="412"/>
      <c r="C7" s="413">
        <v>625</v>
      </c>
    </row>
    <row r="8" spans="1:9" ht="15" customHeight="1">
      <c r="A8" s="412"/>
      <c r="B8" s="412"/>
      <c r="C8" s="414"/>
      <c r="D8" s="86"/>
    </row>
    <row r="9" spans="1:9" ht="27" customHeight="1">
      <c r="A9" s="419" t="s">
        <v>2</v>
      </c>
      <c r="B9" s="420"/>
      <c r="C9" s="232">
        <v>1600</v>
      </c>
    </row>
    <row r="10" spans="1:9">
      <c r="A10" s="229"/>
      <c r="B10" s="229"/>
      <c r="C10" s="229"/>
    </row>
    <row r="11" spans="1:9">
      <c r="H11" s="421"/>
      <c r="I11" s="422"/>
    </row>
    <row r="13" spans="1:9">
      <c r="B13" s="418" t="s">
        <v>3</v>
      </c>
      <c r="C13" s="418" t="s">
        <v>4</v>
      </c>
      <c r="D13" s="418" t="s">
        <v>5</v>
      </c>
      <c r="E13" s="418" t="s">
        <v>6</v>
      </c>
      <c r="F13" s="418" t="s">
        <v>7</v>
      </c>
      <c r="G13" s="418"/>
    </row>
    <row r="14" spans="1:9" ht="14.25" customHeight="1">
      <c r="B14" s="418"/>
      <c r="C14" s="418"/>
      <c r="D14" s="418"/>
      <c r="E14" s="418"/>
      <c r="F14" s="418"/>
      <c r="G14" s="418"/>
    </row>
    <row r="15" spans="1:9" ht="21.75" customHeight="1">
      <c r="A15" s="210" t="s">
        <v>8</v>
      </c>
      <c r="B15" s="208" t="s">
        <v>9</v>
      </c>
      <c r="C15" s="138" t="s">
        <v>10</v>
      </c>
      <c r="D15" s="209" t="s">
        <v>10</v>
      </c>
      <c r="E15" s="138" t="s">
        <v>10</v>
      </c>
      <c r="F15" s="415" t="s">
        <v>11</v>
      </c>
      <c r="G15" s="415"/>
    </row>
    <row r="16" spans="1:9" ht="24.75" customHeight="1">
      <c r="A16" s="210" t="s">
        <v>12</v>
      </c>
      <c r="B16" s="124" t="s">
        <v>13</v>
      </c>
      <c r="C16" s="62">
        <v>1</v>
      </c>
      <c r="D16" s="125">
        <v>3</v>
      </c>
      <c r="E16" s="62">
        <v>30</v>
      </c>
      <c r="F16" s="416">
        <v>60</v>
      </c>
      <c r="G16" s="416"/>
    </row>
    <row r="17" spans="1:23" ht="24" customHeight="1">
      <c r="A17" s="228" t="s">
        <v>14</v>
      </c>
      <c r="B17" s="269" t="s">
        <v>15</v>
      </c>
      <c r="C17" s="239">
        <f>D82+D91+D98+D103+D108+D113+5+10</f>
        <v>149.485827</v>
      </c>
      <c r="D17" s="239">
        <f>D121+D130+D137+D142+D147+D152+5*3+30</f>
        <v>230.06609900000001</v>
      </c>
      <c r="E17" s="240">
        <f>D160+D169+D176+D181+D186+D191+30*5+50</f>
        <v>658.79499999999996</v>
      </c>
      <c r="F17" s="241">
        <f>D199+D208+D215+D220+D225+D230+60*5+100</f>
        <v>1209.1100000000001</v>
      </c>
      <c r="G17" s="236"/>
      <c r="H17" s="90"/>
      <c r="I17" s="86"/>
    </row>
    <row r="18" spans="1:23" ht="35.25" customHeight="1">
      <c r="A18" s="211" t="s">
        <v>16</v>
      </c>
      <c r="B18" s="237">
        <f>100000/1000000</f>
        <v>0.1</v>
      </c>
      <c r="C18" s="25">
        <f>(45000*5+100000)/1000000</f>
        <v>0.32500000000000001</v>
      </c>
      <c r="D18" s="25">
        <f>(45000*7+500000)/1000000</f>
        <v>0.81499999999999995</v>
      </c>
      <c r="E18" s="63">
        <f>(45000*25+2500000)/1000000</f>
        <v>3.625</v>
      </c>
      <c r="F18" s="417">
        <f>(45000*50+5000000)/1000000</f>
        <v>7.25</v>
      </c>
      <c r="G18" s="417"/>
    </row>
    <row r="19" spans="1:23">
      <c r="A19" s="129"/>
      <c r="B19" s="62"/>
      <c r="C19" s="62"/>
      <c r="D19" s="62"/>
      <c r="E19" s="62"/>
      <c r="F19" s="62"/>
    </row>
    <row r="20" spans="1:23" ht="19.5">
      <c r="A20" s="235" t="s">
        <v>17</v>
      </c>
      <c r="N20" s="282"/>
      <c r="O20" s="282"/>
      <c r="P20" s="282"/>
      <c r="Q20" s="282"/>
      <c r="R20" s="282"/>
      <c r="S20" s="282"/>
      <c r="T20" s="282"/>
      <c r="U20" s="282"/>
      <c r="V20" s="282"/>
      <c r="W20" s="282"/>
    </row>
    <row r="21" spans="1:23">
      <c r="D21" s="86"/>
      <c r="E21" s="233"/>
      <c r="N21" s="282"/>
      <c r="O21" s="282"/>
      <c r="P21" s="282"/>
      <c r="Q21" s="282"/>
      <c r="R21" s="282"/>
      <c r="S21" s="282"/>
      <c r="T21" s="282"/>
      <c r="U21" s="282"/>
      <c r="V21" s="282"/>
      <c r="W21" s="282"/>
    </row>
    <row r="22" spans="1:23" ht="18">
      <c r="A22" s="234" t="s">
        <v>3</v>
      </c>
      <c r="B22" s="377" t="s">
        <v>18</v>
      </c>
      <c r="C22" s="377"/>
      <c r="D22" s="377"/>
      <c r="E22" s="377"/>
      <c r="F22" s="285"/>
      <c r="G22" s="285"/>
      <c r="H22" s="285"/>
      <c r="I22" s="285"/>
      <c r="J22" s="285"/>
      <c r="K22" s="285"/>
      <c r="L22" s="285"/>
      <c r="M22" s="285"/>
      <c r="N22" s="282"/>
      <c r="O22" s="282"/>
      <c r="P22" s="282"/>
      <c r="Q22" s="282"/>
      <c r="R22" s="282"/>
      <c r="S22" s="282"/>
      <c r="T22" s="282"/>
      <c r="U22" s="282"/>
      <c r="V22" s="282"/>
      <c r="W22" s="282"/>
    </row>
    <row r="23" spans="1:23" ht="18">
      <c r="A23" s="234" t="s">
        <v>19</v>
      </c>
      <c r="B23" s="378" t="s">
        <v>20</v>
      </c>
      <c r="C23" s="379"/>
      <c r="D23" s="379"/>
      <c r="E23" s="380"/>
      <c r="F23" s="285"/>
      <c r="G23" s="285"/>
      <c r="H23" s="285"/>
      <c r="I23" s="285"/>
      <c r="J23" s="285"/>
      <c r="K23" s="285"/>
      <c r="L23" s="285"/>
      <c r="M23" s="285"/>
      <c r="N23" s="282"/>
      <c r="O23" s="282"/>
      <c r="P23" s="282"/>
      <c r="Q23" s="282"/>
      <c r="R23" s="282"/>
      <c r="S23" s="282"/>
      <c r="T23" s="282"/>
      <c r="U23" s="282"/>
      <c r="V23" s="282"/>
      <c r="W23" s="282"/>
    </row>
    <row r="24" spans="1:23" ht="18">
      <c r="A24" s="234" t="s">
        <v>21</v>
      </c>
      <c r="B24" s="377" t="s">
        <v>22</v>
      </c>
      <c r="C24" s="377"/>
      <c r="D24" s="377"/>
      <c r="E24" s="377"/>
      <c r="F24" s="285"/>
      <c r="G24" s="285"/>
      <c r="H24" s="285"/>
      <c r="I24" s="285"/>
      <c r="J24" s="285"/>
      <c r="K24" s="285"/>
      <c r="L24" s="285"/>
      <c r="M24" s="285"/>
      <c r="N24" s="282"/>
      <c r="O24" s="282"/>
      <c r="P24" s="282"/>
      <c r="Q24" s="282"/>
      <c r="R24" s="282"/>
      <c r="S24" s="282"/>
      <c r="T24" s="282"/>
      <c r="U24" s="282"/>
      <c r="V24" s="282"/>
      <c r="W24" s="282"/>
    </row>
    <row r="25" spans="1:23" ht="18">
      <c r="A25" s="234" t="s">
        <v>23</v>
      </c>
      <c r="B25" s="378" t="s">
        <v>24</v>
      </c>
      <c r="C25" s="379"/>
      <c r="D25" s="379"/>
      <c r="E25" s="380"/>
      <c r="F25" s="285"/>
      <c r="G25" s="285"/>
      <c r="H25" s="285"/>
      <c r="I25" s="285"/>
      <c r="J25" s="285"/>
      <c r="K25" s="285"/>
      <c r="L25" s="285"/>
      <c r="M25" s="285"/>
      <c r="N25" s="282"/>
      <c r="O25" s="282"/>
      <c r="P25" s="282"/>
      <c r="Q25" s="282"/>
      <c r="R25" s="282"/>
      <c r="S25" s="282"/>
      <c r="T25" s="282"/>
      <c r="U25" s="282"/>
      <c r="V25" s="282"/>
      <c r="W25" s="282"/>
    </row>
    <row r="26" spans="1:23" ht="18">
      <c r="A26" s="234" t="s">
        <v>25</v>
      </c>
      <c r="B26" s="378" t="s">
        <v>26</v>
      </c>
      <c r="C26" s="379"/>
      <c r="D26" s="379"/>
      <c r="E26" s="380"/>
      <c r="F26" s="285"/>
      <c r="G26" s="285"/>
      <c r="H26" s="285"/>
      <c r="I26" s="285"/>
      <c r="J26" s="285"/>
      <c r="K26" s="285"/>
      <c r="L26" s="285"/>
      <c r="M26" s="285"/>
      <c r="N26" s="282"/>
      <c r="O26" s="282"/>
      <c r="P26" s="282"/>
      <c r="Q26" s="282"/>
      <c r="R26" s="282"/>
      <c r="S26" s="282"/>
      <c r="T26" s="282"/>
      <c r="U26" s="282"/>
      <c r="V26" s="282"/>
      <c r="W26" s="282"/>
    </row>
    <row r="27" spans="1:23">
      <c r="A27" s="129"/>
      <c r="B27" s="62"/>
      <c r="C27" s="62"/>
      <c r="D27" s="62"/>
      <c r="E27" s="62"/>
      <c r="F27" s="62"/>
    </row>
    <row r="29" spans="1:23" ht="15" customHeight="1">
      <c r="A29" s="405" t="s">
        <v>27</v>
      </c>
      <c r="B29" s="405"/>
      <c r="C29" s="405"/>
      <c r="D29" s="405"/>
      <c r="E29" s="405"/>
      <c r="F29" s="405"/>
      <c r="G29" s="410" t="s">
        <v>28</v>
      </c>
      <c r="H29" s="410"/>
      <c r="I29" s="410"/>
      <c r="J29" s="410"/>
      <c r="K29" s="410"/>
      <c r="L29" s="410"/>
      <c r="M29" s="410"/>
      <c r="N29" s="410"/>
      <c r="O29" s="410"/>
      <c r="P29" s="410"/>
      <c r="Q29" s="410"/>
      <c r="R29" s="410"/>
    </row>
    <row r="30" spans="1:23">
      <c r="A30" s="405"/>
      <c r="B30" s="405"/>
      <c r="C30" s="405"/>
      <c r="D30" s="405"/>
      <c r="E30" s="405"/>
      <c r="F30" s="405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410"/>
    </row>
    <row r="31" spans="1:23" ht="15">
      <c r="A31" s="407" t="s">
        <v>29</v>
      </c>
      <c r="B31" s="407"/>
      <c r="C31" s="407"/>
      <c r="D31" s="407"/>
      <c r="E31" s="407"/>
      <c r="F31" s="407"/>
      <c r="G31" s="406" t="s">
        <v>30</v>
      </c>
      <c r="H31" s="406"/>
      <c r="I31" s="406"/>
      <c r="J31" s="406"/>
      <c r="K31" s="406"/>
      <c r="L31" s="406"/>
      <c r="M31" s="406"/>
      <c r="N31" s="406"/>
      <c r="O31" s="406"/>
      <c r="P31" s="406"/>
      <c r="Q31" s="406"/>
      <c r="R31" s="396"/>
    </row>
    <row r="32" spans="1:23">
      <c r="A32" s="407"/>
      <c r="B32" s="407"/>
      <c r="C32" s="407"/>
      <c r="D32" s="407"/>
      <c r="E32" s="407"/>
      <c r="F32" s="407"/>
      <c r="G32" s="408" t="s">
        <v>31</v>
      </c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9"/>
    </row>
    <row r="33" spans="1:20" ht="15" customHeight="1">
      <c r="A33" s="411" t="s">
        <v>32</v>
      </c>
      <c r="B33" s="411"/>
      <c r="C33" s="411"/>
      <c r="D33" s="411"/>
      <c r="E33" s="411"/>
      <c r="F33" s="411"/>
      <c r="G33" s="406" t="s">
        <v>33</v>
      </c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396"/>
    </row>
    <row r="34" spans="1:20" ht="15" customHeight="1">
      <c r="A34" s="395" t="s">
        <v>34</v>
      </c>
      <c r="B34" s="395"/>
      <c r="C34" s="395"/>
      <c r="D34" s="395"/>
      <c r="E34" s="395"/>
      <c r="F34" s="395"/>
      <c r="G34" s="391" t="s">
        <v>35</v>
      </c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2"/>
    </row>
    <row r="35" spans="1:20" ht="15" customHeight="1">
      <c r="A35" s="395" t="s">
        <v>36</v>
      </c>
      <c r="B35" s="395"/>
      <c r="C35" s="395"/>
      <c r="D35" s="395"/>
      <c r="E35" s="395"/>
      <c r="F35" s="395"/>
      <c r="G35" s="393" t="s">
        <v>37</v>
      </c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4"/>
      <c r="S35" s="29"/>
      <c r="T35" s="29"/>
    </row>
    <row r="36" spans="1:20" ht="15" customHeight="1">
      <c r="A36" s="395" t="s">
        <v>38</v>
      </c>
      <c r="B36" s="395"/>
      <c r="C36" s="395"/>
      <c r="D36" s="395"/>
      <c r="E36" s="395"/>
      <c r="F36" s="395"/>
      <c r="G36" s="396" t="s">
        <v>39</v>
      </c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</row>
    <row r="37" spans="1:20" ht="15" customHeight="1">
      <c r="A37" s="395" t="s">
        <v>40</v>
      </c>
      <c r="B37" s="395"/>
      <c r="C37" s="395"/>
      <c r="D37" s="395"/>
      <c r="E37" s="395"/>
      <c r="F37" s="395"/>
      <c r="G37" s="396" t="s">
        <v>41</v>
      </c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</row>
    <row r="38" spans="1:20">
      <c r="F38" s="30"/>
    </row>
    <row r="39" spans="1:20" ht="15" customHeight="1">
      <c r="A39" s="41"/>
      <c r="B39" s="41"/>
      <c r="C39" s="382"/>
      <c r="D39" s="382"/>
      <c r="E39" s="382"/>
      <c r="F39" s="381"/>
      <c r="G39" s="381"/>
    </row>
    <row r="40" spans="1:20" ht="14.25" customHeight="1">
      <c r="C40" s="86"/>
      <c r="D40" s="86"/>
      <c r="E40" s="90"/>
      <c r="F40" s="90"/>
      <c r="G40" s="86"/>
      <c r="L40" s="356"/>
      <c r="M40" s="356"/>
      <c r="N40" s="356"/>
    </row>
    <row r="41" spans="1:20" ht="15" customHeight="1">
      <c r="A41" s="397" t="s">
        <v>42</v>
      </c>
      <c r="B41" s="397" t="str">
        <f>A29</f>
        <v>Part of the Farm</v>
      </c>
      <c r="C41" s="398" t="s">
        <v>43</v>
      </c>
      <c r="D41" s="398"/>
      <c r="E41" s="398" t="str">
        <f>A15</f>
        <v>Location</v>
      </c>
      <c r="F41" s="390" t="s">
        <v>44</v>
      </c>
      <c r="G41" s="131"/>
      <c r="L41" s="356"/>
      <c r="M41" s="356"/>
      <c r="N41" s="356"/>
    </row>
    <row r="42" spans="1:20" ht="14.25" customHeight="1">
      <c r="A42" s="397"/>
      <c r="B42" s="397"/>
      <c r="C42" s="398"/>
      <c r="D42" s="398"/>
      <c r="E42" s="398"/>
      <c r="F42" s="390"/>
      <c r="G42" s="131"/>
      <c r="L42" s="355"/>
      <c r="M42" s="355"/>
      <c r="N42" s="355"/>
    </row>
    <row r="43" spans="1:20" ht="30" customHeight="1">
      <c r="A43" s="351" t="s">
        <v>45</v>
      </c>
      <c r="B43" s="399" t="str">
        <f>A31</f>
        <v>Energy Supply system (Solar PV power plant,Solar Tracking)</v>
      </c>
      <c r="C43" s="127" t="s">
        <v>46</v>
      </c>
      <c r="D43" s="128" t="s">
        <v>13</v>
      </c>
      <c r="E43" s="386" t="s">
        <v>9</v>
      </c>
      <c r="F43" s="366" t="s">
        <v>13</v>
      </c>
      <c r="L43" s="355"/>
      <c r="M43" s="355"/>
      <c r="N43" s="355"/>
    </row>
    <row r="44" spans="1:20" ht="15">
      <c r="A44" s="352"/>
      <c r="B44" s="400"/>
      <c r="C44" s="63" t="s">
        <v>47</v>
      </c>
      <c r="D44" s="81" t="s">
        <v>48</v>
      </c>
      <c r="E44" s="387"/>
      <c r="F44" s="366"/>
      <c r="L44" s="355"/>
      <c r="M44" s="355"/>
      <c r="N44" s="355"/>
    </row>
    <row r="45" spans="1:20" ht="15">
      <c r="A45" s="352"/>
      <c r="B45" s="400"/>
      <c r="C45" s="63" t="s">
        <v>49</v>
      </c>
      <c r="D45" s="81" t="s">
        <v>50</v>
      </c>
      <c r="E45" s="387"/>
      <c r="F45" s="366"/>
      <c r="L45" s="355"/>
      <c r="M45" s="355"/>
      <c r="N45" s="355"/>
    </row>
    <row r="46" spans="1:20" ht="15">
      <c r="A46" s="352"/>
      <c r="B46" s="400"/>
      <c r="C46" s="375" t="s">
        <v>51</v>
      </c>
      <c r="D46" s="74" t="s">
        <v>52</v>
      </c>
      <c r="E46" s="387"/>
      <c r="F46" s="366"/>
      <c r="L46" s="355"/>
      <c r="M46" s="355"/>
      <c r="N46" s="355"/>
    </row>
    <row r="47" spans="1:20" ht="15">
      <c r="A47" s="352"/>
      <c r="B47" s="400"/>
      <c r="C47" s="376"/>
      <c r="D47" s="42" t="s">
        <v>53</v>
      </c>
      <c r="E47" s="388"/>
      <c r="F47" s="366"/>
      <c r="L47" s="355"/>
      <c r="M47" s="355"/>
      <c r="N47" s="355"/>
    </row>
    <row r="48" spans="1:20" ht="15">
      <c r="A48" s="352"/>
      <c r="B48" s="400"/>
      <c r="C48" s="376"/>
      <c r="D48" s="42" t="s">
        <v>54</v>
      </c>
      <c r="E48" s="388"/>
      <c r="F48" s="366"/>
      <c r="L48" s="355"/>
      <c r="M48" s="355"/>
      <c r="N48" s="355"/>
    </row>
    <row r="49" spans="1:14" ht="15">
      <c r="A49" s="352"/>
      <c r="B49" s="400"/>
      <c r="C49" s="376"/>
      <c r="D49" s="42" t="s">
        <v>55</v>
      </c>
      <c r="E49" s="388"/>
      <c r="F49" s="366"/>
      <c r="L49" s="355"/>
      <c r="M49" s="355"/>
      <c r="N49" s="355"/>
    </row>
    <row r="50" spans="1:14" ht="15">
      <c r="A50" s="352"/>
      <c r="B50" s="400"/>
      <c r="C50" s="376"/>
      <c r="D50" s="42" t="s">
        <v>56</v>
      </c>
      <c r="E50" s="388"/>
      <c r="F50" s="366"/>
      <c r="L50" s="355"/>
      <c r="M50" s="355"/>
      <c r="N50" s="355"/>
    </row>
    <row r="51" spans="1:14" ht="15">
      <c r="A51" s="352"/>
      <c r="B51" s="400"/>
      <c r="C51" s="74" t="s">
        <v>57</v>
      </c>
      <c r="D51" s="91" t="s">
        <v>13</v>
      </c>
      <c r="E51" s="387"/>
      <c r="F51" s="367"/>
      <c r="L51" s="355"/>
      <c r="M51" s="355"/>
      <c r="N51" s="355"/>
    </row>
    <row r="52" spans="1:14" ht="15">
      <c r="A52" s="352"/>
      <c r="B52" s="357" t="str">
        <f>A33</f>
        <v>Irrigation system</v>
      </c>
      <c r="C52" s="66" t="s">
        <v>46</v>
      </c>
      <c r="D52" s="95" t="s">
        <v>13</v>
      </c>
      <c r="E52" s="387"/>
      <c r="F52" s="368"/>
      <c r="L52" s="355"/>
      <c r="M52" s="355"/>
      <c r="N52" s="355"/>
    </row>
    <row r="53" spans="1:14" ht="15" customHeight="1">
      <c r="A53" s="352"/>
      <c r="B53" s="357"/>
      <c r="C53" s="63" t="s">
        <v>47</v>
      </c>
      <c r="D53" s="81" t="s">
        <v>58</v>
      </c>
      <c r="E53" s="387"/>
      <c r="F53" s="369"/>
    </row>
    <row r="54" spans="1:14" ht="15" customHeight="1">
      <c r="A54" s="352"/>
      <c r="B54" s="357"/>
      <c r="C54" s="74" t="s">
        <v>49</v>
      </c>
      <c r="D54" s="82" t="s">
        <v>59</v>
      </c>
      <c r="E54" s="387"/>
      <c r="F54" s="369"/>
    </row>
    <row r="55" spans="1:14" ht="15" customHeight="1">
      <c r="A55" s="352"/>
      <c r="B55" s="357"/>
      <c r="C55" s="358" t="s">
        <v>51</v>
      </c>
      <c r="D55" s="80" t="s">
        <v>60</v>
      </c>
      <c r="E55" s="387"/>
      <c r="F55" s="369"/>
    </row>
    <row r="56" spans="1:14" ht="15" customHeight="1">
      <c r="A56" s="352"/>
      <c r="B56" s="357"/>
      <c r="C56" s="359"/>
      <c r="D56" s="81" t="s">
        <v>61</v>
      </c>
      <c r="E56" s="387"/>
      <c r="F56" s="369"/>
    </row>
    <row r="57" spans="1:14" ht="15" customHeight="1">
      <c r="A57" s="352"/>
      <c r="B57" s="357"/>
      <c r="C57" s="360"/>
      <c r="D57" s="83" t="s">
        <v>62</v>
      </c>
      <c r="E57" s="387"/>
      <c r="F57" s="369"/>
    </row>
    <row r="58" spans="1:14" ht="15" customHeight="1">
      <c r="A58" s="352"/>
      <c r="B58" s="357"/>
      <c r="C58" s="75" t="s">
        <v>57</v>
      </c>
      <c r="D58" s="85" t="s">
        <v>13</v>
      </c>
      <c r="E58" s="387"/>
      <c r="F58" s="370"/>
    </row>
    <row r="59" spans="1:14">
      <c r="A59" s="352"/>
      <c r="B59" s="361" t="str">
        <f t="shared" ref="B59" si="0">A34</f>
        <v>Crop Storage (Smart Dryer)</v>
      </c>
      <c r="C59" s="92" t="s">
        <v>46</v>
      </c>
      <c r="D59" s="96" t="s">
        <v>13</v>
      </c>
      <c r="E59" s="387"/>
      <c r="F59" s="363" t="s">
        <v>13</v>
      </c>
    </row>
    <row r="60" spans="1:14">
      <c r="A60" s="352"/>
      <c r="B60" s="373"/>
      <c r="C60" s="93" t="s">
        <v>47</v>
      </c>
      <c r="D60" s="87" t="s">
        <v>63</v>
      </c>
      <c r="E60" s="387"/>
      <c r="F60" s="364"/>
    </row>
    <row r="61" spans="1:14">
      <c r="A61" s="352"/>
      <c r="B61" s="373"/>
      <c r="C61" s="93" t="s">
        <v>49</v>
      </c>
      <c r="D61" s="87" t="s">
        <v>64</v>
      </c>
      <c r="E61" s="387"/>
      <c r="F61" s="364"/>
    </row>
    <row r="62" spans="1:14">
      <c r="A62" s="352"/>
      <c r="B62" s="373"/>
      <c r="C62" s="93" t="s">
        <v>51</v>
      </c>
      <c r="D62" s="87" t="s">
        <v>13</v>
      </c>
      <c r="E62" s="387"/>
      <c r="F62" s="364"/>
    </row>
    <row r="63" spans="1:14">
      <c r="A63" s="352"/>
      <c r="B63" s="374"/>
      <c r="C63" s="94" t="s">
        <v>57</v>
      </c>
      <c r="D63" s="88" t="s">
        <v>13</v>
      </c>
      <c r="E63" s="387"/>
      <c r="F63" s="365"/>
    </row>
    <row r="64" spans="1:14" ht="28.5" customHeight="1">
      <c r="A64" s="352"/>
      <c r="B64" s="399" t="str">
        <f>A35</f>
        <v>Fencing and Security (Face Recognition)</v>
      </c>
      <c r="C64" s="66" t="s">
        <v>46</v>
      </c>
      <c r="D64" s="95" t="s">
        <v>13</v>
      </c>
      <c r="E64" s="387"/>
      <c r="F64" s="371" t="s">
        <v>13</v>
      </c>
    </row>
    <row r="65" spans="1:6" ht="15" customHeight="1">
      <c r="A65" s="352"/>
      <c r="B65" s="400"/>
      <c r="C65" s="63" t="s">
        <v>47</v>
      </c>
      <c r="D65" s="81" t="s">
        <v>65</v>
      </c>
      <c r="E65" s="387"/>
      <c r="F65" s="366"/>
    </row>
    <row r="66" spans="1:6" ht="15" customHeight="1">
      <c r="A66" s="352"/>
      <c r="B66" s="400"/>
      <c r="C66" s="63" t="s">
        <v>49</v>
      </c>
      <c r="D66" s="81" t="s">
        <v>66</v>
      </c>
      <c r="E66" s="387"/>
      <c r="F66" s="366"/>
    </row>
    <row r="67" spans="1:6" ht="15" customHeight="1">
      <c r="A67" s="352"/>
      <c r="B67" s="400"/>
      <c r="C67" s="63" t="s">
        <v>51</v>
      </c>
      <c r="D67" s="81" t="s">
        <v>67</v>
      </c>
      <c r="E67" s="387"/>
      <c r="F67" s="366"/>
    </row>
    <row r="68" spans="1:6" ht="15" customHeight="1">
      <c r="A68" s="352"/>
      <c r="B68" s="400"/>
      <c r="C68" s="74" t="s">
        <v>57</v>
      </c>
      <c r="D68" s="83" t="s">
        <v>13</v>
      </c>
      <c r="E68" s="387"/>
      <c r="F68" s="367"/>
    </row>
    <row r="69" spans="1:6">
      <c r="A69" s="352"/>
      <c r="B69" s="361" t="str">
        <f>A36</f>
        <v>Visitors Management (No Reesa)</v>
      </c>
      <c r="C69" s="133" t="s">
        <v>46</v>
      </c>
      <c r="D69" s="136" t="s">
        <v>13</v>
      </c>
      <c r="E69" s="387"/>
      <c r="F69" s="372" t="s">
        <v>13</v>
      </c>
    </row>
    <row r="70" spans="1:6">
      <c r="A70" s="352"/>
      <c r="B70" s="361"/>
      <c r="C70" s="134" t="s">
        <v>47</v>
      </c>
      <c r="D70" s="130" t="s">
        <v>68</v>
      </c>
      <c r="E70" s="387"/>
      <c r="F70" s="366"/>
    </row>
    <row r="71" spans="1:6">
      <c r="A71" s="352"/>
      <c r="B71" s="361"/>
      <c r="C71" s="134" t="s">
        <v>49</v>
      </c>
      <c r="D71" s="130" t="s">
        <v>69</v>
      </c>
      <c r="E71" s="387"/>
      <c r="F71" s="366"/>
    </row>
    <row r="72" spans="1:6">
      <c r="A72" s="352"/>
      <c r="B72" s="361"/>
      <c r="C72" s="134" t="s">
        <v>51</v>
      </c>
      <c r="D72" s="130" t="s">
        <v>13</v>
      </c>
      <c r="E72" s="387"/>
      <c r="F72" s="366"/>
    </row>
    <row r="73" spans="1:6">
      <c r="A73" s="352"/>
      <c r="B73" s="362"/>
      <c r="C73" s="135" t="s">
        <v>57</v>
      </c>
      <c r="D73" s="137" t="s">
        <v>13</v>
      </c>
      <c r="E73" s="387"/>
      <c r="F73" s="367"/>
    </row>
    <row r="74" spans="1:6">
      <c r="A74" s="352"/>
      <c r="B74" s="353" t="str">
        <f>A37</f>
        <v>Product Transformation System (Ball mill grinder)</v>
      </c>
      <c r="C74" s="138" t="s">
        <v>46</v>
      </c>
      <c r="D74" s="97" t="s">
        <v>13</v>
      </c>
      <c r="E74" s="387"/>
      <c r="F74" s="372" t="s">
        <v>13</v>
      </c>
    </row>
    <row r="75" spans="1:6">
      <c r="A75" s="352"/>
      <c r="B75" s="354"/>
      <c r="C75" s="26" t="s">
        <v>47</v>
      </c>
      <c r="D75" s="81" t="s">
        <v>70</v>
      </c>
      <c r="E75" s="387"/>
      <c r="F75" s="366"/>
    </row>
    <row r="76" spans="1:6">
      <c r="A76" s="352"/>
      <c r="B76" s="354"/>
      <c r="C76" s="79" t="s">
        <v>49</v>
      </c>
      <c r="D76" s="82" t="s">
        <v>71</v>
      </c>
      <c r="E76" s="387"/>
      <c r="F76" s="366"/>
    </row>
    <row r="77" spans="1:6">
      <c r="A77" s="352"/>
      <c r="B77" s="354"/>
      <c r="C77" s="383" t="s">
        <v>51</v>
      </c>
      <c r="D77" s="80" t="s">
        <v>72</v>
      </c>
      <c r="E77" s="387"/>
      <c r="F77" s="366"/>
    </row>
    <row r="78" spans="1:6">
      <c r="A78" s="352"/>
      <c r="B78" s="354"/>
      <c r="C78" s="384"/>
      <c r="D78" s="82" t="s">
        <v>73</v>
      </c>
      <c r="E78" s="387"/>
      <c r="F78" s="366"/>
    </row>
    <row r="79" spans="1:6">
      <c r="A79" s="352"/>
      <c r="B79" s="354"/>
      <c r="C79" s="384"/>
      <c r="D79" s="82" t="s">
        <v>74</v>
      </c>
      <c r="E79" s="387"/>
      <c r="F79" s="366"/>
    </row>
    <row r="80" spans="1:6">
      <c r="A80" s="352"/>
      <c r="B80" s="354"/>
      <c r="C80" s="385"/>
      <c r="D80" s="83" t="s">
        <v>75</v>
      </c>
      <c r="E80" s="387"/>
      <c r="F80" s="366"/>
    </row>
    <row r="81" spans="1:6">
      <c r="A81" s="352"/>
      <c r="B81" s="354"/>
      <c r="C81" s="84" t="s">
        <v>57</v>
      </c>
      <c r="D81" s="85" t="s">
        <v>13</v>
      </c>
      <c r="E81" s="389"/>
      <c r="F81" s="367"/>
    </row>
    <row r="82" spans="1:6">
      <c r="A82" s="352" t="s">
        <v>76</v>
      </c>
      <c r="B82" s="354" t="s">
        <v>29</v>
      </c>
      <c r="C82" s="77" t="s">
        <v>77</v>
      </c>
      <c r="D82" s="238">
        <f>(9450000+72000000)/1000000</f>
        <v>81.45</v>
      </c>
      <c r="E82" s="431" t="s">
        <v>10</v>
      </c>
      <c r="F82" s="371">
        <v>2500</v>
      </c>
    </row>
    <row r="83" spans="1:6">
      <c r="A83" s="352"/>
      <c r="B83" s="354"/>
      <c r="C83" s="26" t="s">
        <v>47</v>
      </c>
      <c r="D83" s="81" t="s">
        <v>48</v>
      </c>
      <c r="E83" s="432"/>
      <c r="F83" s="366"/>
    </row>
    <row r="84" spans="1:6">
      <c r="A84" s="352"/>
      <c r="B84" s="354"/>
      <c r="C84" s="26" t="s">
        <v>49</v>
      </c>
      <c r="D84" s="81" t="s">
        <v>50</v>
      </c>
      <c r="E84" s="432"/>
      <c r="F84" s="366"/>
    </row>
    <row r="85" spans="1:6">
      <c r="A85" s="352"/>
      <c r="B85" s="354"/>
      <c r="C85" s="435" t="s">
        <v>51</v>
      </c>
      <c r="D85" s="74" t="s">
        <v>52</v>
      </c>
      <c r="E85" s="432"/>
      <c r="F85" s="366"/>
    </row>
    <row r="86" spans="1:6">
      <c r="A86" s="352"/>
      <c r="B86" s="354"/>
      <c r="C86" s="436"/>
      <c r="D86" s="42" t="s">
        <v>53</v>
      </c>
      <c r="E86" s="433"/>
      <c r="F86" s="366"/>
    </row>
    <row r="87" spans="1:6">
      <c r="A87" s="352"/>
      <c r="B87" s="354"/>
      <c r="C87" s="436"/>
      <c r="D87" s="42" t="s">
        <v>54</v>
      </c>
      <c r="E87" s="433"/>
      <c r="F87" s="366"/>
    </row>
    <row r="88" spans="1:6">
      <c r="A88" s="352"/>
      <c r="B88" s="354"/>
      <c r="C88" s="436"/>
      <c r="D88" s="42" t="s">
        <v>55</v>
      </c>
      <c r="E88" s="433"/>
      <c r="F88" s="366"/>
    </row>
    <row r="89" spans="1:6">
      <c r="A89" s="352"/>
      <c r="B89" s="354"/>
      <c r="C89" s="436"/>
      <c r="D89" s="42" t="s">
        <v>56</v>
      </c>
      <c r="E89" s="433"/>
      <c r="F89" s="366"/>
    </row>
    <row r="90" spans="1:6">
      <c r="A90" s="352"/>
      <c r="B90" s="423"/>
      <c r="C90" s="79" t="s">
        <v>57</v>
      </c>
      <c r="D90" s="91" t="s">
        <v>13</v>
      </c>
      <c r="E90" s="432"/>
      <c r="F90" s="367"/>
    </row>
    <row r="91" spans="1:6">
      <c r="A91" s="352"/>
      <c r="B91" s="373" t="s">
        <v>32</v>
      </c>
      <c r="C91" s="77" t="s">
        <v>77</v>
      </c>
      <c r="D91" s="263">
        <f>1035827/1000000</f>
        <v>1.0358270000000001</v>
      </c>
      <c r="E91" s="432"/>
      <c r="F91" s="368"/>
    </row>
    <row r="92" spans="1:6">
      <c r="A92" s="352"/>
      <c r="B92" s="361"/>
      <c r="C92" s="26" t="s">
        <v>47</v>
      </c>
      <c r="D92" s="81" t="s">
        <v>58</v>
      </c>
      <c r="E92" s="432"/>
      <c r="F92" s="369"/>
    </row>
    <row r="93" spans="1:6">
      <c r="A93" s="352"/>
      <c r="B93" s="361"/>
      <c r="C93" s="79" t="s">
        <v>49</v>
      </c>
      <c r="D93" s="82" t="s">
        <v>59</v>
      </c>
      <c r="E93" s="432"/>
      <c r="F93" s="369"/>
    </row>
    <row r="94" spans="1:6">
      <c r="A94" s="352"/>
      <c r="B94" s="361"/>
      <c r="C94" s="437" t="s">
        <v>51</v>
      </c>
      <c r="D94" s="80" t="s">
        <v>60</v>
      </c>
      <c r="E94" s="432"/>
      <c r="F94" s="369"/>
    </row>
    <row r="95" spans="1:6">
      <c r="A95" s="352"/>
      <c r="B95" s="361"/>
      <c r="C95" s="438"/>
      <c r="D95" s="81" t="s">
        <v>61</v>
      </c>
      <c r="E95" s="432"/>
      <c r="F95" s="369"/>
    </row>
    <row r="96" spans="1:6">
      <c r="A96" s="352"/>
      <c r="B96" s="361"/>
      <c r="C96" s="439"/>
      <c r="D96" s="83" t="s">
        <v>62</v>
      </c>
      <c r="E96" s="432"/>
      <c r="F96" s="369"/>
    </row>
    <row r="97" spans="1:6">
      <c r="A97" s="352"/>
      <c r="B97" s="362"/>
      <c r="C97" s="84" t="s">
        <v>57</v>
      </c>
      <c r="D97" s="85" t="s">
        <v>13</v>
      </c>
      <c r="E97" s="432"/>
      <c r="F97" s="370"/>
    </row>
    <row r="98" spans="1:6">
      <c r="A98" s="352"/>
      <c r="B98" s="373" t="s">
        <v>34</v>
      </c>
      <c r="C98" s="92" t="s">
        <v>77</v>
      </c>
      <c r="D98" s="253">
        <f>5000000/1000000</f>
        <v>5</v>
      </c>
      <c r="E98" s="432"/>
      <c r="F98" s="363" t="s">
        <v>78</v>
      </c>
    </row>
    <row r="99" spans="1:6">
      <c r="A99" s="352"/>
      <c r="B99" s="373"/>
      <c r="C99" s="93" t="s">
        <v>47</v>
      </c>
      <c r="D99" s="87" t="s">
        <v>63</v>
      </c>
      <c r="E99" s="432"/>
      <c r="F99" s="364"/>
    </row>
    <row r="100" spans="1:6">
      <c r="A100" s="352"/>
      <c r="B100" s="373"/>
      <c r="C100" s="93" t="s">
        <v>49</v>
      </c>
      <c r="D100" s="87" t="s">
        <v>64</v>
      </c>
      <c r="E100" s="432"/>
      <c r="F100" s="364"/>
    </row>
    <row r="101" spans="1:6">
      <c r="A101" s="352"/>
      <c r="B101" s="373"/>
      <c r="C101" s="93" t="s">
        <v>51</v>
      </c>
      <c r="D101" s="87" t="s">
        <v>13</v>
      </c>
      <c r="E101" s="432"/>
      <c r="F101" s="364"/>
    </row>
    <row r="102" spans="1:6">
      <c r="A102" s="352"/>
      <c r="B102" s="373"/>
      <c r="C102" s="94" t="s">
        <v>57</v>
      </c>
      <c r="D102" s="88" t="s">
        <v>13</v>
      </c>
      <c r="E102" s="432"/>
      <c r="F102" s="365"/>
    </row>
    <row r="103" spans="1:6">
      <c r="A103" s="352"/>
      <c r="B103" s="354" t="s">
        <v>36</v>
      </c>
      <c r="C103" s="77" t="s">
        <v>79</v>
      </c>
      <c r="D103" s="252">
        <f>15000000/1000000</f>
        <v>15</v>
      </c>
      <c r="E103" s="432"/>
      <c r="F103" s="371" t="s">
        <v>13</v>
      </c>
    </row>
    <row r="104" spans="1:6">
      <c r="A104" s="352"/>
      <c r="B104" s="354"/>
      <c r="C104" s="26" t="s">
        <v>47</v>
      </c>
      <c r="D104" s="81" t="s">
        <v>65</v>
      </c>
      <c r="E104" s="432"/>
      <c r="F104" s="366"/>
    </row>
    <row r="105" spans="1:6">
      <c r="A105" s="352"/>
      <c r="B105" s="354"/>
      <c r="C105" s="26" t="s">
        <v>49</v>
      </c>
      <c r="D105" s="81" t="s">
        <v>66</v>
      </c>
      <c r="E105" s="432"/>
      <c r="F105" s="366"/>
    </row>
    <row r="106" spans="1:6">
      <c r="A106" s="352"/>
      <c r="B106" s="354"/>
      <c r="C106" s="26" t="s">
        <v>51</v>
      </c>
      <c r="D106" s="81" t="s">
        <v>67</v>
      </c>
      <c r="E106" s="432"/>
      <c r="F106" s="366"/>
    </row>
    <row r="107" spans="1:6">
      <c r="A107" s="352"/>
      <c r="B107" s="423"/>
      <c r="C107" s="78" t="s">
        <v>57</v>
      </c>
      <c r="D107" s="83" t="s">
        <v>13</v>
      </c>
      <c r="E107" s="432"/>
      <c r="F107" s="367"/>
    </row>
    <row r="108" spans="1:6">
      <c r="A108" s="352"/>
      <c r="B108" s="373" t="s">
        <v>38</v>
      </c>
      <c r="C108" s="77" t="s">
        <v>77</v>
      </c>
      <c r="D108" s="252">
        <f>30000000/1000000</f>
        <v>30</v>
      </c>
      <c r="E108" s="432"/>
      <c r="F108" s="372" t="s">
        <v>13</v>
      </c>
    </row>
    <row r="109" spans="1:6">
      <c r="A109" s="352"/>
      <c r="B109" s="361"/>
      <c r="C109" s="26" t="s">
        <v>47</v>
      </c>
      <c r="D109" s="81" t="s">
        <v>68</v>
      </c>
      <c r="E109" s="432"/>
      <c r="F109" s="366"/>
    </row>
    <row r="110" spans="1:6">
      <c r="A110" s="352"/>
      <c r="B110" s="361"/>
      <c r="C110" s="26" t="s">
        <v>49</v>
      </c>
      <c r="D110" s="81" t="s">
        <v>69</v>
      </c>
      <c r="E110" s="432"/>
      <c r="F110" s="366"/>
    </row>
    <row r="111" spans="1:6">
      <c r="A111" s="352"/>
      <c r="B111" s="361"/>
      <c r="C111" s="26" t="s">
        <v>51</v>
      </c>
      <c r="D111" s="81" t="s">
        <v>13</v>
      </c>
      <c r="E111" s="432"/>
      <c r="F111" s="366"/>
    </row>
    <row r="112" spans="1:6">
      <c r="A112" s="352"/>
      <c r="B112" s="361"/>
      <c r="C112" s="78" t="s">
        <v>57</v>
      </c>
      <c r="D112" s="83" t="s">
        <v>13</v>
      </c>
      <c r="E112" s="432"/>
      <c r="F112" s="367"/>
    </row>
    <row r="113" spans="1:6">
      <c r="A113" s="352"/>
      <c r="B113" s="354" t="s">
        <v>40</v>
      </c>
      <c r="C113" s="77" t="s">
        <v>77</v>
      </c>
      <c r="D113" s="252">
        <f>2000000/1000000</f>
        <v>2</v>
      </c>
      <c r="E113" s="432"/>
      <c r="F113" s="372" t="s">
        <v>80</v>
      </c>
    </row>
    <row r="114" spans="1:6">
      <c r="A114" s="352"/>
      <c r="B114" s="354"/>
      <c r="C114" s="26" t="s">
        <v>47</v>
      </c>
      <c r="D114" s="81" t="s">
        <v>70</v>
      </c>
      <c r="E114" s="432"/>
      <c r="F114" s="366"/>
    </row>
    <row r="115" spans="1:6">
      <c r="A115" s="352"/>
      <c r="B115" s="354"/>
      <c r="C115" s="79" t="s">
        <v>49</v>
      </c>
      <c r="D115" s="82" t="s">
        <v>71</v>
      </c>
      <c r="E115" s="432"/>
      <c r="F115" s="366"/>
    </row>
    <row r="116" spans="1:6">
      <c r="A116" s="352"/>
      <c r="B116" s="354"/>
      <c r="C116" s="383" t="s">
        <v>51</v>
      </c>
      <c r="D116" s="80" t="s">
        <v>72</v>
      </c>
      <c r="E116" s="432"/>
      <c r="F116" s="366"/>
    </row>
    <row r="117" spans="1:6">
      <c r="A117" s="352"/>
      <c r="B117" s="354"/>
      <c r="C117" s="384"/>
      <c r="D117" s="82" t="s">
        <v>73</v>
      </c>
      <c r="E117" s="432"/>
      <c r="F117" s="366"/>
    </row>
    <row r="118" spans="1:6">
      <c r="A118" s="352"/>
      <c r="B118" s="354"/>
      <c r="C118" s="384"/>
      <c r="D118" s="82" t="s">
        <v>74</v>
      </c>
      <c r="E118" s="432"/>
      <c r="F118" s="366"/>
    </row>
    <row r="119" spans="1:6">
      <c r="A119" s="352"/>
      <c r="B119" s="354"/>
      <c r="C119" s="385"/>
      <c r="D119" s="83" t="s">
        <v>75</v>
      </c>
      <c r="E119" s="432"/>
      <c r="F119" s="366"/>
    </row>
    <row r="120" spans="1:6">
      <c r="A120" s="352"/>
      <c r="B120" s="423"/>
      <c r="C120" s="84" t="s">
        <v>57</v>
      </c>
      <c r="D120" s="85" t="s">
        <v>13</v>
      </c>
      <c r="E120" s="434"/>
      <c r="F120" s="367"/>
    </row>
    <row r="121" spans="1:6">
      <c r="A121" s="352" t="s">
        <v>5</v>
      </c>
      <c r="B121" s="399" t="s">
        <v>29</v>
      </c>
      <c r="C121" s="66" t="s">
        <v>77</v>
      </c>
      <c r="D121" s="238">
        <f>(9450000+9450000*0.2 + 111780000)/1000000</f>
        <v>123.12</v>
      </c>
      <c r="E121" s="428" t="s">
        <v>10</v>
      </c>
      <c r="F121" s="371">
        <v>3000</v>
      </c>
    </row>
    <row r="122" spans="1:6">
      <c r="A122" s="352"/>
      <c r="B122" s="400"/>
      <c r="C122" s="63" t="s">
        <v>47</v>
      </c>
      <c r="D122" s="81" t="s">
        <v>48</v>
      </c>
      <c r="E122" s="429"/>
      <c r="F122" s="366"/>
    </row>
    <row r="123" spans="1:6">
      <c r="A123" s="352"/>
      <c r="B123" s="400"/>
      <c r="C123" s="63" t="s">
        <v>49</v>
      </c>
      <c r="D123" s="81" t="s">
        <v>50</v>
      </c>
      <c r="E123" s="429"/>
      <c r="F123" s="366"/>
    </row>
    <row r="124" spans="1:6">
      <c r="A124" s="352"/>
      <c r="B124" s="400"/>
      <c r="C124" s="375" t="s">
        <v>51</v>
      </c>
      <c r="D124" s="74" t="s">
        <v>52</v>
      </c>
      <c r="E124" s="429"/>
      <c r="F124" s="366"/>
    </row>
    <row r="125" spans="1:6">
      <c r="A125" s="352"/>
      <c r="B125" s="400"/>
      <c r="C125" s="376"/>
      <c r="D125" s="81" t="s">
        <v>53</v>
      </c>
      <c r="E125" s="429"/>
      <c r="F125" s="366"/>
    </row>
    <row r="126" spans="1:6">
      <c r="A126" s="352"/>
      <c r="B126" s="400"/>
      <c r="C126" s="376"/>
      <c r="D126" s="81" t="s">
        <v>54</v>
      </c>
      <c r="E126" s="429"/>
      <c r="F126" s="366"/>
    </row>
    <row r="127" spans="1:6">
      <c r="A127" s="352"/>
      <c r="B127" s="400"/>
      <c r="C127" s="376"/>
      <c r="D127" s="81" t="s">
        <v>55</v>
      </c>
      <c r="E127" s="429"/>
      <c r="F127" s="366"/>
    </row>
    <row r="128" spans="1:6">
      <c r="A128" s="352"/>
      <c r="B128" s="400"/>
      <c r="C128" s="376"/>
      <c r="D128" s="81" t="s">
        <v>56</v>
      </c>
      <c r="E128" s="429"/>
      <c r="F128" s="366"/>
    </row>
    <row r="129" spans="1:6">
      <c r="A129" s="352"/>
      <c r="B129" s="400"/>
      <c r="C129" s="74" t="s">
        <v>57</v>
      </c>
      <c r="D129" s="91" t="s">
        <v>13</v>
      </c>
      <c r="E129" s="429"/>
      <c r="F129" s="367"/>
    </row>
    <row r="130" spans="1:6">
      <c r="A130" s="352"/>
      <c r="B130" s="357" t="s">
        <v>32</v>
      </c>
      <c r="C130" s="66" t="s">
        <v>77</v>
      </c>
      <c r="D130" s="263">
        <f>1946099/1000000</f>
        <v>1.946099</v>
      </c>
      <c r="E130" s="429"/>
      <c r="F130" s="368"/>
    </row>
    <row r="131" spans="1:6">
      <c r="A131" s="352"/>
      <c r="B131" s="357"/>
      <c r="C131" s="63" t="s">
        <v>47</v>
      </c>
      <c r="D131" s="81" t="s">
        <v>58</v>
      </c>
      <c r="E131" s="429"/>
      <c r="F131" s="369"/>
    </row>
    <row r="132" spans="1:6">
      <c r="A132" s="352"/>
      <c r="B132" s="357"/>
      <c r="C132" s="74" t="s">
        <v>49</v>
      </c>
      <c r="D132" s="82" t="s">
        <v>59</v>
      </c>
      <c r="E132" s="429"/>
      <c r="F132" s="369"/>
    </row>
    <row r="133" spans="1:6">
      <c r="A133" s="352"/>
      <c r="B133" s="357"/>
      <c r="C133" s="358" t="s">
        <v>51</v>
      </c>
      <c r="D133" s="80" t="s">
        <v>60</v>
      </c>
      <c r="E133" s="429"/>
      <c r="F133" s="369"/>
    </row>
    <row r="134" spans="1:6">
      <c r="A134" s="352"/>
      <c r="B134" s="357"/>
      <c r="C134" s="359"/>
      <c r="D134" s="81" t="s">
        <v>61</v>
      </c>
      <c r="E134" s="429"/>
      <c r="F134" s="369"/>
    </row>
    <row r="135" spans="1:6">
      <c r="A135" s="352"/>
      <c r="B135" s="357"/>
      <c r="C135" s="360"/>
      <c r="D135" s="83" t="s">
        <v>62</v>
      </c>
      <c r="E135" s="429"/>
      <c r="F135" s="369"/>
    </row>
    <row r="136" spans="1:6">
      <c r="A136" s="352"/>
      <c r="B136" s="357"/>
      <c r="C136" s="75" t="s">
        <v>57</v>
      </c>
      <c r="D136" s="85" t="s">
        <v>13</v>
      </c>
      <c r="E136" s="429"/>
      <c r="F136" s="370"/>
    </row>
    <row r="137" spans="1:6">
      <c r="A137" s="352"/>
      <c r="B137" s="361" t="s">
        <v>34</v>
      </c>
      <c r="C137" s="92" t="s">
        <v>77</v>
      </c>
      <c r="D137" s="254">
        <f>5000000/1000000</f>
        <v>5</v>
      </c>
      <c r="E137" s="429"/>
      <c r="F137" s="401" t="s">
        <v>78</v>
      </c>
    </row>
    <row r="138" spans="1:6">
      <c r="A138" s="352"/>
      <c r="B138" s="373"/>
      <c r="C138" s="93" t="s">
        <v>47</v>
      </c>
      <c r="D138" s="87" t="s">
        <v>63</v>
      </c>
      <c r="E138" s="429"/>
      <c r="F138" s="402"/>
    </row>
    <row r="139" spans="1:6">
      <c r="A139" s="352"/>
      <c r="B139" s="373"/>
      <c r="C139" s="93" t="s">
        <v>49</v>
      </c>
      <c r="D139" s="87" t="s">
        <v>64</v>
      </c>
      <c r="E139" s="429"/>
      <c r="F139" s="402"/>
    </row>
    <row r="140" spans="1:6">
      <c r="A140" s="352"/>
      <c r="B140" s="373"/>
      <c r="C140" s="93" t="s">
        <v>51</v>
      </c>
      <c r="D140" s="87" t="s">
        <v>13</v>
      </c>
      <c r="E140" s="429"/>
      <c r="F140" s="402"/>
    </row>
    <row r="141" spans="1:6">
      <c r="A141" s="352"/>
      <c r="B141" s="373"/>
      <c r="C141" s="94" t="s">
        <v>57</v>
      </c>
      <c r="D141" s="88" t="s">
        <v>13</v>
      </c>
      <c r="E141" s="429"/>
      <c r="F141" s="403"/>
    </row>
    <row r="142" spans="1:6">
      <c r="A142" s="352"/>
      <c r="B142" s="354" t="s">
        <v>36</v>
      </c>
      <c r="C142" s="77" t="s">
        <v>77</v>
      </c>
      <c r="D142" s="252">
        <f>20000000/1000000</f>
        <v>20</v>
      </c>
      <c r="E142" s="429"/>
      <c r="F142" s="371" t="s">
        <v>13</v>
      </c>
    </row>
    <row r="143" spans="1:6">
      <c r="A143" s="352"/>
      <c r="B143" s="354"/>
      <c r="C143" s="26" t="s">
        <v>47</v>
      </c>
      <c r="D143" s="81" t="s">
        <v>65</v>
      </c>
      <c r="E143" s="429"/>
      <c r="F143" s="366"/>
    </row>
    <row r="144" spans="1:6">
      <c r="A144" s="352"/>
      <c r="B144" s="354"/>
      <c r="C144" s="26" t="s">
        <v>49</v>
      </c>
      <c r="D144" s="81" t="s">
        <v>66</v>
      </c>
      <c r="E144" s="429"/>
      <c r="F144" s="366"/>
    </row>
    <row r="145" spans="1:6">
      <c r="A145" s="352"/>
      <c r="B145" s="354"/>
      <c r="C145" s="26" t="s">
        <v>51</v>
      </c>
      <c r="D145" s="81" t="s">
        <v>67</v>
      </c>
      <c r="E145" s="429"/>
      <c r="F145" s="366"/>
    </row>
    <row r="146" spans="1:6">
      <c r="A146" s="352"/>
      <c r="B146" s="423"/>
      <c r="C146" s="78" t="s">
        <v>57</v>
      </c>
      <c r="D146" s="83" t="s">
        <v>13</v>
      </c>
      <c r="E146" s="429"/>
      <c r="F146" s="367"/>
    </row>
    <row r="147" spans="1:6">
      <c r="A147" s="352"/>
      <c r="B147" s="373" t="s">
        <v>38</v>
      </c>
      <c r="C147" s="77" t="s">
        <v>77</v>
      </c>
      <c r="D147" s="252">
        <f>31000000/1000000</f>
        <v>31</v>
      </c>
      <c r="E147" s="429"/>
      <c r="F147" s="372" t="s">
        <v>13</v>
      </c>
    </row>
    <row r="148" spans="1:6">
      <c r="A148" s="352"/>
      <c r="B148" s="361"/>
      <c r="C148" s="26" t="s">
        <v>47</v>
      </c>
      <c r="D148" s="81" t="s">
        <v>68</v>
      </c>
      <c r="E148" s="429"/>
      <c r="F148" s="366"/>
    </row>
    <row r="149" spans="1:6">
      <c r="A149" s="352"/>
      <c r="B149" s="361"/>
      <c r="C149" s="26" t="s">
        <v>49</v>
      </c>
      <c r="D149" s="81" t="s">
        <v>69</v>
      </c>
      <c r="E149" s="429"/>
      <c r="F149" s="366"/>
    </row>
    <row r="150" spans="1:6">
      <c r="A150" s="352"/>
      <c r="B150" s="361"/>
      <c r="C150" s="26" t="s">
        <v>51</v>
      </c>
      <c r="D150" s="81" t="s">
        <v>13</v>
      </c>
      <c r="E150" s="429"/>
      <c r="F150" s="366"/>
    </row>
    <row r="151" spans="1:6">
      <c r="A151" s="352"/>
      <c r="B151" s="362"/>
      <c r="C151" s="78" t="s">
        <v>57</v>
      </c>
      <c r="D151" s="83" t="s">
        <v>13</v>
      </c>
      <c r="E151" s="429"/>
      <c r="F151" s="367"/>
    </row>
    <row r="152" spans="1:6">
      <c r="A152" s="352"/>
      <c r="B152" s="353" t="s">
        <v>40</v>
      </c>
      <c r="C152" s="77" t="s">
        <v>77</v>
      </c>
      <c r="D152" s="252">
        <f>4000000/1000000</f>
        <v>4</v>
      </c>
      <c r="E152" s="429"/>
      <c r="F152" s="372" t="s">
        <v>81</v>
      </c>
    </row>
    <row r="153" spans="1:6">
      <c r="A153" s="352"/>
      <c r="B153" s="354"/>
      <c r="C153" s="26" t="s">
        <v>47</v>
      </c>
      <c r="D153" s="81" t="s">
        <v>70</v>
      </c>
      <c r="E153" s="429"/>
      <c r="F153" s="366"/>
    </row>
    <row r="154" spans="1:6">
      <c r="A154" s="352"/>
      <c r="B154" s="354"/>
      <c r="C154" s="79" t="s">
        <v>49</v>
      </c>
      <c r="D154" s="82" t="s">
        <v>71</v>
      </c>
      <c r="E154" s="429"/>
      <c r="F154" s="366"/>
    </row>
    <row r="155" spans="1:6">
      <c r="A155" s="352"/>
      <c r="B155" s="354"/>
      <c r="C155" s="383" t="s">
        <v>51</v>
      </c>
      <c r="D155" s="80" t="s">
        <v>72</v>
      </c>
      <c r="E155" s="429"/>
      <c r="F155" s="366"/>
    </row>
    <row r="156" spans="1:6">
      <c r="A156" s="352"/>
      <c r="B156" s="354"/>
      <c r="C156" s="384"/>
      <c r="D156" s="82" t="s">
        <v>73</v>
      </c>
      <c r="E156" s="429"/>
      <c r="F156" s="366"/>
    </row>
    <row r="157" spans="1:6">
      <c r="A157" s="352"/>
      <c r="B157" s="354"/>
      <c r="C157" s="384"/>
      <c r="D157" s="82" t="s">
        <v>74</v>
      </c>
      <c r="E157" s="429"/>
      <c r="F157" s="366"/>
    </row>
    <row r="158" spans="1:6">
      <c r="A158" s="352"/>
      <c r="B158" s="354"/>
      <c r="C158" s="385"/>
      <c r="D158" s="83" t="s">
        <v>75</v>
      </c>
      <c r="E158" s="429"/>
      <c r="F158" s="366"/>
    </row>
    <row r="159" spans="1:6">
      <c r="A159" s="352"/>
      <c r="B159" s="423"/>
      <c r="C159" s="84" t="s">
        <v>57</v>
      </c>
      <c r="D159" s="85" t="s">
        <v>13</v>
      </c>
      <c r="E159" s="430"/>
      <c r="F159" s="367"/>
    </row>
    <row r="160" spans="1:6">
      <c r="A160" s="352" t="s">
        <v>6</v>
      </c>
      <c r="B160" s="399" t="s">
        <v>29</v>
      </c>
      <c r="C160" s="66" t="s">
        <v>82</v>
      </c>
      <c r="D160" s="238">
        <f>(9450000+9450000*0.5+141020000)/1000000</f>
        <v>155.19499999999999</v>
      </c>
      <c r="E160" s="440" t="s">
        <v>10</v>
      </c>
      <c r="F160" s="371">
        <v>3800</v>
      </c>
    </row>
    <row r="161" spans="1:6">
      <c r="A161" s="352"/>
      <c r="B161" s="400"/>
      <c r="C161" s="63" t="s">
        <v>47</v>
      </c>
      <c r="D161" s="81" t="s">
        <v>48</v>
      </c>
      <c r="E161" s="441"/>
      <c r="F161" s="366"/>
    </row>
    <row r="162" spans="1:6">
      <c r="A162" s="352"/>
      <c r="B162" s="400"/>
      <c r="C162" s="74" t="s">
        <v>49</v>
      </c>
      <c r="D162" s="81" t="s">
        <v>50</v>
      </c>
      <c r="E162" s="441"/>
      <c r="F162" s="366"/>
    </row>
    <row r="163" spans="1:6">
      <c r="A163" s="352"/>
      <c r="B163" s="424"/>
      <c r="C163" s="425" t="s">
        <v>51</v>
      </c>
      <c r="D163" s="79" t="s">
        <v>52</v>
      </c>
      <c r="E163" s="441"/>
      <c r="F163" s="366"/>
    </row>
    <row r="164" spans="1:6">
      <c r="A164" s="352"/>
      <c r="B164" s="424"/>
      <c r="C164" s="426"/>
      <c r="D164" s="130" t="s">
        <v>53</v>
      </c>
      <c r="E164" s="441"/>
      <c r="F164" s="366"/>
    </row>
    <row r="165" spans="1:6">
      <c r="A165" s="352"/>
      <c r="B165" s="424"/>
      <c r="C165" s="426"/>
      <c r="D165" s="130" t="s">
        <v>54</v>
      </c>
      <c r="E165" s="441"/>
      <c r="F165" s="366"/>
    </row>
    <row r="166" spans="1:6">
      <c r="A166" s="352"/>
      <c r="B166" s="424"/>
      <c r="C166" s="426"/>
      <c r="D166" s="130" t="s">
        <v>55</v>
      </c>
      <c r="E166" s="441"/>
      <c r="F166" s="366"/>
    </row>
    <row r="167" spans="1:6">
      <c r="A167" s="352"/>
      <c r="B167" s="424"/>
      <c r="C167" s="427"/>
      <c r="D167" s="130" t="s">
        <v>56</v>
      </c>
      <c r="E167" s="441"/>
      <c r="F167" s="366"/>
    </row>
    <row r="168" spans="1:6">
      <c r="A168" s="352"/>
      <c r="B168" s="400"/>
      <c r="C168" s="126" t="s">
        <v>57</v>
      </c>
      <c r="D168" s="91" t="s">
        <v>13</v>
      </c>
      <c r="E168" s="441"/>
      <c r="F168" s="367"/>
    </row>
    <row r="169" spans="1:6">
      <c r="A169" s="352"/>
      <c r="B169" s="357" t="s">
        <v>32</v>
      </c>
      <c r="C169" s="66" t="s">
        <v>77</v>
      </c>
      <c r="D169" s="264">
        <f>23600000/1000000</f>
        <v>23.6</v>
      </c>
      <c r="E169" s="441"/>
      <c r="F169" s="368"/>
    </row>
    <row r="170" spans="1:6">
      <c r="A170" s="352"/>
      <c r="B170" s="357"/>
      <c r="C170" s="63" t="s">
        <v>47</v>
      </c>
      <c r="D170" s="81" t="s">
        <v>58</v>
      </c>
      <c r="E170" s="441"/>
      <c r="F170" s="369"/>
    </row>
    <row r="171" spans="1:6">
      <c r="A171" s="352"/>
      <c r="B171" s="357"/>
      <c r="C171" s="74" t="s">
        <v>49</v>
      </c>
      <c r="D171" s="82" t="s">
        <v>59</v>
      </c>
      <c r="E171" s="441"/>
      <c r="F171" s="369"/>
    </row>
    <row r="172" spans="1:6">
      <c r="A172" s="352"/>
      <c r="B172" s="357"/>
      <c r="C172" s="358" t="s">
        <v>51</v>
      </c>
      <c r="D172" s="80" t="s">
        <v>60</v>
      </c>
      <c r="E172" s="441"/>
      <c r="F172" s="369"/>
    </row>
    <row r="173" spans="1:6">
      <c r="A173" s="352"/>
      <c r="B173" s="357"/>
      <c r="C173" s="359"/>
      <c r="D173" s="81" t="s">
        <v>61</v>
      </c>
      <c r="E173" s="441"/>
      <c r="F173" s="369"/>
    </row>
    <row r="174" spans="1:6">
      <c r="A174" s="352"/>
      <c r="B174" s="357"/>
      <c r="C174" s="360"/>
      <c r="D174" s="83" t="s">
        <v>62</v>
      </c>
      <c r="E174" s="441"/>
      <c r="F174" s="369"/>
    </row>
    <row r="175" spans="1:6">
      <c r="A175" s="352"/>
      <c r="B175" s="357"/>
      <c r="C175" s="75" t="s">
        <v>57</v>
      </c>
      <c r="D175" s="85" t="s">
        <v>13</v>
      </c>
      <c r="E175" s="441"/>
      <c r="F175" s="370"/>
    </row>
    <row r="176" spans="1:6">
      <c r="A176" s="352"/>
      <c r="B176" s="361" t="s">
        <v>34</v>
      </c>
      <c r="C176" s="92" t="s">
        <v>77</v>
      </c>
      <c r="D176" s="253">
        <f>30000000/1000000</f>
        <v>30</v>
      </c>
      <c r="E176" s="441"/>
      <c r="F176" s="401">
        <v>15</v>
      </c>
    </row>
    <row r="177" spans="1:6">
      <c r="A177" s="352"/>
      <c r="B177" s="373"/>
      <c r="C177" s="93" t="s">
        <v>47</v>
      </c>
      <c r="D177" s="87" t="s">
        <v>63</v>
      </c>
      <c r="E177" s="441"/>
      <c r="F177" s="402"/>
    </row>
    <row r="178" spans="1:6">
      <c r="A178" s="352"/>
      <c r="B178" s="373"/>
      <c r="C178" s="93" t="s">
        <v>49</v>
      </c>
      <c r="D178" s="87" t="s">
        <v>64</v>
      </c>
      <c r="E178" s="441"/>
      <c r="F178" s="402"/>
    </row>
    <row r="179" spans="1:6">
      <c r="A179" s="352"/>
      <c r="B179" s="373"/>
      <c r="C179" s="93" t="s">
        <v>51</v>
      </c>
      <c r="D179" s="87" t="s">
        <v>13</v>
      </c>
      <c r="E179" s="441"/>
      <c r="F179" s="402"/>
    </row>
    <row r="180" spans="1:6">
      <c r="A180" s="352"/>
      <c r="B180" s="374"/>
      <c r="C180" s="94" t="s">
        <v>57</v>
      </c>
      <c r="D180" s="88" t="s">
        <v>13</v>
      </c>
      <c r="E180" s="441"/>
      <c r="F180" s="403"/>
    </row>
    <row r="181" spans="1:6">
      <c r="A181" s="352"/>
      <c r="B181" s="399" t="s">
        <v>36</v>
      </c>
      <c r="C181" s="66" t="s">
        <v>77</v>
      </c>
      <c r="D181" s="132">
        <f>150000000/1000000</f>
        <v>150</v>
      </c>
      <c r="E181" s="441"/>
      <c r="F181" s="371" t="s">
        <v>13</v>
      </c>
    </row>
    <row r="182" spans="1:6">
      <c r="A182" s="352"/>
      <c r="B182" s="400"/>
      <c r="C182" s="63" t="s">
        <v>47</v>
      </c>
      <c r="D182" s="81" t="s">
        <v>65</v>
      </c>
      <c r="E182" s="441"/>
      <c r="F182" s="366"/>
    </row>
    <row r="183" spans="1:6">
      <c r="A183" s="352"/>
      <c r="B183" s="400"/>
      <c r="C183" s="63" t="s">
        <v>49</v>
      </c>
      <c r="D183" s="81" t="s">
        <v>66</v>
      </c>
      <c r="E183" s="441"/>
      <c r="F183" s="366"/>
    </row>
    <row r="184" spans="1:6">
      <c r="A184" s="352"/>
      <c r="B184" s="400"/>
      <c r="C184" s="63" t="s">
        <v>51</v>
      </c>
      <c r="D184" s="81" t="s">
        <v>67</v>
      </c>
      <c r="E184" s="441"/>
      <c r="F184" s="366"/>
    </row>
    <row r="185" spans="1:6">
      <c r="A185" s="352"/>
      <c r="B185" s="400"/>
      <c r="C185" s="67" t="s">
        <v>57</v>
      </c>
      <c r="D185" s="83" t="s">
        <v>13</v>
      </c>
      <c r="E185" s="441"/>
      <c r="F185" s="367"/>
    </row>
    <row r="186" spans="1:6">
      <c r="A186" s="352"/>
      <c r="B186" s="361" t="s">
        <v>38</v>
      </c>
      <c r="C186" s="77" t="s">
        <v>77</v>
      </c>
      <c r="D186" s="252">
        <f>60000000/1000000</f>
        <v>60</v>
      </c>
      <c r="E186" s="441"/>
      <c r="F186" s="372" t="s">
        <v>13</v>
      </c>
    </row>
    <row r="187" spans="1:6">
      <c r="A187" s="352"/>
      <c r="B187" s="361"/>
      <c r="C187" s="26" t="s">
        <v>47</v>
      </c>
      <c r="D187" s="81" t="s">
        <v>68</v>
      </c>
      <c r="E187" s="441"/>
      <c r="F187" s="366"/>
    </row>
    <row r="188" spans="1:6">
      <c r="A188" s="352"/>
      <c r="B188" s="361"/>
      <c r="C188" s="26" t="s">
        <v>49</v>
      </c>
      <c r="D188" s="81" t="s">
        <v>69</v>
      </c>
      <c r="E188" s="441"/>
      <c r="F188" s="366"/>
    </row>
    <row r="189" spans="1:6">
      <c r="A189" s="352"/>
      <c r="B189" s="361"/>
      <c r="C189" s="26" t="s">
        <v>51</v>
      </c>
      <c r="D189" s="81" t="s">
        <v>13</v>
      </c>
      <c r="E189" s="441"/>
      <c r="F189" s="366"/>
    </row>
    <row r="190" spans="1:6">
      <c r="A190" s="352"/>
      <c r="B190" s="361"/>
      <c r="C190" s="78" t="s">
        <v>57</v>
      </c>
      <c r="D190" s="83" t="s">
        <v>13</v>
      </c>
      <c r="E190" s="441"/>
      <c r="F190" s="367"/>
    </row>
    <row r="191" spans="1:6">
      <c r="A191" s="352"/>
      <c r="B191" s="354" t="s">
        <v>40</v>
      </c>
      <c r="C191" s="77" t="s">
        <v>77</v>
      </c>
      <c r="D191" s="252">
        <f>40000000/1000000</f>
        <v>40</v>
      </c>
      <c r="E191" s="441"/>
      <c r="F191" s="372">
        <v>14</v>
      </c>
    </row>
    <row r="192" spans="1:6">
      <c r="A192" s="352"/>
      <c r="B192" s="354"/>
      <c r="C192" s="26" t="s">
        <v>47</v>
      </c>
      <c r="D192" s="81" t="s">
        <v>70</v>
      </c>
      <c r="E192" s="441"/>
      <c r="F192" s="366"/>
    </row>
    <row r="193" spans="1:6">
      <c r="A193" s="352"/>
      <c r="B193" s="354"/>
      <c r="C193" s="79" t="s">
        <v>49</v>
      </c>
      <c r="D193" s="82" t="s">
        <v>71</v>
      </c>
      <c r="E193" s="441"/>
      <c r="F193" s="366"/>
    </row>
    <row r="194" spans="1:6">
      <c r="A194" s="352"/>
      <c r="B194" s="354"/>
      <c r="C194" s="383" t="s">
        <v>51</v>
      </c>
      <c r="D194" s="80" t="s">
        <v>72</v>
      </c>
      <c r="E194" s="441"/>
      <c r="F194" s="366"/>
    </row>
    <row r="195" spans="1:6">
      <c r="A195" s="352"/>
      <c r="B195" s="354"/>
      <c r="C195" s="384"/>
      <c r="D195" s="82" t="s">
        <v>73</v>
      </c>
      <c r="E195" s="441"/>
      <c r="F195" s="366"/>
    </row>
    <row r="196" spans="1:6">
      <c r="A196" s="352"/>
      <c r="B196" s="354"/>
      <c r="C196" s="384"/>
      <c r="D196" s="82" t="s">
        <v>74</v>
      </c>
      <c r="E196" s="441"/>
      <c r="F196" s="366"/>
    </row>
    <row r="197" spans="1:6">
      <c r="A197" s="352"/>
      <c r="B197" s="354"/>
      <c r="C197" s="385"/>
      <c r="D197" s="83" t="s">
        <v>75</v>
      </c>
      <c r="E197" s="441"/>
      <c r="F197" s="366"/>
    </row>
    <row r="198" spans="1:6">
      <c r="A198" s="352"/>
      <c r="B198" s="423"/>
      <c r="C198" s="84" t="s">
        <v>57</v>
      </c>
      <c r="D198" s="85" t="s">
        <v>13</v>
      </c>
      <c r="E198" s="442"/>
      <c r="F198" s="367"/>
    </row>
    <row r="199" spans="1:6">
      <c r="A199" s="352" t="s">
        <v>7</v>
      </c>
      <c r="B199" s="399" t="s">
        <v>29</v>
      </c>
      <c r="C199" s="66" t="s">
        <v>77</v>
      </c>
      <c r="D199" s="238">
        <f>(9450000+9450000*0.8+216740000)/1000000</f>
        <v>233.75</v>
      </c>
      <c r="E199" s="428" t="s">
        <v>83</v>
      </c>
      <c r="F199" s="371">
        <v>4500</v>
      </c>
    </row>
    <row r="200" spans="1:6">
      <c r="A200" s="352"/>
      <c r="B200" s="400"/>
      <c r="C200" s="63" t="s">
        <v>47</v>
      </c>
      <c r="D200" s="81" t="s">
        <v>48</v>
      </c>
      <c r="E200" s="429"/>
      <c r="F200" s="366"/>
    </row>
    <row r="201" spans="1:6">
      <c r="A201" s="352"/>
      <c r="B201" s="400"/>
      <c r="C201" s="74" t="s">
        <v>49</v>
      </c>
      <c r="D201" s="81" t="s">
        <v>50</v>
      </c>
      <c r="E201" s="429"/>
      <c r="F201" s="366"/>
    </row>
    <row r="202" spans="1:6">
      <c r="A202" s="352"/>
      <c r="B202" s="424"/>
      <c r="C202" s="425" t="s">
        <v>51</v>
      </c>
      <c r="D202" s="79" t="s">
        <v>52</v>
      </c>
      <c r="E202" s="429"/>
      <c r="F202" s="366"/>
    </row>
    <row r="203" spans="1:6">
      <c r="A203" s="352"/>
      <c r="B203" s="424"/>
      <c r="C203" s="426"/>
      <c r="D203" s="130" t="s">
        <v>53</v>
      </c>
      <c r="E203" s="429"/>
      <c r="F203" s="366"/>
    </row>
    <row r="204" spans="1:6">
      <c r="A204" s="352"/>
      <c r="B204" s="424"/>
      <c r="C204" s="426"/>
      <c r="D204" s="130" t="s">
        <v>54</v>
      </c>
      <c r="E204" s="429"/>
      <c r="F204" s="366"/>
    </row>
    <row r="205" spans="1:6">
      <c r="A205" s="352"/>
      <c r="B205" s="424"/>
      <c r="C205" s="426"/>
      <c r="D205" s="130" t="s">
        <v>55</v>
      </c>
      <c r="E205" s="429"/>
      <c r="F205" s="366"/>
    </row>
    <row r="206" spans="1:6">
      <c r="A206" s="352"/>
      <c r="B206" s="424"/>
      <c r="C206" s="427"/>
      <c r="D206" s="130" t="s">
        <v>56</v>
      </c>
      <c r="E206" s="429"/>
      <c r="F206" s="366"/>
    </row>
    <row r="207" spans="1:6">
      <c r="A207" s="352"/>
      <c r="B207" s="400"/>
      <c r="C207" s="126" t="s">
        <v>57</v>
      </c>
      <c r="D207" s="91" t="s">
        <v>13</v>
      </c>
      <c r="E207" s="429"/>
      <c r="F207" s="367"/>
    </row>
    <row r="208" spans="1:6">
      <c r="A208" s="352"/>
      <c r="B208" s="357" t="s">
        <v>32</v>
      </c>
      <c r="C208" s="66" t="s">
        <v>77</v>
      </c>
      <c r="D208" s="252">
        <f>45360000/1000000</f>
        <v>45.36</v>
      </c>
      <c r="E208" s="429"/>
      <c r="F208" s="368"/>
    </row>
    <row r="209" spans="1:6">
      <c r="A209" s="352"/>
      <c r="B209" s="357"/>
      <c r="C209" s="63" t="s">
        <v>47</v>
      </c>
      <c r="D209" s="81" t="s">
        <v>58</v>
      </c>
      <c r="E209" s="429"/>
      <c r="F209" s="369"/>
    </row>
    <row r="210" spans="1:6">
      <c r="A210" s="352"/>
      <c r="B210" s="357"/>
      <c r="C210" s="74" t="s">
        <v>49</v>
      </c>
      <c r="D210" s="82" t="s">
        <v>59</v>
      </c>
      <c r="E210" s="429"/>
      <c r="F210" s="369"/>
    </row>
    <row r="211" spans="1:6">
      <c r="A211" s="352"/>
      <c r="B211" s="357"/>
      <c r="C211" s="358" t="s">
        <v>51</v>
      </c>
      <c r="D211" s="80" t="s">
        <v>60</v>
      </c>
      <c r="E211" s="429"/>
      <c r="F211" s="369"/>
    </row>
    <row r="212" spans="1:6">
      <c r="A212" s="352"/>
      <c r="B212" s="357"/>
      <c r="C212" s="359"/>
      <c r="D212" s="81" t="s">
        <v>61</v>
      </c>
      <c r="E212" s="429"/>
      <c r="F212" s="369"/>
    </row>
    <row r="213" spans="1:6">
      <c r="A213" s="352"/>
      <c r="B213" s="357"/>
      <c r="C213" s="360"/>
      <c r="D213" s="83" t="s">
        <v>62</v>
      </c>
      <c r="E213" s="429"/>
      <c r="F213" s="369"/>
    </row>
    <row r="214" spans="1:6">
      <c r="A214" s="352"/>
      <c r="B214" s="357"/>
      <c r="C214" s="75" t="s">
        <v>57</v>
      </c>
      <c r="D214" s="85" t="s">
        <v>13</v>
      </c>
      <c r="E214" s="429"/>
      <c r="F214" s="370"/>
    </row>
    <row r="215" spans="1:6">
      <c r="A215" s="352"/>
      <c r="B215" s="361" t="s">
        <v>34</v>
      </c>
      <c r="C215" s="92" t="s">
        <v>77</v>
      </c>
      <c r="D215" s="253">
        <f>60000000/1000000</f>
        <v>60</v>
      </c>
      <c r="E215" s="429"/>
      <c r="F215" s="401">
        <v>30</v>
      </c>
    </row>
    <row r="216" spans="1:6">
      <c r="A216" s="352"/>
      <c r="B216" s="373"/>
      <c r="C216" s="93" t="s">
        <v>47</v>
      </c>
      <c r="D216" s="87" t="s">
        <v>63</v>
      </c>
      <c r="E216" s="429"/>
      <c r="F216" s="402"/>
    </row>
    <row r="217" spans="1:6">
      <c r="A217" s="352"/>
      <c r="B217" s="373"/>
      <c r="C217" s="93" t="s">
        <v>49</v>
      </c>
      <c r="D217" s="87" t="s">
        <v>64</v>
      </c>
      <c r="E217" s="429"/>
      <c r="F217" s="402"/>
    </row>
    <row r="218" spans="1:6">
      <c r="A218" s="352"/>
      <c r="B218" s="373"/>
      <c r="C218" s="93" t="s">
        <v>51</v>
      </c>
      <c r="D218" s="87" t="s">
        <v>13</v>
      </c>
      <c r="E218" s="429"/>
      <c r="F218" s="402"/>
    </row>
    <row r="219" spans="1:6">
      <c r="A219" s="352"/>
      <c r="B219" s="374"/>
      <c r="C219" s="94" t="s">
        <v>57</v>
      </c>
      <c r="D219" s="88" t="s">
        <v>13</v>
      </c>
      <c r="E219" s="429"/>
      <c r="F219" s="403"/>
    </row>
    <row r="220" spans="1:6">
      <c r="A220" s="352"/>
      <c r="B220" s="399" t="s">
        <v>36</v>
      </c>
      <c r="C220" s="66" t="s">
        <v>77</v>
      </c>
      <c r="D220" s="132">
        <f>300000000/1000000</f>
        <v>300</v>
      </c>
      <c r="E220" s="429"/>
      <c r="F220" s="371" t="s">
        <v>13</v>
      </c>
    </row>
    <row r="221" spans="1:6">
      <c r="A221" s="352"/>
      <c r="B221" s="400"/>
      <c r="C221" s="63" t="s">
        <v>47</v>
      </c>
      <c r="D221" s="81" t="s">
        <v>65</v>
      </c>
      <c r="E221" s="429"/>
      <c r="F221" s="366"/>
    </row>
    <row r="222" spans="1:6">
      <c r="A222" s="352"/>
      <c r="B222" s="400"/>
      <c r="C222" s="63" t="s">
        <v>49</v>
      </c>
      <c r="D222" s="81" t="s">
        <v>66</v>
      </c>
      <c r="E222" s="429"/>
      <c r="F222" s="366"/>
    </row>
    <row r="223" spans="1:6">
      <c r="A223" s="352"/>
      <c r="B223" s="400"/>
      <c r="C223" s="63" t="s">
        <v>51</v>
      </c>
      <c r="D223" s="81" t="s">
        <v>67</v>
      </c>
      <c r="E223" s="429"/>
      <c r="F223" s="366"/>
    </row>
    <row r="224" spans="1:6">
      <c r="A224" s="352"/>
      <c r="B224" s="400"/>
      <c r="C224" s="67" t="s">
        <v>57</v>
      </c>
      <c r="D224" s="83" t="s">
        <v>13</v>
      </c>
      <c r="E224" s="429"/>
      <c r="F224" s="367"/>
    </row>
    <row r="225" spans="1:6">
      <c r="A225" s="352"/>
      <c r="B225" s="361" t="s">
        <v>38</v>
      </c>
      <c r="C225" s="77" t="s">
        <v>77</v>
      </c>
      <c r="D225" s="132">
        <f>120000000/1000000</f>
        <v>120</v>
      </c>
      <c r="E225" s="429"/>
      <c r="F225" s="372" t="s">
        <v>13</v>
      </c>
    </row>
    <row r="226" spans="1:6">
      <c r="A226" s="352"/>
      <c r="B226" s="361"/>
      <c r="C226" s="26" t="s">
        <v>47</v>
      </c>
      <c r="D226" s="81" t="s">
        <v>68</v>
      </c>
      <c r="E226" s="429"/>
      <c r="F226" s="366"/>
    </row>
    <row r="227" spans="1:6">
      <c r="A227" s="352"/>
      <c r="B227" s="361"/>
      <c r="C227" s="26" t="s">
        <v>49</v>
      </c>
      <c r="D227" s="81" t="s">
        <v>69</v>
      </c>
      <c r="E227" s="429"/>
      <c r="F227" s="366"/>
    </row>
    <row r="228" spans="1:6">
      <c r="A228" s="352"/>
      <c r="B228" s="361"/>
      <c r="C228" s="26" t="s">
        <v>51</v>
      </c>
      <c r="D228" s="81" t="s">
        <v>13</v>
      </c>
      <c r="E228" s="429"/>
      <c r="F228" s="366"/>
    </row>
    <row r="229" spans="1:6">
      <c r="A229" s="352"/>
      <c r="B229" s="361"/>
      <c r="C229" s="78" t="s">
        <v>57</v>
      </c>
      <c r="D229" s="83" t="s">
        <v>13</v>
      </c>
      <c r="E229" s="429"/>
      <c r="F229" s="367"/>
    </row>
    <row r="230" spans="1:6">
      <c r="A230" s="352"/>
      <c r="B230" s="354" t="s">
        <v>40</v>
      </c>
      <c r="C230" s="77" t="s">
        <v>77</v>
      </c>
      <c r="D230" s="252">
        <f>50000000/1000000</f>
        <v>50</v>
      </c>
      <c r="E230" s="429"/>
      <c r="F230" s="372">
        <v>20</v>
      </c>
    </row>
    <row r="231" spans="1:6">
      <c r="A231" s="352"/>
      <c r="B231" s="354"/>
      <c r="C231" s="26" t="s">
        <v>47</v>
      </c>
      <c r="D231" s="81" t="s">
        <v>70</v>
      </c>
      <c r="E231" s="429"/>
      <c r="F231" s="366"/>
    </row>
    <row r="232" spans="1:6">
      <c r="A232" s="352"/>
      <c r="B232" s="354"/>
      <c r="C232" s="79" t="s">
        <v>49</v>
      </c>
      <c r="D232" s="82" t="s">
        <v>71</v>
      </c>
      <c r="E232" s="429"/>
      <c r="F232" s="366"/>
    </row>
    <row r="233" spans="1:6">
      <c r="A233" s="352"/>
      <c r="B233" s="354"/>
      <c r="C233" s="383" t="s">
        <v>51</v>
      </c>
      <c r="D233" s="80" t="s">
        <v>72</v>
      </c>
      <c r="E233" s="429"/>
      <c r="F233" s="366"/>
    </row>
    <row r="234" spans="1:6">
      <c r="A234" s="352"/>
      <c r="B234" s="354"/>
      <c r="C234" s="384"/>
      <c r="D234" s="82" t="s">
        <v>73</v>
      </c>
      <c r="E234" s="429"/>
      <c r="F234" s="366"/>
    </row>
    <row r="235" spans="1:6">
      <c r="A235" s="352"/>
      <c r="B235" s="354"/>
      <c r="C235" s="384"/>
      <c r="D235" s="82" t="s">
        <v>74</v>
      </c>
      <c r="E235" s="429"/>
      <c r="F235" s="366"/>
    </row>
    <row r="236" spans="1:6">
      <c r="A236" s="352"/>
      <c r="B236" s="354"/>
      <c r="C236" s="385"/>
      <c r="D236" s="83" t="s">
        <v>75</v>
      </c>
      <c r="E236" s="429"/>
      <c r="F236" s="366"/>
    </row>
    <row r="237" spans="1:6">
      <c r="A237" s="352"/>
      <c r="B237" s="423"/>
      <c r="C237" s="84" t="s">
        <v>57</v>
      </c>
      <c r="D237" s="85" t="s">
        <v>13</v>
      </c>
      <c r="E237" s="430"/>
      <c r="F237" s="367"/>
    </row>
  </sheetData>
  <mergeCells count="137">
    <mergeCell ref="A199:A237"/>
    <mergeCell ref="B199:B207"/>
    <mergeCell ref="E199:E237"/>
    <mergeCell ref="F199:F207"/>
    <mergeCell ref="C202:C206"/>
    <mergeCell ref="B208:B214"/>
    <mergeCell ref="F208:F214"/>
    <mergeCell ref="C211:C213"/>
    <mergeCell ref="B215:B219"/>
    <mergeCell ref="F215:F219"/>
    <mergeCell ref="B220:B224"/>
    <mergeCell ref="F220:F224"/>
    <mergeCell ref="B225:B229"/>
    <mergeCell ref="B230:B237"/>
    <mergeCell ref="F230:F237"/>
    <mergeCell ref="C233:C236"/>
    <mergeCell ref="F225:F229"/>
    <mergeCell ref="A160:A198"/>
    <mergeCell ref="A121:A159"/>
    <mergeCell ref="F130:F136"/>
    <mergeCell ref="A82:A120"/>
    <mergeCell ref="B82:B90"/>
    <mergeCell ref="E82:E120"/>
    <mergeCell ref="F82:F90"/>
    <mergeCell ref="C85:C89"/>
    <mergeCell ref="B91:B97"/>
    <mergeCell ref="F91:F97"/>
    <mergeCell ref="C94:C96"/>
    <mergeCell ref="B98:B102"/>
    <mergeCell ref="F98:F102"/>
    <mergeCell ref="B103:B107"/>
    <mergeCell ref="F103:F107"/>
    <mergeCell ref="B108:B112"/>
    <mergeCell ref="F108:F112"/>
    <mergeCell ref="B113:B120"/>
    <mergeCell ref="F113:F120"/>
    <mergeCell ref="C116:C119"/>
    <mergeCell ref="B130:B136"/>
    <mergeCell ref="E160:E198"/>
    <mergeCell ref="F160:F168"/>
    <mergeCell ref="B169:B175"/>
    <mergeCell ref="B152:B159"/>
    <mergeCell ref="F152:F159"/>
    <mergeCell ref="C155:C158"/>
    <mergeCell ref="F191:F198"/>
    <mergeCell ref="B160:B168"/>
    <mergeCell ref="F169:F175"/>
    <mergeCell ref="C172:C174"/>
    <mergeCell ref="B176:B180"/>
    <mergeCell ref="F176:F180"/>
    <mergeCell ref="B181:B185"/>
    <mergeCell ref="C194:C197"/>
    <mergeCell ref="C163:C167"/>
    <mergeCell ref="F181:F185"/>
    <mergeCell ref="B186:B190"/>
    <mergeCell ref="F186:F190"/>
    <mergeCell ref="B191:B198"/>
    <mergeCell ref="E121:E159"/>
    <mergeCell ref="F121:F129"/>
    <mergeCell ref="C124:C128"/>
    <mergeCell ref="B142:B146"/>
    <mergeCell ref="F142:F146"/>
    <mergeCell ref="B147:B151"/>
    <mergeCell ref="F147:F151"/>
    <mergeCell ref="C133:C135"/>
    <mergeCell ref="B137:B141"/>
    <mergeCell ref="F137:F141"/>
    <mergeCell ref="B121:B129"/>
    <mergeCell ref="B64:B68"/>
    <mergeCell ref="B1:I2"/>
    <mergeCell ref="A29:F30"/>
    <mergeCell ref="G31:R31"/>
    <mergeCell ref="G33:R33"/>
    <mergeCell ref="A31:F32"/>
    <mergeCell ref="G32:R32"/>
    <mergeCell ref="G29:R30"/>
    <mergeCell ref="A33:F33"/>
    <mergeCell ref="A7:B8"/>
    <mergeCell ref="C7:C8"/>
    <mergeCell ref="F15:G15"/>
    <mergeCell ref="F16:G16"/>
    <mergeCell ref="F18:G18"/>
    <mergeCell ref="B13:B14"/>
    <mergeCell ref="C13:C14"/>
    <mergeCell ref="D13:D14"/>
    <mergeCell ref="E13:E14"/>
    <mergeCell ref="F13:G14"/>
    <mergeCell ref="A9:B9"/>
    <mergeCell ref="H11:I11"/>
    <mergeCell ref="B24:E24"/>
    <mergeCell ref="B22:E22"/>
    <mergeCell ref="B23:E23"/>
    <mergeCell ref="B25:E25"/>
    <mergeCell ref="F39:G39"/>
    <mergeCell ref="C39:E39"/>
    <mergeCell ref="C77:C80"/>
    <mergeCell ref="E43:E81"/>
    <mergeCell ref="F41:F42"/>
    <mergeCell ref="B26:E26"/>
    <mergeCell ref="G34:R34"/>
    <mergeCell ref="G35:R35"/>
    <mergeCell ref="A36:F36"/>
    <mergeCell ref="A37:F37"/>
    <mergeCell ref="G36:R36"/>
    <mergeCell ref="G37:R37"/>
    <mergeCell ref="A34:F34"/>
    <mergeCell ref="A35:F35"/>
    <mergeCell ref="A41:A42"/>
    <mergeCell ref="B41:B42"/>
    <mergeCell ref="C41:D42"/>
    <mergeCell ref="E41:E42"/>
    <mergeCell ref="F74:F81"/>
    <mergeCell ref="B43:B51"/>
    <mergeCell ref="A43:A81"/>
    <mergeCell ref="B74:B81"/>
    <mergeCell ref="L50:N50"/>
    <mergeCell ref="L51:N51"/>
    <mergeCell ref="L52:N52"/>
    <mergeCell ref="L40:N41"/>
    <mergeCell ref="L42:N42"/>
    <mergeCell ref="L43:N43"/>
    <mergeCell ref="L44:N44"/>
    <mergeCell ref="L45:N45"/>
    <mergeCell ref="L46:N46"/>
    <mergeCell ref="L47:N47"/>
    <mergeCell ref="L48:N48"/>
    <mergeCell ref="L49:N49"/>
    <mergeCell ref="B52:B58"/>
    <mergeCell ref="C55:C57"/>
    <mergeCell ref="B69:B73"/>
    <mergeCell ref="F59:F63"/>
    <mergeCell ref="F43:F51"/>
    <mergeCell ref="F52:F58"/>
    <mergeCell ref="F64:F68"/>
    <mergeCell ref="F69:F73"/>
    <mergeCell ref="B59:B63"/>
    <mergeCell ref="C46:C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5BD6-78CE-4E70-AB96-1B6E9A63CB37}">
  <dimension ref="B1:G18"/>
  <sheetViews>
    <sheetView workbookViewId="0">
      <selection activeCell="H7" sqref="H7"/>
    </sheetView>
  </sheetViews>
  <sheetFormatPr defaultRowHeight="15"/>
  <cols>
    <col min="2" max="2" width="13.5703125" customWidth="1"/>
    <col min="3" max="3" width="23.7109375" customWidth="1"/>
    <col min="4" max="4" width="26.5703125" customWidth="1"/>
    <col min="5" max="5" width="23.140625" customWidth="1"/>
    <col min="6" max="6" width="14.42578125" customWidth="1"/>
    <col min="7" max="7" width="23.140625" customWidth="1"/>
  </cols>
  <sheetData>
    <row r="1" spans="2:7" ht="51.75" customHeight="1">
      <c r="B1" s="443" t="s">
        <v>84</v>
      </c>
      <c r="C1" s="444"/>
      <c r="D1" s="444"/>
      <c r="E1" s="444"/>
      <c r="F1" s="444"/>
      <c r="G1" s="445"/>
    </row>
    <row r="2" spans="2:7">
      <c r="B2" s="299"/>
      <c r="C2" s="298"/>
      <c r="D2" s="298"/>
      <c r="E2" s="298"/>
      <c r="F2" s="298"/>
      <c r="G2" s="300"/>
    </row>
    <row r="3" spans="2:7" ht="44.25" customHeight="1">
      <c r="B3" s="302" t="s">
        <v>85</v>
      </c>
      <c r="C3" s="302" t="s">
        <v>86</v>
      </c>
      <c r="D3" s="302" t="s">
        <v>87</v>
      </c>
      <c r="E3" s="302" t="s">
        <v>88</v>
      </c>
      <c r="F3" s="302" t="s">
        <v>89</v>
      </c>
      <c r="G3" s="302" t="s">
        <v>90</v>
      </c>
    </row>
    <row r="4" spans="2:7" ht="30" customHeight="1">
      <c r="B4" s="301" t="s">
        <v>91</v>
      </c>
      <c r="C4" s="216">
        <v>60000</v>
      </c>
      <c r="D4" s="216">
        <v>300000</v>
      </c>
      <c r="E4" s="216">
        <v>300</v>
      </c>
      <c r="F4" s="216">
        <v>8000</v>
      </c>
      <c r="G4" s="216">
        <f>E4*F4</f>
        <v>2400000</v>
      </c>
    </row>
    <row r="5" spans="2:7" ht="28.5" customHeight="1">
      <c r="B5" s="301" t="s">
        <v>92</v>
      </c>
      <c r="C5" s="216">
        <v>250000</v>
      </c>
      <c r="D5" s="216">
        <v>240000</v>
      </c>
      <c r="E5" s="216">
        <v>400</v>
      </c>
      <c r="F5" s="216">
        <v>1500</v>
      </c>
      <c r="G5" s="216">
        <f>E5*F5</f>
        <v>600000</v>
      </c>
    </row>
    <row r="6" spans="2:7" ht="31.5" customHeight="1">
      <c r="B6" s="301" t="s">
        <v>93</v>
      </c>
      <c r="C6" s="216">
        <v>180000</v>
      </c>
      <c r="D6" s="216">
        <v>270000</v>
      </c>
      <c r="E6" s="216">
        <v>250</v>
      </c>
      <c r="F6" s="216">
        <v>3000</v>
      </c>
      <c r="G6" s="216">
        <f>E6*F6</f>
        <v>750000</v>
      </c>
    </row>
    <row r="7" spans="2:7" ht="29.25" customHeight="1">
      <c r="B7" s="301" t="s">
        <v>94</v>
      </c>
      <c r="C7" s="216">
        <v>20000</v>
      </c>
      <c r="D7" s="216">
        <v>480000</v>
      </c>
      <c r="E7" s="216">
        <v>600</v>
      </c>
      <c r="F7" s="216">
        <v>25000</v>
      </c>
      <c r="G7" s="216">
        <f>E7*F7</f>
        <v>15000000</v>
      </c>
    </row>
    <row r="8" spans="2:7" ht="29.25" customHeight="1">
      <c r="B8" s="301" t="s">
        <v>95</v>
      </c>
      <c r="C8" s="216">
        <v>600000</v>
      </c>
      <c r="D8" s="216">
        <v>420000</v>
      </c>
      <c r="E8" s="216">
        <v>400</v>
      </c>
      <c r="F8" s="216">
        <v>20000</v>
      </c>
      <c r="G8" s="216">
        <f>E8*F8</f>
        <v>8000000</v>
      </c>
    </row>
    <row r="9" spans="2:7" ht="30" customHeight="1">
      <c r="B9" s="301" t="s">
        <v>96</v>
      </c>
      <c r="C9" s="216">
        <v>25000</v>
      </c>
      <c r="D9" s="216">
        <v>450000</v>
      </c>
      <c r="E9" s="216">
        <v>700</v>
      </c>
      <c r="F9" s="216">
        <v>18000</v>
      </c>
      <c r="G9" s="216">
        <f>E9*F9</f>
        <v>12600000</v>
      </c>
    </row>
    <row r="10" spans="2:7" ht="30" customHeight="1">
      <c r="B10" s="301" t="s">
        <v>97</v>
      </c>
      <c r="C10" s="216">
        <v>100000</v>
      </c>
      <c r="D10" s="216">
        <v>360000</v>
      </c>
      <c r="E10" s="216">
        <v>500</v>
      </c>
      <c r="F10" s="216">
        <v>15000</v>
      </c>
      <c r="G10" s="216">
        <f>E10*F10</f>
        <v>7500000</v>
      </c>
    </row>
    <row r="11" spans="2:7" ht="30" customHeight="1">
      <c r="B11" s="301" t="s">
        <v>98</v>
      </c>
      <c r="C11" s="216">
        <v>100</v>
      </c>
      <c r="D11" s="216">
        <v>900000</v>
      </c>
      <c r="E11" s="216">
        <v>800</v>
      </c>
      <c r="F11" s="216">
        <v>15000</v>
      </c>
      <c r="G11" s="216">
        <f>E11*F11</f>
        <v>12000000</v>
      </c>
    </row>
    <row r="12" spans="2:7" ht="30.75" customHeight="1">
      <c r="B12" s="301" t="s">
        <v>99</v>
      </c>
      <c r="C12" s="216">
        <v>1200</v>
      </c>
      <c r="D12" s="216">
        <v>1200000</v>
      </c>
      <c r="E12" s="216">
        <v>350</v>
      </c>
      <c r="F12" s="216">
        <v>30000</v>
      </c>
      <c r="G12" s="216">
        <f>E12*F12</f>
        <v>10500000</v>
      </c>
    </row>
    <row r="13" spans="2:7" ht="30" customHeight="1">
      <c r="B13" s="301" t="s">
        <v>100</v>
      </c>
      <c r="C13" s="216">
        <v>500</v>
      </c>
      <c r="D13" s="216">
        <v>1500000</v>
      </c>
      <c r="E13" s="216">
        <v>1500</v>
      </c>
      <c r="F13" s="216">
        <v>20000</v>
      </c>
      <c r="G13" s="216">
        <f>E13*F13</f>
        <v>30000000</v>
      </c>
    </row>
    <row r="14" spans="2:7" ht="30.75" customHeight="1">
      <c r="B14" s="301" t="s">
        <v>101</v>
      </c>
      <c r="C14" s="216">
        <v>1000</v>
      </c>
      <c r="D14" s="216">
        <v>1080000</v>
      </c>
      <c r="E14" s="216">
        <v>600</v>
      </c>
      <c r="F14" s="216">
        <v>18000</v>
      </c>
      <c r="G14" s="216">
        <f>E14*F14</f>
        <v>10800000</v>
      </c>
    </row>
    <row r="16" spans="2:7" ht="21.75" customHeight="1">
      <c r="B16" s="446" t="s">
        <v>102</v>
      </c>
      <c r="C16" s="446"/>
      <c r="D16" s="446"/>
      <c r="E16" s="446"/>
    </row>
    <row r="17" spans="2:5" ht="21.75" customHeight="1">
      <c r="B17" s="316" t="s">
        <v>103</v>
      </c>
      <c r="C17" s="316"/>
      <c r="D17" s="316"/>
      <c r="E17" s="303"/>
    </row>
    <row r="18" spans="2:5" ht="21.75" customHeight="1">
      <c r="B18" s="447" t="s">
        <v>104</v>
      </c>
      <c r="C18" s="448"/>
      <c r="D18" s="448"/>
      <c r="E18" s="449"/>
    </row>
  </sheetData>
  <mergeCells count="3">
    <mergeCell ref="B1:G1"/>
    <mergeCell ref="B16:E16"/>
    <mergeCell ref="B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B2:J72"/>
  <sheetViews>
    <sheetView topLeftCell="A34" workbookViewId="0">
      <selection activeCell="G41" sqref="G41"/>
    </sheetView>
  </sheetViews>
  <sheetFormatPr defaultColWidth="8.7109375" defaultRowHeight="15"/>
  <cols>
    <col min="1" max="1" width="6.42578125" customWidth="1"/>
    <col min="2" max="2" width="24.5703125" customWidth="1"/>
    <col min="3" max="3" width="23.28515625" style="4" customWidth="1"/>
    <col min="4" max="4" width="29.5703125" style="4" customWidth="1"/>
    <col min="5" max="5" width="27.42578125" style="4" customWidth="1"/>
    <col min="6" max="6" width="25.140625" style="4" customWidth="1"/>
    <col min="7" max="7" width="25.5703125" style="4" customWidth="1"/>
    <col min="8" max="8" width="23.140625" style="4" customWidth="1"/>
    <col min="9" max="9" width="23.28515625" style="2" customWidth="1"/>
    <col min="10" max="10" width="15.85546875" style="2" customWidth="1"/>
  </cols>
  <sheetData>
    <row r="2" spans="2:6" ht="35.25" customHeight="1">
      <c r="B2" s="450" t="s">
        <v>105</v>
      </c>
      <c r="C2" s="450"/>
      <c r="D2" s="450"/>
      <c r="E2" s="450"/>
      <c r="F2" s="271"/>
    </row>
    <row r="3" spans="2:6" ht="51" customHeight="1">
      <c r="B3" s="462" t="s">
        <v>106</v>
      </c>
      <c r="C3" s="462"/>
      <c r="D3" s="462"/>
      <c r="E3" s="462"/>
    </row>
    <row r="4" spans="2:6" ht="30" customHeight="1">
      <c r="B4" s="161" t="s">
        <v>107</v>
      </c>
      <c r="C4" s="161" t="s">
        <v>108</v>
      </c>
      <c r="D4" s="161" t="s">
        <v>109</v>
      </c>
      <c r="E4" s="161" t="s">
        <v>110</v>
      </c>
    </row>
    <row r="5" spans="2:6" ht="24" customHeight="1">
      <c r="B5" s="147" t="s">
        <v>111</v>
      </c>
      <c r="C5" s="147">
        <v>500</v>
      </c>
      <c r="D5" s="149">
        <v>30</v>
      </c>
      <c r="E5" s="147">
        <v>2</v>
      </c>
    </row>
    <row r="6" spans="2:6" ht="23.25" customHeight="1">
      <c r="B6" s="147" t="s">
        <v>112</v>
      </c>
      <c r="C6" s="147">
        <v>1200</v>
      </c>
      <c r="D6" s="148">
        <v>90</v>
      </c>
      <c r="E6" s="150">
        <v>3</v>
      </c>
      <c r="F6" s="145"/>
    </row>
    <row r="7" spans="2:6" ht="21.75" customHeight="1">
      <c r="B7" s="147" t="s">
        <v>113</v>
      </c>
      <c r="C7" s="147">
        <v>12000</v>
      </c>
      <c r="D7" s="147">
        <v>9000</v>
      </c>
      <c r="E7" s="148">
        <v>7</v>
      </c>
      <c r="F7" s="143"/>
    </row>
    <row r="8" spans="2:6" ht="23.25" customHeight="1">
      <c r="B8" s="147" t="s">
        <v>114</v>
      </c>
      <c r="C8" s="147">
        <v>24000</v>
      </c>
      <c r="D8" s="146">
        <v>18000</v>
      </c>
      <c r="E8" s="148">
        <v>10</v>
      </c>
      <c r="F8" s="143"/>
    </row>
    <row r="9" spans="2:6" ht="23.25" customHeight="1">
      <c r="D9" s="144"/>
      <c r="E9" s="24"/>
      <c r="F9" s="24"/>
    </row>
    <row r="10" spans="2:6" ht="29.25" customHeight="1">
      <c r="B10" s="161" t="s">
        <v>85</v>
      </c>
      <c r="C10" s="161" t="s">
        <v>115</v>
      </c>
      <c r="D10" s="161" t="s">
        <v>116</v>
      </c>
      <c r="E10" s="161" t="s">
        <v>117</v>
      </c>
      <c r="F10" s="161" t="s">
        <v>118</v>
      </c>
    </row>
    <row r="11" spans="2:6" ht="23.25" customHeight="1">
      <c r="B11" s="147" t="s">
        <v>91</v>
      </c>
      <c r="C11" s="147">
        <v>6000</v>
      </c>
      <c r="D11" s="147">
        <v>4800</v>
      </c>
      <c r="E11" s="147">
        <v>2000</v>
      </c>
      <c r="F11" s="148">
        <f>(D11/C11)*100</f>
        <v>80</v>
      </c>
    </row>
    <row r="12" spans="2:6" ht="23.25" customHeight="1">
      <c r="B12" s="147" t="s">
        <v>94</v>
      </c>
      <c r="C12" s="147">
        <v>5000</v>
      </c>
      <c r="D12" s="147">
        <v>4000</v>
      </c>
      <c r="E12" s="147">
        <v>1800</v>
      </c>
      <c r="F12" s="148">
        <f>(D12/C12)*100</f>
        <v>80</v>
      </c>
    </row>
    <row r="13" spans="2:6" ht="23.25" customHeight="1">
      <c r="B13" s="147" t="s">
        <v>95</v>
      </c>
      <c r="C13" s="147">
        <v>7000</v>
      </c>
      <c r="D13" s="147">
        <v>5600</v>
      </c>
      <c r="E13" s="147">
        <v>2200</v>
      </c>
      <c r="F13" s="148">
        <f>(D13/C13)*100</f>
        <v>80</v>
      </c>
    </row>
    <row r="14" spans="2:6" ht="23.25" customHeight="1">
      <c r="B14" s="147" t="s">
        <v>96</v>
      </c>
      <c r="C14" s="147">
        <v>5500</v>
      </c>
      <c r="D14" s="147">
        <v>4400</v>
      </c>
      <c r="E14" s="147">
        <v>1900</v>
      </c>
      <c r="F14" s="148">
        <f>(D14/C14)*100</f>
        <v>80</v>
      </c>
    </row>
    <row r="15" spans="2:6" ht="23.25" customHeight="1">
      <c r="B15" s="255" t="s">
        <v>97</v>
      </c>
      <c r="C15" s="255">
        <v>4000</v>
      </c>
      <c r="D15" s="256">
        <v>3200</v>
      </c>
      <c r="E15" s="257">
        <v>1600</v>
      </c>
      <c r="F15" s="257">
        <f>(D15/C15)*100</f>
        <v>80</v>
      </c>
    </row>
    <row r="16" spans="2:6" ht="23.25" customHeight="1">
      <c r="B16" s="147" t="s">
        <v>98</v>
      </c>
      <c r="C16" s="147">
        <v>40000</v>
      </c>
      <c r="D16" s="146">
        <v>32000</v>
      </c>
      <c r="E16" s="148">
        <v>15000</v>
      </c>
      <c r="F16" s="148">
        <f>D16/C16*100</f>
        <v>80</v>
      </c>
    </row>
    <row r="17" spans="2:6" ht="23.25" customHeight="1">
      <c r="B17" s="147" t="s">
        <v>99</v>
      </c>
      <c r="C17" s="147">
        <v>60000</v>
      </c>
      <c r="D17" s="146">
        <v>48000</v>
      </c>
      <c r="E17" s="148">
        <v>25000</v>
      </c>
      <c r="F17" s="148">
        <f>D17/C17*100</f>
        <v>80</v>
      </c>
    </row>
    <row r="18" spans="2:6" ht="23.25" customHeight="1">
      <c r="B18" s="147" t="s">
        <v>100</v>
      </c>
      <c r="C18" s="147">
        <v>50000</v>
      </c>
      <c r="D18" s="146">
        <v>42500</v>
      </c>
      <c r="E18" s="148">
        <v>20000</v>
      </c>
      <c r="F18" s="148">
        <f>D18/C18*100</f>
        <v>85</v>
      </c>
    </row>
    <row r="19" spans="2:6" ht="23.25" customHeight="1">
      <c r="B19" s="255" t="s">
        <v>101</v>
      </c>
      <c r="C19" s="255">
        <v>45000</v>
      </c>
      <c r="D19" s="256">
        <v>38700</v>
      </c>
      <c r="E19" s="257">
        <v>18000</v>
      </c>
      <c r="F19" s="257">
        <f>D19/C19*100</f>
        <v>86</v>
      </c>
    </row>
    <row r="20" spans="2:6" ht="23.25" customHeight="1">
      <c r="B20" s="147" t="s">
        <v>92</v>
      </c>
      <c r="C20" s="147">
        <v>8000</v>
      </c>
      <c r="D20" s="146">
        <v>6800</v>
      </c>
      <c r="E20" s="148">
        <v>1500</v>
      </c>
      <c r="F20" s="148">
        <f>D20/C20*100</f>
        <v>85</v>
      </c>
    </row>
    <row r="21" spans="2:6" ht="23.25" customHeight="1">
      <c r="B21" s="147" t="s">
        <v>93</v>
      </c>
      <c r="C21" s="147">
        <v>10000</v>
      </c>
      <c r="D21" s="146">
        <v>8500</v>
      </c>
      <c r="E21" s="148">
        <v>3000</v>
      </c>
      <c r="F21" s="148">
        <f>D21/C21*100</f>
        <v>85</v>
      </c>
    </row>
    <row r="22" spans="2:6" ht="23.25" customHeight="1">
      <c r="D22" s="144"/>
      <c r="E22" s="24"/>
      <c r="F22" s="24"/>
    </row>
    <row r="23" spans="2:6" ht="44.25" customHeight="1">
      <c r="B23" s="462" t="s">
        <v>119</v>
      </c>
      <c r="C23" s="462"/>
      <c r="D23" s="462"/>
      <c r="E23" s="24"/>
      <c r="F23" s="24"/>
    </row>
    <row r="24" spans="2:6" ht="30" customHeight="1">
      <c r="B24" s="161" t="s">
        <v>120</v>
      </c>
      <c r="C24" s="465" t="s">
        <v>121</v>
      </c>
      <c r="D24" s="466"/>
      <c r="E24" s="24"/>
      <c r="F24" s="24"/>
    </row>
    <row r="25" spans="2:6" ht="23.25" customHeight="1">
      <c r="B25" s="147" t="s">
        <v>122</v>
      </c>
      <c r="C25" s="467" t="s">
        <v>123</v>
      </c>
      <c r="D25" s="468"/>
      <c r="E25" s="24"/>
      <c r="F25" s="24"/>
    </row>
    <row r="26" spans="2:6" ht="23.25" customHeight="1">
      <c r="B26" s="147" t="s">
        <v>124</v>
      </c>
      <c r="C26" s="467" t="s">
        <v>125</v>
      </c>
      <c r="D26" s="468"/>
      <c r="E26" s="24"/>
      <c r="F26" s="24"/>
    </row>
    <row r="27" spans="2:6" ht="23.25" customHeight="1">
      <c r="B27" s="147" t="s">
        <v>126</v>
      </c>
      <c r="C27" s="467" t="s">
        <v>127</v>
      </c>
      <c r="D27" s="468"/>
      <c r="E27" s="24"/>
      <c r="F27" s="24"/>
    </row>
    <row r="28" spans="2:6" ht="23.25" customHeight="1">
      <c r="B28" s="147" t="s">
        <v>128</v>
      </c>
      <c r="C28" s="467" t="s">
        <v>129</v>
      </c>
      <c r="D28" s="468"/>
      <c r="E28" s="24"/>
      <c r="F28" s="24"/>
    </row>
    <row r="29" spans="2:6" ht="23.25" customHeight="1">
      <c r="B29" s="147" t="s">
        <v>130</v>
      </c>
      <c r="C29" s="467" t="s">
        <v>131</v>
      </c>
      <c r="D29" s="468"/>
      <c r="E29" s="24"/>
      <c r="F29" s="24"/>
    </row>
    <row r="30" spans="2:6" ht="23.25" customHeight="1">
      <c r="C30"/>
      <c r="D30" s="144"/>
      <c r="E30" s="24"/>
      <c r="F30" s="24"/>
    </row>
    <row r="31" spans="2:6" ht="46.5" customHeight="1">
      <c r="B31" s="460" t="s">
        <v>132</v>
      </c>
      <c r="C31" s="461"/>
      <c r="D31" s="461"/>
      <c r="E31" s="461"/>
      <c r="F31" s="461"/>
    </row>
    <row r="32" spans="2:6" ht="32.25" customHeight="1">
      <c r="B32" s="161" t="s">
        <v>133</v>
      </c>
      <c r="C32" s="161" t="s">
        <v>134</v>
      </c>
      <c r="D32" s="161" t="s">
        <v>135</v>
      </c>
      <c r="E32" s="161" t="s">
        <v>136</v>
      </c>
      <c r="F32" s="161" t="s">
        <v>137</v>
      </c>
    </row>
    <row r="33" spans="2:6" ht="23.25" customHeight="1">
      <c r="B33" s="147" t="s">
        <v>138</v>
      </c>
      <c r="C33" s="216">
        <v>313887</v>
      </c>
      <c r="D33" s="214">
        <v>753328</v>
      </c>
      <c r="E33" s="215">
        <v>8100000</v>
      </c>
      <c r="F33" s="215">
        <v>43200000</v>
      </c>
    </row>
    <row r="34" spans="2:6" ht="23.25" customHeight="1">
      <c r="B34" s="147" t="s">
        <v>139</v>
      </c>
      <c r="C34" s="216">
        <v>502219</v>
      </c>
      <c r="D34" s="214">
        <v>753328</v>
      </c>
      <c r="E34" s="215">
        <v>5500000</v>
      </c>
      <c r="F34" s="215">
        <v>9450000</v>
      </c>
    </row>
    <row r="35" spans="2:6" ht="23.25" customHeight="1">
      <c r="B35" s="147" t="s">
        <v>140</v>
      </c>
      <c r="C35" s="216">
        <v>125554</v>
      </c>
      <c r="D35" s="214">
        <v>251109</v>
      </c>
      <c r="E35" s="215">
        <v>2000000</v>
      </c>
      <c r="F35" s="215">
        <v>4000000</v>
      </c>
    </row>
    <row r="36" spans="2:6" ht="23.25" customHeight="1">
      <c r="B36" s="147" t="s">
        <v>141</v>
      </c>
      <c r="C36" s="216">
        <v>94166</v>
      </c>
      <c r="D36" s="214">
        <v>188332</v>
      </c>
      <c r="E36" s="215">
        <v>1800000</v>
      </c>
      <c r="F36" s="215">
        <v>3500000</v>
      </c>
    </row>
    <row r="37" spans="2:6" ht="23.25" customHeight="1">
      <c r="B37" s="147" t="s">
        <v>142</v>
      </c>
      <c r="C37" s="216">
        <f>(C33+C34+C35+C36)</f>
        <v>1035826</v>
      </c>
      <c r="D37" s="214">
        <f>(D33+D34+D35+D36)</f>
        <v>1946097</v>
      </c>
      <c r="E37" s="215">
        <f>(E33+E34+E35+E36)</f>
        <v>17400000</v>
      </c>
      <c r="F37" s="215">
        <f>(F33+F34+F35+F36)</f>
        <v>60150000</v>
      </c>
    </row>
    <row r="38" spans="2:6" ht="23.25" customHeight="1">
      <c r="C38"/>
      <c r="D38" s="144"/>
      <c r="E38" s="24"/>
      <c r="F38" s="24"/>
    </row>
    <row r="39" spans="2:6" ht="45.75" customHeight="1">
      <c r="B39" s="460" t="s">
        <v>143</v>
      </c>
      <c r="C39" s="461"/>
      <c r="D39" s="461"/>
      <c r="E39" s="24"/>
      <c r="F39" s="24"/>
    </row>
    <row r="40" spans="2:6" ht="31.5" customHeight="1">
      <c r="B40" s="161" t="s">
        <v>107</v>
      </c>
      <c r="C40" s="161" t="s">
        <v>144</v>
      </c>
      <c r="D40" s="161" t="s">
        <v>145</v>
      </c>
      <c r="E40" s="24"/>
      <c r="F40" s="24"/>
    </row>
    <row r="41" spans="2:6" ht="23.25" customHeight="1">
      <c r="B41" s="147" t="s">
        <v>111</v>
      </c>
      <c r="C41" s="216">
        <v>1035827</v>
      </c>
      <c r="D41" s="214">
        <v>313887</v>
      </c>
      <c r="E41" s="24"/>
      <c r="F41" s="24"/>
    </row>
    <row r="42" spans="2:6" ht="23.25" customHeight="1">
      <c r="B42" s="147" t="s">
        <v>112</v>
      </c>
      <c r="C42" s="216">
        <v>1946099</v>
      </c>
      <c r="D42" s="214">
        <v>9416610</v>
      </c>
      <c r="E42" s="24"/>
      <c r="F42" s="24"/>
    </row>
    <row r="43" spans="2:6" ht="23.25" customHeight="1">
      <c r="B43" s="147" t="s">
        <v>113</v>
      </c>
      <c r="C43" s="216">
        <v>23600000</v>
      </c>
      <c r="D43" s="214">
        <v>101250000</v>
      </c>
      <c r="E43" s="24"/>
      <c r="F43" s="24"/>
    </row>
    <row r="44" spans="2:6" ht="23.25" customHeight="1">
      <c r="B44" s="147" t="s">
        <v>114</v>
      </c>
      <c r="C44" s="216">
        <v>45360000</v>
      </c>
      <c r="D44" s="214">
        <v>216000000</v>
      </c>
      <c r="E44" s="24"/>
      <c r="F44" s="24"/>
    </row>
    <row r="45" spans="2:6" ht="23.25" customHeight="1">
      <c r="C45" s="7"/>
      <c r="D45" s="144"/>
      <c r="E45" s="24"/>
      <c r="F45" s="24"/>
    </row>
    <row r="46" spans="2:6" ht="45" customHeight="1">
      <c r="B46" s="463" t="s">
        <v>146</v>
      </c>
      <c r="C46" s="464"/>
      <c r="D46" s="464"/>
      <c r="E46" s="464"/>
      <c r="F46" s="464"/>
    </row>
    <row r="47" spans="2:6" ht="31.5" customHeight="1">
      <c r="B47" s="162"/>
      <c r="C47" s="163" t="s">
        <v>147</v>
      </c>
      <c r="D47" s="163" t="s">
        <v>148</v>
      </c>
      <c r="E47" s="163" t="s">
        <v>149</v>
      </c>
      <c r="F47" s="163" t="s">
        <v>150</v>
      </c>
    </row>
    <row r="48" spans="2:6" ht="23.25" customHeight="1">
      <c r="B48" s="160" t="s">
        <v>151</v>
      </c>
      <c r="C48" s="147">
        <v>1000</v>
      </c>
      <c r="D48" s="214">
        <v>627774</v>
      </c>
      <c r="E48" s="215">
        <v>125554</v>
      </c>
      <c r="F48" s="215">
        <f>(D48-E48)</f>
        <v>502220</v>
      </c>
    </row>
    <row r="49" spans="2:9" ht="23.25" customHeight="1">
      <c r="B49" s="160" t="s">
        <v>152</v>
      </c>
      <c r="C49" s="147">
        <v>1500</v>
      </c>
      <c r="D49" s="214">
        <v>941661</v>
      </c>
      <c r="E49" s="215">
        <v>251109</v>
      </c>
      <c r="F49" s="215">
        <f>(D49-E49)</f>
        <v>690552</v>
      </c>
    </row>
    <row r="50" spans="2:9" ht="23.25" customHeight="1">
      <c r="B50" s="160" t="s">
        <v>153</v>
      </c>
      <c r="C50" s="147">
        <v>2000</v>
      </c>
      <c r="D50" s="214">
        <v>1255548</v>
      </c>
      <c r="E50" s="215">
        <v>439441</v>
      </c>
      <c r="F50" s="215">
        <f>(D50-E50)</f>
        <v>816107</v>
      </c>
    </row>
    <row r="51" spans="2:9" ht="23.25" customHeight="1">
      <c r="C51"/>
      <c r="D51" s="144"/>
      <c r="E51" s="24"/>
      <c r="F51" s="24"/>
    </row>
    <row r="52" spans="2:9" ht="23.25" customHeight="1">
      <c r="C52"/>
      <c r="D52" s="144"/>
      <c r="E52" s="24"/>
      <c r="F52" s="24"/>
    </row>
    <row r="53" spans="2:9" ht="23.25" customHeight="1">
      <c r="C53"/>
      <c r="D53" s="144"/>
      <c r="E53" s="24"/>
      <c r="F53" s="24"/>
    </row>
    <row r="54" spans="2:9" ht="23.25" customHeight="1">
      <c r="C54"/>
      <c r="D54" s="144"/>
      <c r="E54" s="24"/>
      <c r="F54" s="24"/>
    </row>
    <row r="55" spans="2:9" ht="23.25" customHeight="1">
      <c r="C55"/>
      <c r="D55" s="144"/>
      <c r="E55" s="24"/>
      <c r="F55" s="24"/>
    </row>
    <row r="56" spans="2:9" ht="23.25" customHeight="1">
      <c r="C56"/>
      <c r="D56" s="144"/>
      <c r="E56" s="24"/>
      <c r="F56" s="24"/>
    </row>
    <row r="57" spans="2:9" ht="23.25" customHeight="1">
      <c r="C57"/>
      <c r="D57" s="144"/>
      <c r="E57" s="24"/>
      <c r="F57" s="24"/>
    </row>
    <row r="58" spans="2:9" ht="23.25" customHeight="1">
      <c r="E58" s="64"/>
      <c r="F58" s="76" t="s">
        <v>154</v>
      </c>
      <c r="G58" s="65"/>
      <c r="H58" s="226"/>
      <c r="I58" s="213"/>
    </row>
    <row r="59" spans="2:9" ht="23.25" customHeight="1">
      <c r="E59" s="24"/>
      <c r="F59" s="218"/>
      <c r="G59" s="317"/>
    </row>
    <row r="60" spans="2:9" ht="24" customHeight="1">
      <c r="E60" s="219"/>
      <c r="F60" s="217" t="s">
        <v>155</v>
      </c>
      <c r="G60" s="451" t="s">
        <v>156</v>
      </c>
      <c r="H60" s="452"/>
      <c r="I60" s="453"/>
    </row>
    <row r="61" spans="2:9" ht="29.25" customHeight="1">
      <c r="E61" s="59"/>
      <c r="F61" s="318" t="s">
        <v>157</v>
      </c>
      <c r="G61" s="69" t="s">
        <v>158</v>
      </c>
      <c r="H61" s="317"/>
      <c r="I61" s="222"/>
    </row>
    <row r="62" spans="2:9" ht="30" customHeight="1">
      <c r="E62" s="60" t="s">
        <v>159</v>
      </c>
      <c r="F62" s="318" t="s">
        <v>160</v>
      </c>
      <c r="G62" s="69" t="s">
        <v>161</v>
      </c>
      <c r="H62" s="317"/>
      <c r="I62" s="222"/>
    </row>
    <row r="63" spans="2:9" ht="31.5" customHeight="1">
      <c r="E63" s="61"/>
      <c r="F63" s="70" t="s">
        <v>162</v>
      </c>
      <c r="G63" s="454"/>
      <c r="H63" s="455"/>
      <c r="I63" s="456"/>
    </row>
    <row r="64" spans="2:9" ht="31.5" customHeight="1">
      <c r="E64" s="50"/>
      <c r="F64" s="71" t="s">
        <v>163</v>
      </c>
      <c r="G64" s="68" t="s">
        <v>164</v>
      </c>
      <c r="H64" s="220"/>
      <c r="I64" s="221"/>
    </row>
    <row r="65" spans="5:9" ht="28.5" customHeight="1">
      <c r="E65" s="51" t="s">
        <v>165</v>
      </c>
      <c r="F65" s="318" t="s">
        <v>166</v>
      </c>
      <c r="G65" s="69" t="s">
        <v>167</v>
      </c>
      <c r="H65" s="317"/>
      <c r="I65" s="222"/>
    </row>
    <row r="66" spans="5:9" ht="29.25" customHeight="1">
      <c r="E66" s="52"/>
      <c r="F66" s="318" t="s">
        <v>168</v>
      </c>
      <c r="G66" s="73" t="s">
        <v>169</v>
      </c>
      <c r="H66" s="224"/>
      <c r="I66" s="225"/>
    </row>
    <row r="67" spans="5:9" ht="28.5" customHeight="1">
      <c r="E67" s="53"/>
      <c r="F67" s="72" t="s">
        <v>170</v>
      </c>
      <c r="G67" s="319" t="s">
        <v>171</v>
      </c>
      <c r="H67" s="317"/>
      <c r="I67" s="222"/>
    </row>
    <row r="68" spans="5:9" ht="29.25" customHeight="1">
      <c r="E68" s="54" t="s">
        <v>172</v>
      </c>
      <c r="F68" s="319" t="s">
        <v>173</v>
      </c>
      <c r="G68" s="319" t="s">
        <v>174</v>
      </c>
      <c r="H68" s="317"/>
      <c r="I68" s="222"/>
    </row>
    <row r="69" spans="5:9" ht="28.5" customHeight="1">
      <c r="E69" s="55"/>
      <c r="F69" s="319" t="s">
        <v>175</v>
      </c>
      <c r="G69" s="319" t="s">
        <v>176</v>
      </c>
      <c r="H69" s="317"/>
      <c r="I69" s="222"/>
    </row>
    <row r="70" spans="5:9" ht="29.25" customHeight="1">
      <c r="E70" s="56"/>
      <c r="F70" s="68" t="s">
        <v>177</v>
      </c>
      <c r="G70" s="227" t="s">
        <v>178</v>
      </c>
      <c r="H70" s="220"/>
      <c r="I70" s="221"/>
    </row>
    <row r="71" spans="5:9" ht="28.5" customHeight="1">
      <c r="E71" s="57" t="s">
        <v>179</v>
      </c>
      <c r="F71" s="69" t="s">
        <v>180</v>
      </c>
      <c r="G71" s="457" t="s">
        <v>181</v>
      </c>
      <c r="H71" s="458"/>
      <c r="I71" s="459"/>
    </row>
    <row r="72" spans="5:9" ht="29.25" customHeight="1">
      <c r="E72" s="58"/>
      <c r="F72" s="73" t="s">
        <v>182</v>
      </c>
      <c r="G72" s="223" t="s">
        <v>183</v>
      </c>
      <c r="H72" s="224"/>
      <c r="I72" s="225"/>
    </row>
  </sheetData>
  <autoFilter ref="B4:E8" xr:uid="{910004EF-AF3D-4356-A231-98CE64608260}"/>
  <sortState xmlns:xlrd2="http://schemas.microsoft.com/office/spreadsheetml/2017/richdata2" ref="B4:E4">
    <sortCondition sortBy="cellColor" ref="B4" dxfId="142"/>
  </sortState>
  <mergeCells count="15">
    <mergeCell ref="B2:E2"/>
    <mergeCell ref="G60:I60"/>
    <mergeCell ref="G63:I63"/>
    <mergeCell ref="G71:I71"/>
    <mergeCell ref="B31:F31"/>
    <mergeCell ref="B39:D39"/>
    <mergeCell ref="B3:E3"/>
    <mergeCell ref="B46:F46"/>
    <mergeCell ref="C24:D24"/>
    <mergeCell ref="C25:D25"/>
    <mergeCell ref="C26:D26"/>
    <mergeCell ref="C27:D27"/>
    <mergeCell ref="C28:D28"/>
    <mergeCell ref="C29:D29"/>
    <mergeCell ref="B23:D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A2:O50"/>
  <sheetViews>
    <sheetView workbookViewId="0">
      <selection activeCell="B32" sqref="B32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4" width="65.28515625" bestFit="1" customWidth="1"/>
    <col min="5" max="5" width="38.85546875" bestFit="1" customWidth="1"/>
    <col min="6" max="6" width="46.140625" bestFit="1" customWidth="1"/>
    <col min="7" max="7" width="31.42578125" bestFit="1" customWidth="1"/>
    <col min="8" max="8" width="35.7109375" bestFit="1" customWidth="1"/>
    <col min="12" max="12" width="4.42578125" bestFit="1" customWidth="1"/>
    <col min="13" max="13" width="110.28515625" bestFit="1" customWidth="1"/>
    <col min="14" max="14" width="117.5703125" customWidth="1"/>
    <col min="15" max="15" width="4.42578125" bestFit="1" customWidth="1"/>
    <col min="18" max="19" width="8.7109375" bestFit="1" customWidth="1"/>
  </cols>
  <sheetData>
    <row r="2" spans="1:15">
      <c r="A2" s="470" t="s">
        <v>184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</row>
    <row r="3" spans="1:15" ht="84" customHeight="1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</row>
    <row r="5" spans="1:15" ht="45">
      <c r="B5" s="481" t="s">
        <v>185</v>
      </c>
      <c r="C5" s="481"/>
      <c r="D5" s="481"/>
      <c r="E5" s="481"/>
      <c r="F5" s="481"/>
      <c r="G5" s="164"/>
      <c r="H5" s="164"/>
      <c r="I5" s="164"/>
      <c r="J5" s="164"/>
      <c r="K5" s="164"/>
      <c r="L5" s="164"/>
      <c r="M5" s="164"/>
      <c r="N5" s="164"/>
      <c r="O5" s="164"/>
    </row>
    <row r="6" spans="1:15" ht="23.25">
      <c r="B6" s="165" t="s">
        <v>186</v>
      </c>
      <c r="C6" s="165" t="s">
        <v>187</v>
      </c>
      <c r="D6" s="166" t="s">
        <v>188</v>
      </c>
      <c r="E6" s="166" t="s">
        <v>49</v>
      </c>
      <c r="F6" s="167" t="s">
        <v>189</v>
      </c>
      <c r="G6" s="168"/>
      <c r="H6" s="169"/>
      <c r="I6" s="169"/>
      <c r="J6" s="169"/>
      <c r="K6" s="164"/>
      <c r="L6" s="485" t="s">
        <v>190</v>
      </c>
      <c r="M6" s="485"/>
      <c r="N6" s="485"/>
      <c r="O6" s="485"/>
    </row>
    <row r="7" spans="1:15" ht="23.25">
      <c r="B7" s="193" t="s">
        <v>191</v>
      </c>
      <c r="C7" s="193" t="s">
        <v>192</v>
      </c>
      <c r="D7" s="170">
        <v>10</v>
      </c>
      <c r="E7" s="170" t="s">
        <v>193</v>
      </c>
      <c r="F7" s="194" t="s">
        <v>194</v>
      </c>
      <c r="G7" s="171"/>
      <c r="H7" s="172"/>
      <c r="I7" s="172"/>
      <c r="J7" s="172"/>
      <c r="K7" s="173"/>
      <c r="L7" s="486" t="s">
        <v>195</v>
      </c>
      <c r="M7" s="174" t="s">
        <v>196</v>
      </c>
      <c r="N7" s="175" t="s">
        <v>197</v>
      </c>
      <c r="O7" s="486" t="s">
        <v>198</v>
      </c>
    </row>
    <row r="8" spans="1:15" ht="23.25">
      <c r="B8" s="193" t="s">
        <v>199</v>
      </c>
      <c r="C8" s="193" t="s">
        <v>200</v>
      </c>
      <c r="D8" s="170">
        <v>12</v>
      </c>
      <c r="E8" s="170" t="s">
        <v>201</v>
      </c>
      <c r="F8" s="194" t="s">
        <v>202</v>
      </c>
      <c r="G8" s="176"/>
      <c r="H8" s="177"/>
      <c r="I8" s="177"/>
      <c r="J8" s="177"/>
      <c r="K8" s="173"/>
      <c r="L8" s="486"/>
      <c r="M8" s="487" t="s">
        <v>203</v>
      </c>
      <c r="N8" s="487"/>
      <c r="O8" s="486"/>
    </row>
    <row r="9" spans="1:15" ht="23.25">
      <c r="B9" s="195" t="s">
        <v>204</v>
      </c>
      <c r="C9" s="195" t="s">
        <v>192</v>
      </c>
      <c r="D9" s="178">
        <v>10</v>
      </c>
      <c r="E9" s="178" t="s">
        <v>205</v>
      </c>
      <c r="F9" s="196" t="s">
        <v>194</v>
      </c>
      <c r="G9" s="179"/>
      <c r="H9" s="180"/>
      <c r="I9" s="180"/>
      <c r="J9" s="180"/>
      <c r="K9" s="173"/>
      <c r="L9" s="486"/>
      <c r="M9" s="43" t="s">
        <v>206</v>
      </c>
      <c r="N9" s="47" t="s">
        <v>207</v>
      </c>
      <c r="O9" s="486"/>
    </row>
    <row r="10" spans="1:15" ht="23.25">
      <c r="B10" s="164"/>
      <c r="C10" s="164"/>
      <c r="D10" s="164"/>
      <c r="E10" s="181"/>
      <c r="F10" s="180"/>
      <c r="G10" s="180"/>
      <c r="H10" s="180"/>
      <c r="I10" s="180"/>
      <c r="J10" s="180"/>
      <c r="K10" s="173"/>
      <c r="L10" s="486"/>
      <c r="M10" s="46" t="s">
        <v>208</v>
      </c>
      <c r="N10" s="47" t="s">
        <v>209</v>
      </c>
      <c r="O10" s="486"/>
    </row>
    <row r="11" spans="1:15" ht="45.75">
      <c r="B11" s="490" t="s">
        <v>210</v>
      </c>
      <c r="C11" s="491"/>
      <c r="D11" s="491"/>
      <c r="E11" s="491"/>
      <c r="F11" s="491"/>
      <c r="G11" s="491"/>
      <c r="H11" s="492"/>
      <c r="I11" s="180"/>
      <c r="J11" s="180"/>
      <c r="K11" s="173"/>
      <c r="L11" s="486"/>
      <c r="M11" s="46" t="s">
        <v>211</v>
      </c>
      <c r="N11" s="182" t="s">
        <v>212</v>
      </c>
      <c r="O11" s="486"/>
    </row>
    <row r="12" spans="1:15" ht="23.25">
      <c r="B12" s="183" t="s">
        <v>186</v>
      </c>
      <c r="C12" s="165" t="s">
        <v>187</v>
      </c>
      <c r="D12" s="183" t="s">
        <v>213</v>
      </c>
      <c r="E12" s="183" t="s">
        <v>214</v>
      </c>
      <c r="F12" s="183" t="s">
        <v>215</v>
      </c>
      <c r="G12" s="183" t="s">
        <v>216</v>
      </c>
      <c r="H12" s="183" t="s">
        <v>217</v>
      </c>
      <c r="I12" s="164"/>
      <c r="J12" s="164"/>
      <c r="K12" s="164"/>
      <c r="L12" s="486"/>
      <c r="M12" s="488" t="s">
        <v>218</v>
      </c>
      <c r="N12" s="488"/>
      <c r="O12" s="486"/>
    </row>
    <row r="13" spans="1:15" ht="23.25">
      <c r="B13" s="184" t="s">
        <v>219</v>
      </c>
      <c r="C13" s="245" t="s">
        <v>192</v>
      </c>
      <c r="D13" s="184" t="s">
        <v>220</v>
      </c>
      <c r="E13" s="184">
        <v>800</v>
      </c>
      <c r="F13" s="476" t="s">
        <v>221</v>
      </c>
      <c r="G13" s="198">
        <f>400*600</f>
        <v>240000</v>
      </c>
      <c r="H13" s="198">
        <f>620*900</f>
        <v>558000</v>
      </c>
      <c r="I13" s="164"/>
      <c r="J13" s="164"/>
      <c r="K13" s="164"/>
      <c r="L13" s="486"/>
      <c r="M13" s="43" t="s">
        <v>222</v>
      </c>
      <c r="N13" s="45" t="s">
        <v>223</v>
      </c>
      <c r="O13" s="486"/>
    </row>
    <row r="14" spans="1:15" ht="23.25">
      <c r="B14" s="184" t="s">
        <v>224</v>
      </c>
      <c r="C14" s="245" t="s">
        <v>200</v>
      </c>
      <c r="D14" s="184" t="s">
        <v>220</v>
      </c>
      <c r="E14" s="198">
        <v>1200</v>
      </c>
      <c r="F14" s="477"/>
      <c r="G14" s="198">
        <f>600*650</f>
        <v>390000</v>
      </c>
      <c r="H14" s="198">
        <f>750*900</f>
        <v>675000</v>
      </c>
      <c r="I14" s="164"/>
      <c r="J14" s="164"/>
      <c r="K14" s="164"/>
      <c r="L14" s="486"/>
      <c r="M14" s="46" t="s">
        <v>225</v>
      </c>
      <c r="N14" s="45" t="s">
        <v>226</v>
      </c>
      <c r="O14" s="486"/>
    </row>
    <row r="15" spans="1:15" ht="23.25">
      <c r="B15" s="184" t="s">
        <v>204</v>
      </c>
      <c r="C15" s="245" t="s">
        <v>192</v>
      </c>
      <c r="D15" s="184" t="s">
        <v>220</v>
      </c>
      <c r="E15" s="184">
        <v>800</v>
      </c>
      <c r="F15" s="478"/>
      <c r="G15" s="198">
        <f>320*650</f>
        <v>208000</v>
      </c>
      <c r="H15" s="198">
        <f xml:space="preserve"> 570*900</f>
        <v>513000</v>
      </c>
      <c r="I15" s="164"/>
      <c r="J15" s="164"/>
      <c r="K15" s="164"/>
      <c r="L15" s="486"/>
      <c r="M15" s="487" t="s">
        <v>227</v>
      </c>
      <c r="N15" s="487"/>
      <c r="O15" s="486"/>
    </row>
    <row r="16" spans="1:15" ht="23.25">
      <c r="B16" s="184" t="s">
        <v>228</v>
      </c>
      <c r="C16" s="184" t="s">
        <v>13</v>
      </c>
      <c r="D16" s="184" t="s">
        <v>229</v>
      </c>
      <c r="E16" s="184" t="s">
        <v>230</v>
      </c>
      <c r="F16" s="198" t="s">
        <v>231</v>
      </c>
      <c r="G16" s="198" t="s">
        <v>231</v>
      </c>
      <c r="H16" s="199" t="s">
        <v>231</v>
      </c>
      <c r="I16" s="164"/>
      <c r="J16" s="164"/>
      <c r="K16" s="164"/>
      <c r="L16" s="486"/>
      <c r="M16" s="43" t="s">
        <v>232</v>
      </c>
      <c r="N16" s="45" t="s">
        <v>233</v>
      </c>
      <c r="O16" s="486"/>
    </row>
    <row r="17" spans="2:15" ht="23.25">
      <c r="B17" s="184" t="s">
        <v>234</v>
      </c>
      <c r="C17" s="184" t="s">
        <v>13</v>
      </c>
      <c r="D17" s="184" t="s">
        <v>229</v>
      </c>
      <c r="E17" s="184" t="s">
        <v>230</v>
      </c>
      <c r="F17" s="198">
        <v>4000000</v>
      </c>
      <c r="G17" s="198">
        <v>200000</v>
      </c>
      <c r="H17" s="197"/>
      <c r="I17" s="164"/>
      <c r="J17" s="164"/>
      <c r="K17" s="164"/>
      <c r="L17" s="486"/>
      <c r="M17" s="48" t="s">
        <v>235</v>
      </c>
      <c r="N17" s="89" t="s">
        <v>236</v>
      </c>
      <c r="O17" s="486"/>
    </row>
    <row r="18" spans="2:15" ht="23.25">
      <c r="B18" s="185"/>
      <c r="C18" s="185"/>
      <c r="D18" s="185"/>
      <c r="E18" s="185"/>
      <c r="F18" s="186"/>
      <c r="G18" s="186"/>
      <c r="H18" s="187"/>
      <c r="I18" s="164"/>
      <c r="J18" s="164"/>
      <c r="K18" s="164"/>
      <c r="L18" s="486"/>
      <c r="M18" s="188" t="s">
        <v>165</v>
      </c>
      <c r="N18" s="189" t="s">
        <v>179</v>
      </c>
      <c r="O18" s="486"/>
    </row>
    <row r="19" spans="2:1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486"/>
      <c r="M19" s="487" t="s">
        <v>203</v>
      </c>
      <c r="N19" s="489"/>
      <c r="O19" s="486"/>
    </row>
    <row r="20" spans="2:15" ht="23.25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486"/>
      <c r="M20" s="43" t="s">
        <v>237</v>
      </c>
      <c r="N20" s="45" t="s">
        <v>238</v>
      </c>
      <c r="O20" s="486"/>
    </row>
    <row r="21" spans="2:15" ht="45">
      <c r="B21" s="482" t="s">
        <v>239</v>
      </c>
      <c r="C21" s="483"/>
      <c r="D21" s="484"/>
      <c r="E21" s="190"/>
      <c r="F21" s="164"/>
      <c r="G21" s="164"/>
      <c r="H21" s="164"/>
      <c r="I21" s="164"/>
      <c r="J21" s="164"/>
      <c r="K21" s="164"/>
      <c r="L21" s="486"/>
      <c r="M21" s="43" t="s">
        <v>240</v>
      </c>
      <c r="N21" s="44" t="s">
        <v>241</v>
      </c>
      <c r="O21" s="486"/>
    </row>
    <row r="22" spans="2:15" ht="23.25">
      <c r="B22" s="166" t="s">
        <v>242</v>
      </c>
      <c r="C22" s="166" t="s">
        <v>243</v>
      </c>
      <c r="D22" s="166" t="s">
        <v>244</v>
      </c>
      <c r="E22" s="164"/>
      <c r="F22" s="164"/>
      <c r="G22" s="164"/>
      <c r="H22" s="164"/>
      <c r="I22" s="164"/>
      <c r="J22" s="164"/>
      <c r="K22" s="164"/>
      <c r="L22" s="486"/>
      <c r="M22" s="487" t="s">
        <v>218</v>
      </c>
      <c r="N22" s="489"/>
      <c r="O22" s="486"/>
    </row>
    <row r="23" spans="2:15" ht="23.25">
      <c r="B23" s="170" t="s">
        <v>245</v>
      </c>
      <c r="C23" s="170" t="s">
        <v>246</v>
      </c>
      <c r="D23" s="170" t="s">
        <v>247</v>
      </c>
      <c r="E23" s="164"/>
      <c r="F23" s="164"/>
      <c r="G23" s="164"/>
      <c r="H23" s="164"/>
      <c r="I23" s="164"/>
      <c r="J23" s="164"/>
      <c r="K23" s="164"/>
      <c r="L23" s="486"/>
      <c r="M23" s="43" t="s">
        <v>248</v>
      </c>
      <c r="N23" s="45" t="s">
        <v>249</v>
      </c>
      <c r="O23" s="486"/>
    </row>
    <row r="24" spans="2:15" ht="23.25">
      <c r="B24" s="170" t="s">
        <v>250</v>
      </c>
      <c r="C24" s="170" t="s">
        <v>251</v>
      </c>
      <c r="D24" s="170" t="s">
        <v>252</v>
      </c>
      <c r="E24" s="164"/>
      <c r="F24" s="164"/>
      <c r="G24" s="164"/>
      <c r="H24" s="164"/>
      <c r="I24" s="164"/>
      <c r="J24" s="164"/>
      <c r="K24" s="164"/>
      <c r="L24" s="486"/>
      <c r="M24" s="43" t="s">
        <v>253</v>
      </c>
      <c r="N24" s="45" t="s">
        <v>254</v>
      </c>
      <c r="O24" s="486"/>
    </row>
    <row r="25" spans="2:15" ht="23.25">
      <c r="B25" s="170" t="s">
        <v>255</v>
      </c>
      <c r="C25" s="170" t="s">
        <v>256</v>
      </c>
      <c r="D25" s="170" t="s">
        <v>257</v>
      </c>
      <c r="E25" s="164"/>
      <c r="F25" s="164"/>
      <c r="G25" s="164"/>
      <c r="H25" s="164"/>
      <c r="I25" s="164"/>
      <c r="J25" s="164"/>
      <c r="K25" s="164"/>
      <c r="L25" s="486"/>
      <c r="M25" s="487" t="s">
        <v>227</v>
      </c>
      <c r="N25" s="489"/>
      <c r="O25" s="486"/>
    </row>
    <row r="26" spans="2:15" ht="23.25">
      <c r="B26" s="178" t="s">
        <v>258</v>
      </c>
      <c r="C26" s="178" t="s">
        <v>259</v>
      </c>
      <c r="D26" s="178" t="s">
        <v>260</v>
      </c>
      <c r="E26" s="164"/>
      <c r="F26" s="164"/>
      <c r="G26" s="164"/>
      <c r="H26" s="164"/>
      <c r="I26" s="164"/>
      <c r="J26" s="164"/>
      <c r="K26" s="164"/>
      <c r="L26" s="486"/>
      <c r="M26" s="43" t="s">
        <v>261</v>
      </c>
      <c r="N26" s="45" t="s">
        <v>262</v>
      </c>
      <c r="O26" s="486"/>
    </row>
    <row r="27" spans="2:15" ht="23.25">
      <c r="B27" s="170" t="s">
        <v>263</v>
      </c>
      <c r="C27" s="170" t="s">
        <v>264</v>
      </c>
      <c r="D27" s="170" t="s">
        <v>265</v>
      </c>
      <c r="E27" s="164"/>
      <c r="F27" s="164"/>
      <c r="G27" s="164"/>
      <c r="H27" s="164"/>
      <c r="I27" s="164"/>
      <c r="J27" s="164"/>
      <c r="K27" s="164"/>
      <c r="L27" s="486"/>
      <c r="M27" s="43" t="s">
        <v>266</v>
      </c>
      <c r="N27" s="45" t="s">
        <v>267</v>
      </c>
      <c r="O27" s="486"/>
    </row>
    <row r="28" spans="2:15" ht="23.25">
      <c r="B28" s="200"/>
      <c r="C28" s="200"/>
      <c r="D28" s="200"/>
      <c r="E28" s="200"/>
      <c r="F28" s="164"/>
      <c r="G28" s="164"/>
      <c r="H28" s="164"/>
      <c r="I28" s="164"/>
      <c r="J28" s="164"/>
      <c r="K28" s="164"/>
      <c r="L28" s="164"/>
      <c r="M28" s="164"/>
      <c r="N28" s="164"/>
      <c r="O28" s="164"/>
    </row>
    <row r="29" spans="2:15" ht="23.25">
      <c r="F29" s="164"/>
      <c r="G29" s="164"/>
      <c r="H29" s="164"/>
      <c r="I29" s="164"/>
      <c r="J29" s="164"/>
      <c r="K29" s="164"/>
      <c r="L29" s="164"/>
      <c r="M29" s="479" t="s">
        <v>268</v>
      </c>
      <c r="N29" s="480"/>
      <c r="O29" s="164"/>
    </row>
    <row r="30" spans="2:15" ht="45">
      <c r="B30" s="469" t="s">
        <v>269</v>
      </c>
      <c r="C30" s="469"/>
      <c r="D30" s="469"/>
      <c r="E30" s="469"/>
      <c r="F30" s="164"/>
      <c r="G30" s="164"/>
      <c r="H30" s="164"/>
      <c r="I30" s="164"/>
      <c r="J30" s="164"/>
      <c r="K30" s="164"/>
      <c r="L30" s="164"/>
      <c r="M30" s="191" t="s">
        <v>270</v>
      </c>
      <c r="N30" s="192" t="s">
        <v>271</v>
      </c>
      <c r="O30" s="164"/>
    </row>
    <row r="31" spans="2:15" ht="23.25">
      <c r="B31" s="288" t="s">
        <v>272</v>
      </c>
      <c r="C31" s="288" t="s">
        <v>273</v>
      </c>
      <c r="D31" s="288" t="s">
        <v>274</v>
      </c>
      <c r="E31" s="288" t="s">
        <v>275</v>
      </c>
      <c r="F31" s="164"/>
      <c r="G31" s="164"/>
      <c r="H31" s="164"/>
      <c r="I31" s="164"/>
      <c r="J31" s="164"/>
      <c r="K31" s="164"/>
      <c r="L31" s="164"/>
      <c r="M31" s="472" t="s">
        <v>203</v>
      </c>
      <c r="N31" s="473"/>
      <c r="O31" s="164"/>
    </row>
    <row r="32" spans="2:15" ht="69">
      <c r="B32" s="203">
        <f>1000*2000</f>
        <v>2000000</v>
      </c>
      <c r="C32" s="170" t="s">
        <v>276</v>
      </c>
      <c r="D32" s="170" t="s">
        <v>277</v>
      </c>
      <c r="E32" s="170">
        <v>2</v>
      </c>
      <c r="F32" s="164"/>
      <c r="G32" s="164"/>
      <c r="H32" s="164"/>
      <c r="I32" s="164"/>
      <c r="J32" s="164"/>
      <c r="K32" s="164"/>
      <c r="L32" s="164"/>
      <c r="M32" s="48" t="s">
        <v>237</v>
      </c>
      <c r="N32" s="49" t="s">
        <v>278</v>
      </c>
      <c r="O32" s="164"/>
    </row>
    <row r="33" spans="1:15" ht="69">
      <c r="B33" s="203">
        <f>2000*2000</f>
        <v>4000000</v>
      </c>
      <c r="C33" s="170" t="s">
        <v>279</v>
      </c>
      <c r="D33" s="170" t="s">
        <v>280</v>
      </c>
      <c r="E33" s="170">
        <v>3</v>
      </c>
      <c r="F33" s="164"/>
      <c r="G33" s="164"/>
      <c r="H33" s="164"/>
      <c r="I33" s="164"/>
      <c r="J33" s="164"/>
      <c r="K33" s="164"/>
      <c r="L33" s="164"/>
      <c r="M33" s="48" t="s">
        <v>281</v>
      </c>
      <c r="N33" s="49" t="s">
        <v>282</v>
      </c>
      <c r="O33" s="164"/>
    </row>
    <row r="34" spans="1:15" ht="23.25">
      <c r="A34" s="201"/>
      <c r="B34" s="203">
        <f>2000*5000</f>
        <v>10000000</v>
      </c>
      <c r="C34" s="170" t="s">
        <v>283</v>
      </c>
      <c r="D34" s="170" t="s">
        <v>284</v>
      </c>
      <c r="E34" s="170">
        <v>6</v>
      </c>
      <c r="F34" s="202"/>
      <c r="G34" s="164"/>
      <c r="H34" s="164"/>
      <c r="I34" s="164"/>
      <c r="J34" s="164"/>
      <c r="K34" s="164"/>
      <c r="L34" s="164"/>
      <c r="M34" s="472" t="s">
        <v>218</v>
      </c>
      <c r="N34" s="473"/>
      <c r="O34" s="164"/>
    </row>
    <row r="35" spans="1:15" ht="69">
      <c r="B35" s="242">
        <f>2500*10000</f>
        <v>25000000</v>
      </c>
      <c r="C35" s="178" t="s">
        <v>285</v>
      </c>
      <c r="D35" s="178" t="s">
        <v>286</v>
      </c>
      <c r="E35" s="178">
        <v>9</v>
      </c>
      <c r="F35" s="164"/>
      <c r="G35" s="164"/>
      <c r="H35" s="164"/>
      <c r="I35" s="164"/>
      <c r="J35" s="164"/>
      <c r="K35" s="164"/>
      <c r="L35" s="164"/>
      <c r="M35" s="48" t="s">
        <v>248</v>
      </c>
      <c r="N35" s="49" t="s">
        <v>287</v>
      </c>
      <c r="O35" s="164"/>
    </row>
    <row r="36" spans="1:15" ht="69">
      <c r="B36" s="203">
        <v>40000000</v>
      </c>
      <c r="C36" s="170" t="s">
        <v>288</v>
      </c>
      <c r="D36" s="170" t="s">
        <v>289</v>
      </c>
      <c r="E36" s="170">
        <v>14</v>
      </c>
      <c r="F36" s="164"/>
      <c r="G36" s="164"/>
      <c r="H36" s="164"/>
      <c r="I36" s="164"/>
      <c r="J36" s="164"/>
      <c r="K36" s="164"/>
      <c r="L36" s="164"/>
      <c r="M36" s="48" t="s">
        <v>253</v>
      </c>
      <c r="N36" s="49" t="s">
        <v>290</v>
      </c>
      <c r="O36" s="164"/>
    </row>
    <row r="37" spans="1:15" ht="23.25">
      <c r="B37" s="203">
        <v>50000000</v>
      </c>
      <c r="C37" s="170" t="s">
        <v>291</v>
      </c>
      <c r="D37" s="170" t="s">
        <v>292</v>
      </c>
      <c r="E37" s="170">
        <v>20</v>
      </c>
      <c r="F37" s="164"/>
      <c r="G37" s="164"/>
      <c r="H37" s="164"/>
      <c r="I37" s="164"/>
      <c r="J37" s="164"/>
      <c r="K37" s="164"/>
      <c r="L37" s="164"/>
      <c r="M37" s="472" t="s">
        <v>227</v>
      </c>
      <c r="N37" s="473"/>
      <c r="O37" s="164"/>
    </row>
    <row r="38" spans="1:15" ht="69"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48" t="s">
        <v>261</v>
      </c>
      <c r="N38" s="49" t="s">
        <v>293</v>
      </c>
      <c r="O38" s="164"/>
    </row>
    <row r="39" spans="1:15" ht="69"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48" t="s">
        <v>266</v>
      </c>
      <c r="N39" s="49" t="s">
        <v>294</v>
      </c>
      <c r="O39" s="164"/>
    </row>
    <row r="40" spans="1:15" ht="23.25"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91" t="s">
        <v>295</v>
      </c>
      <c r="N40" s="192" t="s">
        <v>271</v>
      </c>
      <c r="O40" s="164"/>
    </row>
    <row r="41" spans="1:15" ht="23.25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474" t="s">
        <v>203</v>
      </c>
      <c r="N41" s="475"/>
      <c r="O41" s="164"/>
    </row>
    <row r="42" spans="1:15" ht="69"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48" t="s">
        <v>238</v>
      </c>
      <c r="N42" s="49" t="s">
        <v>296</v>
      </c>
      <c r="O42" s="164"/>
    </row>
    <row r="43" spans="1:15" ht="69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48" t="s">
        <v>241</v>
      </c>
      <c r="N43" s="49" t="s">
        <v>297</v>
      </c>
      <c r="O43" s="164"/>
    </row>
    <row r="44" spans="1:15" ht="23.25"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472" t="s">
        <v>218</v>
      </c>
      <c r="N44" s="473"/>
      <c r="O44" s="164"/>
    </row>
    <row r="45" spans="1:15" ht="69"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48" t="s">
        <v>249</v>
      </c>
      <c r="N45" s="49" t="s">
        <v>298</v>
      </c>
      <c r="O45" s="164"/>
    </row>
    <row r="46" spans="1:15" ht="69"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48" t="s">
        <v>254</v>
      </c>
      <c r="N46" s="49" t="s">
        <v>299</v>
      </c>
      <c r="O46" s="164"/>
    </row>
    <row r="47" spans="1:15" ht="23.25"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472" t="s">
        <v>227</v>
      </c>
      <c r="N47" s="473"/>
      <c r="O47" s="164"/>
    </row>
    <row r="48" spans="1:15" ht="69"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48" t="s">
        <v>262</v>
      </c>
      <c r="N48" s="49" t="s">
        <v>300</v>
      </c>
      <c r="O48" s="164"/>
    </row>
    <row r="49" spans="2:15" ht="69"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48" t="s">
        <v>267</v>
      </c>
      <c r="N49" s="49" t="s">
        <v>301</v>
      </c>
      <c r="O49" s="164"/>
    </row>
    <row r="50" spans="2:15" ht="23.25"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</row>
  </sheetData>
  <autoFilter ref="B12:H12" xr:uid="{BD9BCBE6-71DF-4D10-AF99-FFAC47C2138B}"/>
  <mergeCells count="22">
    <mergeCell ref="M47:N47"/>
    <mergeCell ref="M29:N29"/>
    <mergeCell ref="M31:N31"/>
    <mergeCell ref="M34:N34"/>
    <mergeCell ref="B5:F5"/>
    <mergeCell ref="B21:D21"/>
    <mergeCell ref="L6:O6"/>
    <mergeCell ref="L7:L27"/>
    <mergeCell ref="O7:O27"/>
    <mergeCell ref="M8:N8"/>
    <mergeCell ref="M12:N12"/>
    <mergeCell ref="M15:N15"/>
    <mergeCell ref="M22:N22"/>
    <mergeCell ref="M25:N25"/>
    <mergeCell ref="M19:N19"/>
    <mergeCell ref="B11:H11"/>
    <mergeCell ref="B30:E30"/>
    <mergeCell ref="A2:O3"/>
    <mergeCell ref="M37:N37"/>
    <mergeCell ref="M41:N41"/>
    <mergeCell ref="M44:N44"/>
    <mergeCell ref="F13:F15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B3:L45"/>
  <sheetViews>
    <sheetView workbookViewId="0">
      <selection activeCell="B3" sqref="B3"/>
    </sheetView>
  </sheetViews>
  <sheetFormatPr defaultColWidth="8.7109375" defaultRowHeight="15"/>
  <cols>
    <col min="1" max="1" width="11.85546875" customWidth="1"/>
    <col min="2" max="2" width="30.7109375" bestFit="1" customWidth="1"/>
    <col min="3" max="3" width="51.7109375" customWidth="1"/>
    <col min="4" max="4" width="31.140625" bestFit="1" customWidth="1"/>
    <col min="5" max="5" width="31.5703125" bestFit="1" customWidth="1"/>
    <col min="6" max="6" width="31.5703125" customWidth="1"/>
    <col min="7" max="8" width="30.7109375" bestFit="1" customWidth="1"/>
    <col min="9" max="9" width="28.5703125" bestFit="1" customWidth="1"/>
    <col min="10" max="10" width="27.85546875" customWidth="1"/>
    <col min="11" max="11" width="25.42578125" bestFit="1" customWidth="1"/>
    <col min="12" max="13" width="24.28515625" bestFit="1" customWidth="1"/>
  </cols>
  <sheetData>
    <row r="3" spans="2:12" ht="33.75">
      <c r="D3" s="493" t="s">
        <v>302</v>
      </c>
      <c r="E3" s="493"/>
    </row>
    <row r="6" spans="2:12" ht="15.75">
      <c r="B6" s="16" t="s">
        <v>303</v>
      </c>
      <c r="C6" s="17" t="s">
        <v>304</v>
      </c>
      <c r="D6" s="17" t="s">
        <v>305</v>
      </c>
      <c r="E6" s="17" t="s">
        <v>306</v>
      </c>
      <c r="F6" s="17" t="s">
        <v>307</v>
      </c>
      <c r="G6" s="17" t="s">
        <v>308</v>
      </c>
      <c r="H6" s="17" t="s">
        <v>309</v>
      </c>
      <c r="I6" s="17" t="s">
        <v>310</v>
      </c>
      <c r="J6" s="17" t="s">
        <v>311</v>
      </c>
      <c r="K6" s="17" t="s">
        <v>312</v>
      </c>
      <c r="L6" s="18" t="s">
        <v>313</v>
      </c>
    </row>
    <row r="7" spans="2:12" ht="15.75">
      <c r="B7" s="14" t="s">
        <v>98</v>
      </c>
      <c r="C7" s="12">
        <v>80</v>
      </c>
      <c r="D7" s="12">
        <v>4.8</v>
      </c>
      <c r="E7" s="12">
        <v>7.2</v>
      </c>
      <c r="F7" s="12">
        <v>1.38E-2</v>
      </c>
      <c r="G7" s="12">
        <v>393</v>
      </c>
      <c r="H7" s="12">
        <v>520</v>
      </c>
      <c r="I7" s="13" t="s">
        <v>314</v>
      </c>
      <c r="J7" s="139">
        <v>3609</v>
      </c>
      <c r="K7" s="139">
        <v>3609</v>
      </c>
      <c r="L7" s="15">
        <v>40</v>
      </c>
    </row>
    <row r="8" spans="2:12" ht="15.75">
      <c r="B8" s="14" t="s">
        <v>315</v>
      </c>
      <c r="C8" s="12">
        <v>92</v>
      </c>
      <c r="D8" s="12">
        <v>4.5</v>
      </c>
      <c r="E8" s="12">
        <v>6.8</v>
      </c>
      <c r="F8" s="12">
        <v>1.17E-2</v>
      </c>
      <c r="G8" s="12">
        <v>295</v>
      </c>
      <c r="H8" s="12">
        <v>580</v>
      </c>
      <c r="I8" s="13" t="s">
        <v>314</v>
      </c>
      <c r="J8" s="139">
        <v>2952</v>
      </c>
      <c r="K8" s="139">
        <v>3319</v>
      </c>
      <c r="L8" s="15">
        <v>35</v>
      </c>
    </row>
    <row r="9" spans="2:12" ht="15.75">
      <c r="B9" s="14" t="s">
        <v>99</v>
      </c>
      <c r="C9" s="12">
        <v>78</v>
      </c>
      <c r="D9" s="12">
        <v>3.9</v>
      </c>
      <c r="E9" s="12">
        <v>6</v>
      </c>
      <c r="F9" s="12">
        <v>1.2999999999999999E-2</v>
      </c>
      <c r="G9" s="12">
        <v>348</v>
      </c>
      <c r="H9" s="12">
        <v>460</v>
      </c>
      <c r="I9" s="13" t="s">
        <v>314</v>
      </c>
      <c r="J9" s="139">
        <v>3078</v>
      </c>
      <c r="K9" s="139">
        <v>3275</v>
      </c>
      <c r="L9" s="15">
        <v>30</v>
      </c>
    </row>
    <row r="10" spans="2:12" ht="15.75">
      <c r="B10" s="14" t="s">
        <v>100</v>
      </c>
      <c r="C10" s="12">
        <v>85</v>
      </c>
      <c r="D10" s="12">
        <v>4.7</v>
      </c>
      <c r="E10" s="12">
        <v>7</v>
      </c>
      <c r="F10" s="12">
        <v>1.7100000000000001E-2</v>
      </c>
      <c r="G10" s="139">
        <v>1508</v>
      </c>
      <c r="H10" s="12">
        <v>410</v>
      </c>
      <c r="I10" s="13" t="s">
        <v>314</v>
      </c>
      <c r="J10" s="139">
        <v>4266</v>
      </c>
      <c r="K10" s="139">
        <v>3936</v>
      </c>
      <c r="L10" s="15">
        <v>42</v>
      </c>
    </row>
    <row r="11" spans="2:12" ht="15.75">
      <c r="B11" s="19" t="s">
        <v>101</v>
      </c>
      <c r="C11" s="20">
        <v>88</v>
      </c>
      <c r="D11" s="20">
        <v>4.3</v>
      </c>
      <c r="E11" s="20">
        <v>6.5</v>
      </c>
      <c r="F11" s="20">
        <v>2.1700000000000001E-2</v>
      </c>
      <c r="G11" s="20">
        <v>787</v>
      </c>
      <c r="H11" s="20">
        <v>300</v>
      </c>
      <c r="I11" s="21" t="s">
        <v>314</v>
      </c>
      <c r="J11" s="140">
        <v>3278</v>
      </c>
      <c r="K11" s="140">
        <v>3278</v>
      </c>
      <c r="L11" s="22">
        <v>38</v>
      </c>
    </row>
    <row r="12" spans="2:12" ht="15.75">
      <c r="B12" s="142" t="s">
        <v>316</v>
      </c>
      <c r="C12" s="20"/>
      <c r="D12" s="20"/>
      <c r="E12" s="20"/>
      <c r="F12" s="20"/>
      <c r="G12" s="20"/>
      <c r="H12" s="20"/>
      <c r="I12" s="20"/>
      <c r="J12" s="140"/>
      <c r="K12" s="140"/>
      <c r="L12" s="22"/>
    </row>
    <row r="13" spans="2:12" ht="15.75">
      <c r="B13" s="98" t="s">
        <v>317</v>
      </c>
      <c r="C13" s="99" t="s">
        <v>318</v>
      </c>
      <c r="D13" s="99" t="s">
        <v>319</v>
      </c>
      <c r="E13" s="207" t="s">
        <v>307</v>
      </c>
      <c r="F13" s="99" t="s">
        <v>306</v>
      </c>
      <c r="G13" s="99" t="s">
        <v>320</v>
      </c>
      <c r="H13" s="99" t="s">
        <v>309</v>
      </c>
      <c r="I13" s="99" t="s">
        <v>311</v>
      </c>
      <c r="J13" s="99" t="s">
        <v>321</v>
      </c>
      <c r="K13" s="100" t="s">
        <v>313</v>
      </c>
    </row>
    <row r="14" spans="2:12" ht="15.75">
      <c r="B14" s="14" t="s">
        <v>98</v>
      </c>
      <c r="C14" s="12">
        <v>80</v>
      </c>
      <c r="D14" s="12">
        <v>4.8</v>
      </c>
      <c r="E14" s="12">
        <v>1.38E-2</v>
      </c>
      <c r="F14" s="12">
        <v>7.2</v>
      </c>
      <c r="G14" s="12">
        <v>393</v>
      </c>
      <c r="H14" s="12">
        <v>520</v>
      </c>
      <c r="I14" s="139">
        <v>3609</v>
      </c>
      <c r="J14" s="139">
        <v>1876680</v>
      </c>
      <c r="K14" s="15">
        <v>40</v>
      </c>
    </row>
    <row r="15" spans="2:12" ht="15.75">
      <c r="B15" s="14" t="s">
        <v>315</v>
      </c>
      <c r="C15" s="12">
        <v>92</v>
      </c>
      <c r="D15" s="12">
        <v>4.5</v>
      </c>
      <c r="E15" s="12">
        <v>1.17E-2</v>
      </c>
      <c r="F15" s="12">
        <v>6.8</v>
      </c>
      <c r="G15" s="12">
        <v>295</v>
      </c>
      <c r="H15" s="12">
        <v>580</v>
      </c>
      <c r="I15" s="139">
        <v>2952</v>
      </c>
      <c r="J15" s="139">
        <v>1711560</v>
      </c>
      <c r="K15" s="15">
        <v>35</v>
      </c>
    </row>
    <row r="16" spans="2:12" ht="15.75">
      <c r="B16" s="14" t="s">
        <v>99</v>
      </c>
      <c r="C16" s="12">
        <v>78</v>
      </c>
      <c r="D16" s="12">
        <v>3.9</v>
      </c>
      <c r="E16" s="12">
        <v>1.2999999999999999E-2</v>
      </c>
      <c r="F16" s="12">
        <v>6</v>
      </c>
      <c r="G16" s="12">
        <v>348</v>
      </c>
      <c r="H16" s="12">
        <v>460</v>
      </c>
      <c r="I16" s="139">
        <v>3078</v>
      </c>
      <c r="J16" s="139">
        <v>1414000</v>
      </c>
      <c r="K16" s="15">
        <v>30</v>
      </c>
    </row>
    <row r="17" spans="2:11" ht="15.75">
      <c r="B17" s="14" t="s">
        <v>100</v>
      </c>
      <c r="C17" s="12">
        <v>85</v>
      </c>
      <c r="D17" s="12">
        <v>4.7</v>
      </c>
      <c r="E17" s="12">
        <v>1.7100000000000001E-2</v>
      </c>
      <c r="F17" s="12">
        <v>7</v>
      </c>
      <c r="G17" s="139">
        <v>1508</v>
      </c>
      <c r="H17" s="12">
        <v>410</v>
      </c>
      <c r="I17" s="139">
        <v>4266</v>
      </c>
      <c r="J17" s="139">
        <v>1746060</v>
      </c>
      <c r="K17" s="15">
        <v>42</v>
      </c>
    </row>
    <row r="18" spans="2:11" ht="15.75">
      <c r="B18" s="19" t="s">
        <v>101</v>
      </c>
      <c r="C18" s="20">
        <v>88</v>
      </c>
      <c r="D18" s="20">
        <v>4.3</v>
      </c>
      <c r="E18" s="20">
        <v>2.1700000000000001E-2</v>
      </c>
      <c r="F18" s="20">
        <v>6.5</v>
      </c>
      <c r="G18" s="20">
        <v>787</v>
      </c>
      <c r="H18" s="20">
        <v>300</v>
      </c>
      <c r="I18" s="140">
        <v>3278</v>
      </c>
      <c r="J18" s="140">
        <v>983400</v>
      </c>
      <c r="K18" s="22">
        <v>38</v>
      </c>
    </row>
    <row r="19" spans="2:11" ht="15.75">
      <c r="B19" s="142" t="s">
        <v>322</v>
      </c>
      <c r="C19" s="20"/>
      <c r="D19" s="20"/>
      <c r="E19" s="20"/>
      <c r="F19" s="20"/>
      <c r="G19" s="20"/>
      <c r="H19" s="20"/>
      <c r="I19" s="140"/>
      <c r="J19" s="140"/>
      <c r="K19" s="22"/>
    </row>
    <row r="20" spans="2:11" ht="15.75">
      <c r="B20" s="98" t="s">
        <v>323</v>
      </c>
      <c r="C20" s="99" t="s">
        <v>324</v>
      </c>
      <c r="D20" s="100" t="s">
        <v>325</v>
      </c>
    </row>
    <row r="21" spans="2:11" ht="15.75">
      <c r="B21" s="14" t="s">
        <v>326</v>
      </c>
      <c r="C21" s="12" t="s">
        <v>327</v>
      </c>
      <c r="D21" s="15" t="s">
        <v>328</v>
      </c>
    </row>
    <row r="22" spans="2:11" ht="15.75">
      <c r="B22" s="14" t="s">
        <v>329</v>
      </c>
      <c r="C22" s="12" t="s">
        <v>327</v>
      </c>
      <c r="D22" s="15" t="s">
        <v>330</v>
      </c>
    </row>
    <row r="23" spans="2:11" ht="15.75">
      <c r="B23" s="14" t="s">
        <v>331</v>
      </c>
      <c r="C23" s="12" t="s">
        <v>332</v>
      </c>
      <c r="D23" s="15" t="s">
        <v>333</v>
      </c>
    </row>
    <row r="24" spans="2:11" ht="15.75">
      <c r="B24" s="19" t="s">
        <v>334</v>
      </c>
      <c r="C24" s="20" t="s">
        <v>335</v>
      </c>
      <c r="D24" s="22" t="s">
        <v>328</v>
      </c>
    </row>
    <row r="25" spans="2:11" ht="15.75">
      <c r="B25" s="142" t="s">
        <v>336</v>
      </c>
      <c r="C25" s="20"/>
      <c r="D25" s="22"/>
    </row>
    <row r="26" spans="2:11" ht="15.75">
      <c r="B26" s="98" t="s">
        <v>186</v>
      </c>
      <c r="C26" s="99" t="s">
        <v>213</v>
      </c>
      <c r="D26" s="99" t="s">
        <v>49</v>
      </c>
      <c r="E26" s="99" t="s">
        <v>337</v>
      </c>
      <c r="F26" s="100" t="s">
        <v>338</v>
      </c>
    </row>
    <row r="27" spans="2:11" ht="15.75">
      <c r="B27" s="14" t="s">
        <v>339</v>
      </c>
      <c r="C27" s="12" t="s">
        <v>340</v>
      </c>
      <c r="D27" s="12" t="s">
        <v>341</v>
      </c>
      <c r="E27" s="139">
        <v>327750</v>
      </c>
      <c r="F27" s="141" t="s">
        <v>314</v>
      </c>
    </row>
    <row r="28" spans="2:11" ht="15.75">
      <c r="B28" s="14" t="s">
        <v>341</v>
      </c>
      <c r="C28" s="12" t="s">
        <v>342</v>
      </c>
      <c r="D28" s="12" t="s">
        <v>343</v>
      </c>
      <c r="E28" s="139">
        <v>196650</v>
      </c>
      <c r="F28" s="141" t="s">
        <v>314</v>
      </c>
    </row>
    <row r="29" spans="2:11" ht="15.75">
      <c r="B29" s="14" t="s">
        <v>343</v>
      </c>
      <c r="C29" s="12" t="s">
        <v>344</v>
      </c>
      <c r="D29" s="12" t="s">
        <v>345</v>
      </c>
      <c r="E29" s="139">
        <v>983250</v>
      </c>
      <c r="F29" s="141" t="s">
        <v>314</v>
      </c>
    </row>
    <row r="30" spans="2:11" ht="15.75">
      <c r="B30" s="14" t="s">
        <v>345</v>
      </c>
      <c r="C30" s="12" t="s">
        <v>346</v>
      </c>
      <c r="D30" s="12" t="s">
        <v>347</v>
      </c>
      <c r="E30" s="139">
        <v>131100</v>
      </c>
      <c r="F30" s="141" t="s">
        <v>314</v>
      </c>
    </row>
    <row r="31" spans="2:11" ht="15.75">
      <c r="B31" s="14" t="s">
        <v>347</v>
      </c>
      <c r="C31" s="12" t="s">
        <v>348</v>
      </c>
      <c r="D31" s="12" t="s">
        <v>349</v>
      </c>
      <c r="E31" s="139">
        <v>458850</v>
      </c>
      <c r="F31" s="141" t="s">
        <v>314</v>
      </c>
    </row>
    <row r="32" spans="2:11" ht="15.75">
      <c r="B32" s="19" t="s">
        <v>349</v>
      </c>
      <c r="C32" s="20" t="s">
        <v>350</v>
      </c>
      <c r="D32" s="20" t="s">
        <v>351</v>
      </c>
      <c r="E32" s="140">
        <v>524700</v>
      </c>
      <c r="F32" s="22" t="s">
        <v>352</v>
      </c>
    </row>
    <row r="33" spans="2:6" ht="15.75">
      <c r="B33" s="101"/>
      <c r="C33" s="101"/>
      <c r="D33" s="101"/>
      <c r="E33" s="101"/>
      <c r="F33" s="102"/>
    </row>
    <row r="34" spans="2:6" ht="30">
      <c r="B34" s="327" t="s">
        <v>353</v>
      </c>
      <c r="D34" s="101"/>
      <c r="E34" s="101"/>
      <c r="F34" s="102"/>
    </row>
    <row r="35" spans="2:6" ht="15.75">
      <c r="B35" s="322" t="s">
        <v>354</v>
      </c>
      <c r="C35" s="322" t="s">
        <v>355</v>
      </c>
      <c r="D35" s="101"/>
      <c r="E35" s="101"/>
      <c r="F35" s="102"/>
    </row>
    <row r="36" spans="2:6" ht="125.25" customHeight="1">
      <c r="B36" s="323" t="s">
        <v>356</v>
      </c>
      <c r="C36" s="324" t="s">
        <v>357</v>
      </c>
      <c r="D36" s="101"/>
      <c r="E36" s="101"/>
      <c r="F36" s="102"/>
    </row>
    <row r="37" spans="2:6" ht="107.25" customHeight="1">
      <c r="B37" s="322" t="s">
        <v>358</v>
      </c>
      <c r="C37" s="324" t="s">
        <v>359</v>
      </c>
      <c r="D37" s="101"/>
      <c r="E37" s="101"/>
      <c r="F37" s="101"/>
    </row>
    <row r="38" spans="2:6" ht="97.5" customHeight="1">
      <c r="B38" s="322" t="s">
        <v>360</v>
      </c>
      <c r="C38" s="324" t="s">
        <v>361</v>
      </c>
    </row>
    <row r="39" spans="2:6" ht="99.75" customHeight="1">
      <c r="B39" s="322" t="s">
        <v>362</v>
      </c>
      <c r="C39" s="324" t="s">
        <v>363</v>
      </c>
    </row>
    <row r="40" spans="2:6" ht="87">
      <c r="B40" s="322" t="s">
        <v>364</v>
      </c>
      <c r="C40" s="326" t="s">
        <v>365</v>
      </c>
    </row>
    <row r="41" spans="2:6" ht="81" customHeight="1">
      <c r="B41" s="323" t="s">
        <v>366</v>
      </c>
      <c r="C41" s="324" t="s">
        <v>367</v>
      </c>
    </row>
    <row r="42" spans="2:6" ht="87">
      <c r="B42" s="322" t="s">
        <v>368</v>
      </c>
      <c r="C42" s="326" t="s">
        <v>369</v>
      </c>
    </row>
    <row r="43" spans="2:6" ht="87">
      <c r="B43" s="322" t="s">
        <v>370</v>
      </c>
      <c r="C43" s="326" t="s">
        <v>371</v>
      </c>
    </row>
    <row r="44" spans="2:6" ht="99.75" customHeight="1">
      <c r="B44" s="322" t="s">
        <v>372</v>
      </c>
      <c r="C44" s="324" t="s">
        <v>373</v>
      </c>
    </row>
    <row r="45" spans="2:6">
      <c r="B45" s="325" t="s">
        <v>212</v>
      </c>
    </row>
  </sheetData>
  <mergeCells count="1">
    <mergeCell ref="D3:E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U164"/>
  <sheetViews>
    <sheetView topLeftCell="A84" workbookViewId="0">
      <selection activeCell="B135" sqref="B135"/>
    </sheetView>
  </sheetViews>
  <sheetFormatPr defaultColWidth="8.7109375" defaultRowHeight="15" customHeight="1"/>
  <cols>
    <col min="1" max="1" width="26.28515625" customWidth="1"/>
    <col min="2" max="2" width="58.28515625" customWidth="1"/>
    <col min="3" max="4" width="64.85546875" customWidth="1"/>
    <col min="5" max="5" width="59.28515625" customWidth="1"/>
    <col min="6" max="6" width="58" customWidth="1"/>
    <col min="7" max="7" width="24.85546875" customWidth="1"/>
    <col min="8" max="8" width="18" customWidth="1"/>
    <col min="9" max="9" width="24.5703125" customWidth="1"/>
    <col min="10" max="10" width="23" customWidth="1"/>
    <col min="11" max="11" width="25.140625" customWidth="1"/>
    <col min="12" max="12" width="16" customWidth="1"/>
    <col min="13" max="13" width="16.7109375" customWidth="1"/>
    <col min="14" max="14" width="20.5703125" customWidth="1"/>
    <col min="15" max="15" width="18.28515625" customWidth="1"/>
    <col min="16" max="16" width="20.28515625" customWidth="1"/>
    <col min="17" max="17" width="19.7109375" customWidth="1"/>
  </cols>
  <sheetData>
    <row r="2" spans="1:17"/>
    <row r="3" spans="1:17"/>
    <row r="4" spans="1:17" ht="46.5">
      <c r="A4" s="513" t="s">
        <v>374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296"/>
      <c r="O4" s="296"/>
      <c r="P4" s="296"/>
      <c r="Q4" s="296"/>
    </row>
    <row r="5" spans="1:17" ht="24" customHeight="1">
      <c r="K5" s="7"/>
      <c r="L5" s="7"/>
      <c r="M5" s="7"/>
    </row>
    <row r="6" spans="1:17">
      <c r="K6" s="7"/>
      <c r="L6" s="7"/>
      <c r="M6" s="7"/>
    </row>
    <row r="7" spans="1:17" s="295" customFormat="1" ht="21">
      <c r="A7"/>
      <c r="B7"/>
      <c r="C7"/>
      <c r="D7"/>
      <c r="E7"/>
      <c r="F7"/>
      <c r="G7"/>
      <c r="H7"/>
      <c r="I7"/>
      <c r="J7"/>
      <c r="K7" s="7"/>
      <c r="L7" s="7"/>
      <c r="M7" s="7"/>
      <c r="N7"/>
      <c r="O7"/>
      <c r="P7"/>
      <c r="Q7"/>
    </row>
    <row r="8" spans="1:17" ht="21">
      <c r="A8" s="499" t="s">
        <v>375</v>
      </c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320"/>
      <c r="M8" s="7"/>
    </row>
    <row r="9" spans="1:17" ht="18.75" customHeight="1">
      <c r="A9" s="292"/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7"/>
    </row>
    <row r="10" spans="1:17" ht="31.5" customHeight="1">
      <c r="A10" s="320" t="s">
        <v>376</v>
      </c>
      <c r="B10" s="320"/>
      <c r="C10" s="295"/>
      <c r="D10" s="320" t="s">
        <v>377</v>
      </c>
      <c r="E10" s="320"/>
      <c r="F10" s="295"/>
      <c r="G10" s="320" t="s">
        <v>378</v>
      </c>
      <c r="H10" s="320"/>
      <c r="I10" s="295"/>
      <c r="J10" s="320" t="s">
        <v>379</v>
      </c>
      <c r="K10" s="320"/>
      <c r="L10" s="297"/>
      <c r="M10" s="297"/>
      <c r="N10" s="295"/>
      <c r="O10" s="295"/>
      <c r="P10" s="295"/>
      <c r="Q10" s="295"/>
    </row>
    <row r="11" spans="1:17" ht="30.75" customHeight="1">
      <c r="A11" s="230" t="s">
        <v>380</v>
      </c>
      <c r="B11" t="s">
        <v>381</v>
      </c>
      <c r="G11" s="230" t="s">
        <v>380</v>
      </c>
      <c r="H11" t="s">
        <v>382</v>
      </c>
      <c r="J11" s="230" t="s">
        <v>380</v>
      </c>
      <c r="K11" s="266" t="s">
        <v>383</v>
      </c>
      <c r="L11" s="7"/>
      <c r="M11" s="7"/>
    </row>
    <row r="12" spans="1:17" ht="24" customHeight="1">
      <c r="A12" s="231" t="s">
        <v>384</v>
      </c>
      <c r="B12" s="231" t="s">
        <v>385</v>
      </c>
      <c r="D12" s="231" t="s">
        <v>380</v>
      </c>
      <c r="E12" s="231" t="s">
        <v>386</v>
      </c>
      <c r="G12" s="231" t="s">
        <v>384</v>
      </c>
      <c r="H12" s="231" t="s">
        <v>387</v>
      </c>
      <c r="J12" s="231" t="s">
        <v>384</v>
      </c>
      <c r="K12" s="231" t="s">
        <v>388</v>
      </c>
      <c r="L12" s="7"/>
      <c r="M12" s="7"/>
    </row>
    <row r="13" spans="1:17" ht="36.75" customHeight="1">
      <c r="A13" s="230" t="s">
        <v>389</v>
      </c>
      <c r="B13" s="230" t="s">
        <v>390</v>
      </c>
      <c r="D13" s="231" t="s">
        <v>384</v>
      </c>
      <c r="E13" s="231" t="s">
        <v>391</v>
      </c>
      <c r="G13" s="230" t="s">
        <v>392</v>
      </c>
      <c r="H13" s="230">
        <v>5150</v>
      </c>
      <c r="J13" s="230" t="s">
        <v>393</v>
      </c>
      <c r="K13" s="230">
        <v>48</v>
      </c>
      <c r="L13" s="7"/>
      <c r="M13" s="7"/>
    </row>
    <row r="14" spans="1:17" ht="36" customHeight="1">
      <c r="A14" s="230" t="s">
        <v>394</v>
      </c>
      <c r="B14" s="230">
        <v>260</v>
      </c>
      <c r="D14" s="230" t="s">
        <v>395</v>
      </c>
      <c r="E14" s="230">
        <v>1250</v>
      </c>
      <c r="G14" s="230" t="s">
        <v>396</v>
      </c>
      <c r="H14" s="230">
        <v>6000</v>
      </c>
      <c r="J14" s="230" t="s">
        <v>397</v>
      </c>
      <c r="K14" s="230">
        <v>103</v>
      </c>
      <c r="L14" s="7"/>
      <c r="M14" s="7"/>
    </row>
    <row r="15" spans="1:17" ht="18.75" customHeight="1">
      <c r="A15" s="231" t="s">
        <v>398</v>
      </c>
      <c r="B15" s="231">
        <v>6.74</v>
      </c>
      <c r="D15" s="230" t="s">
        <v>399</v>
      </c>
      <c r="E15" s="230">
        <v>2.5</v>
      </c>
      <c r="G15" s="231" t="s">
        <v>400</v>
      </c>
      <c r="H15" s="231" t="s">
        <v>401</v>
      </c>
      <c r="J15" s="231" t="s">
        <v>402</v>
      </c>
      <c r="K15" s="231">
        <v>90</v>
      </c>
      <c r="L15" s="7"/>
      <c r="M15" s="7"/>
    </row>
    <row r="16" spans="1:17" ht="33.75" customHeight="1">
      <c r="A16" s="230" t="s">
        <v>403</v>
      </c>
      <c r="B16" s="230">
        <v>28.21</v>
      </c>
      <c r="D16" s="231" t="s">
        <v>404</v>
      </c>
      <c r="E16" s="231">
        <v>2</v>
      </c>
      <c r="G16" s="230" t="s">
        <v>405</v>
      </c>
      <c r="H16" s="230" t="s">
        <v>406</v>
      </c>
      <c r="J16" s="230" t="s">
        <v>407</v>
      </c>
      <c r="K16" s="230">
        <v>230</v>
      </c>
      <c r="L16" s="7"/>
      <c r="M16" s="7"/>
    </row>
    <row r="17" spans="1:13" ht="36">
      <c r="A17" s="231" t="s">
        <v>408</v>
      </c>
      <c r="B17" s="231">
        <v>8.67</v>
      </c>
      <c r="D17" s="230" t="s">
        <v>409</v>
      </c>
      <c r="E17" s="230">
        <v>80.5</v>
      </c>
      <c r="G17" s="231" t="s">
        <v>410</v>
      </c>
      <c r="H17" s="231" t="s">
        <v>411</v>
      </c>
      <c r="J17" s="231" t="s">
        <v>412</v>
      </c>
      <c r="K17" s="231">
        <v>4600</v>
      </c>
      <c r="L17" s="7"/>
      <c r="M17" s="7"/>
    </row>
    <row r="18" spans="1:13" ht="36">
      <c r="A18" s="230" t="s">
        <v>413</v>
      </c>
      <c r="B18" s="230">
        <v>37.92</v>
      </c>
      <c r="D18" s="231" t="s">
        <v>414</v>
      </c>
      <c r="E18" s="231">
        <v>215</v>
      </c>
      <c r="G18" s="244"/>
      <c r="H18" s="244"/>
      <c r="J18" s="230" t="s">
        <v>415</v>
      </c>
      <c r="K18" s="230">
        <v>6000</v>
      </c>
      <c r="L18" s="7"/>
      <c r="M18" s="7"/>
    </row>
    <row r="19" spans="1:13" ht="36">
      <c r="A19" s="231" t="s">
        <v>416</v>
      </c>
      <c r="B19" s="231">
        <v>31.25</v>
      </c>
      <c r="D19" s="230" t="s">
        <v>417</v>
      </c>
      <c r="E19" s="230">
        <v>235</v>
      </c>
      <c r="J19" s="230" t="s">
        <v>418</v>
      </c>
      <c r="K19" s="230">
        <v>20</v>
      </c>
      <c r="L19" s="7"/>
      <c r="M19" s="7"/>
    </row>
    <row r="20" spans="1:13" ht="17.25">
      <c r="A20" s="231" t="s">
        <v>419</v>
      </c>
      <c r="B20" s="231">
        <v>8.33</v>
      </c>
      <c r="D20" s="231" t="s">
        <v>420</v>
      </c>
      <c r="E20" s="231">
        <v>710</v>
      </c>
      <c r="J20" s="231" t="s">
        <v>421</v>
      </c>
      <c r="K20" s="231">
        <v>50</v>
      </c>
      <c r="L20" s="7"/>
      <c r="M20" s="7"/>
    </row>
    <row r="21" spans="1:13" ht="17.25">
      <c r="A21" s="230" t="s">
        <v>414</v>
      </c>
      <c r="B21" s="230">
        <v>1665</v>
      </c>
      <c r="K21" s="7"/>
      <c r="L21" s="7"/>
      <c r="M21" s="7"/>
    </row>
    <row r="22" spans="1:13" ht="17.25">
      <c r="A22" s="231" t="s">
        <v>417</v>
      </c>
      <c r="B22" s="231">
        <v>999</v>
      </c>
      <c r="K22" s="7"/>
      <c r="L22" s="7"/>
      <c r="M22" s="7"/>
    </row>
    <row r="23" spans="1:13" ht="17.25">
      <c r="A23" s="230" t="s">
        <v>422</v>
      </c>
      <c r="B23" s="230">
        <v>35</v>
      </c>
      <c r="K23" s="7"/>
      <c r="L23" s="7"/>
      <c r="M23" s="7"/>
    </row>
    <row r="24" spans="1:13" ht="17.25">
      <c r="A24" s="231" t="s">
        <v>423</v>
      </c>
      <c r="B24" s="231">
        <v>0.16</v>
      </c>
      <c r="K24" s="7"/>
      <c r="L24" s="7"/>
      <c r="M24" s="7"/>
    </row>
    <row r="25" spans="1:13" ht="17.25">
      <c r="A25" s="230" t="s">
        <v>409</v>
      </c>
      <c r="B25" s="230">
        <v>19.7</v>
      </c>
      <c r="K25" s="7"/>
      <c r="L25" s="7"/>
      <c r="M25" s="7"/>
    </row>
    <row r="26" spans="1:13" ht="17.25">
      <c r="A26" s="231" t="s">
        <v>424</v>
      </c>
      <c r="B26" s="293" t="s">
        <v>425</v>
      </c>
      <c r="K26" s="7"/>
      <c r="L26" s="7"/>
      <c r="M26" s="7"/>
    </row>
    <row r="27" spans="1:13"/>
    <row r="28" spans="1:13"/>
    <row r="29" spans="1:13"/>
    <row r="30" spans="1:13">
      <c r="G30" s="23"/>
      <c r="H30" s="110"/>
    </row>
    <row r="31" spans="1:13">
      <c r="A31" s="290"/>
      <c r="B31" s="290"/>
      <c r="C31" s="290"/>
      <c r="D31" s="290"/>
      <c r="E31" s="290"/>
      <c r="G31" s="7"/>
      <c r="H31" s="7"/>
    </row>
    <row r="32" spans="1:13" ht="21">
      <c r="A32" s="499" t="s">
        <v>426</v>
      </c>
      <c r="B32" s="499"/>
      <c r="C32" s="499"/>
      <c r="D32" s="499"/>
      <c r="E32" s="499"/>
    </row>
    <row r="33" spans="1:9" ht="15" customHeight="1">
      <c r="A33" s="204"/>
      <c r="B33" s="204"/>
      <c r="C33" s="204"/>
      <c r="D33" s="204"/>
      <c r="E33" s="204"/>
    </row>
    <row r="34" spans="1:9" ht="15" customHeight="1">
      <c r="A34" s="6" t="s">
        <v>427</v>
      </c>
      <c r="B34" s="6" t="s">
        <v>428</v>
      </c>
      <c r="C34" s="246" t="s">
        <v>429</v>
      </c>
      <c r="D34" s="246" t="s">
        <v>430</v>
      </c>
      <c r="E34" s="247" t="s">
        <v>423</v>
      </c>
    </row>
    <row r="35" spans="1:9" ht="15" customHeight="1">
      <c r="A35" s="248" t="s">
        <v>431</v>
      </c>
      <c r="B35" s="6">
        <v>324</v>
      </c>
      <c r="C35" s="576">
        <v>102000</v>
      </c>
      <c r="D35" s="251">
        <f>Table14[[#This Row],[Unit cost]]*Table14[[#This Row],[number]]</f>
        <v>33048000</v>
      </c>
      <c r="E35" s="501">
        <v>2500</v>
      </c>
    </row>
    <row r="36" spans="1:9" ht="15" customHeight="1">
      <c r="A36" s="249" t="s">
        <v>432</v>
      </c>
      <c r="B36" s="6">
        <v>94</v>
      </c>
      <c r="C36" s="104">
        <v>200000</v>
      </c>
      <c r="D36" s="251">
        <f>Table14[[#This Row],[Unit cost]]*Table14[[#This Row],[number]]</f>
        <v>18800000</v>
      </c>
      <c r="E36" s="502"/>
    </row>
    <row r="37" spans="1:9" ht="15" customHeight="1">
      <c r="A37" s="249" t="s">
        <v>433</v>
      </c>
      <c r="B37" s="6">
        <v>4</v>
      </c>
      <c r="C37" s="104">
        <v>4000000</v>
      </c>
      <c r="D37" s="251">
        <f>Table14[[#This Row],[Unit cost]]*Table14[[#This Row],[number]]</f>
        <v>16000000</v>
      </c>
      <c r="E37" s="502"/>
    </row>
    <row r="38" spans="1:9" ht="15" customHeight="1">
      <c r="A38" s="250" t="s">
        <v>434</v>
      </c>
      <c r="B38" s="6">
        <v>7</v>
      </c>
      <c r="C38" s="104">
        <v>2000000</v>
      </c>
      <c r="D38" s="251">
        <f>Table14[[#This Row],[Unit cost]]*Table14[[#This Row],[number]]</f>
        <v>14000000</v>
      </c>
      <c r="E38" s="502"/>
    </row>
    <row r="39" spans="1:9" ht="15" customHeight="1">
      <c r="A39" s="250" t="s">
        <v>435</v>
      </c>
      <c r="B39" s="6"/>
      <c r="C39" s="104"/>
      <c r="D39" s="104">
        <v>7000000</v>
      </c>
      <c r="E39" s="502"/>
    </row>
    <row r="40" spans="1:9" ht="15" customHeight="1">
      <c r="A40" s="249" t="s">
        <v>436</v>
      </c>
      <c r="B40" s="6"/>
      <c r="C40" s="104"/>
      <c r="D40" s="104">
        <f>SUM(D35:D39)</f>
        <v>88848000</v>
      </c>
      <c r="E40" s="503"/>
    </row>
    <row r="41" spans="1:9" ht="23.25" customHeight="1"/>
    <row r="43" spans="1:9" ht="15" customHeight="1">
      <c r="A43" s="246" t="s">
        <v>427</v>
      </c>
      <c r="B43" s="6" t="s">
        <v>428</v>
      </c>
      <c r="C43" s="246" t="s">
        <v>429</v>
      </c>
      <c r="D43" s="246" t="s">
        <v>437</v>
      </c>
      <c r="E43" s="247" t="s">
        <v>423</v>
      </c>
      <c r="G43" s="7"/>
      <c r="H43" s="27"/>
      <c r="I43" s="27"/>
    </row>
    <row r="44" spans="1:9" ht="24" customHeight="1">
      <c r="A44" s="248" t="s">
        <v>431</v>
      </c>
      <c r="B44" s="6">
        <v>390</v>
      </c>
      <c r="C44" s="576">
        <v>102000</v>
      </c>
      <c r="D44" s="104">
        <f>Table17[[#This Row],[Unit cost]]*Table17[[#This Row],[number]]</f>
        <v>39780000</v>
      </c>
      <c r="E44" s="501">
        <v>3000</v>
      </c>
      <c r="G44" s="499" t="s">
        <v>438</v>
      </c>
      <c r="H44" s="499"/>
      <c r="I44" s="499"/>
    </row>
    <row r="45" spans="1:9" ht="15" customHeight="1">
      <c r="A45" s="249" t="s">
        <v>432</v>
      </c>
      <c r="B45" s="6">
        <v>110</v>
      </c>
      <c r="C45" s="104">
        <v>200000</v>
      </c>
      <c r="D45" s="104">
        <f>Table17[[#This Row],[Unit cost]]*Table17[[#This Row],[number]]</f>
        <v>22000000</v>
      </c>
      <c r="E45" s="502"/>
      <c r="G45" s="7"/>
      <c r="H45" s="27"/>
      <c r="I45" s="27"/>
    </row>
    <row r="46" spans="1:9" ht="15" customHeight="1">
      <c r="A46" s="249" t="s">
        <v>433</v>
      </c>
      <c r="B46" s="6">
        <v>6</v>
      </c>
      <c r="C46" s="104">
        <v>4000000</v>
      </c>
      <c r="D46" s="104">
        <f>Table17[[#This Row],[Unit cost]]*Table17[[#This Row],[number]]</f>
        <v>24000000</v>
      </c>
      <c r="E46" s="502"/>
      <c r="G46" t="s">
        <v>439</v>
      </c>
      <c r="H46" t="s">
        <v>273</v>
      </c>
      <c r="I46" s="205" t="s">
        <v>275</v>
      </c>
    </row>
    <row r="47" spans="1:9" ht="15" customHeight="1">
      <c r="A47" s="250" t="s">
        <v>434</v>
      </c>
      <c r="B47" s="6">
        <v>9</v>
      </c>
      <c r="C47" s="104">
        <v>2000000</v>
      </c>
      <c r="D47" s="104">
        <f>Table17[[#This Row],[Unit cost]]*Table17[[#This Row],[number]]</f>
        <v>18000000</v>
      </c>
      <c r="E47" s="502"/>
      <c r="G47">
        <v>88848000</v>
      </c>
      <c r="H47" t="s">
        <v>276</v>
      </c>
      <c r="I47">
        <v>2500</v>
      </c>
    </row>
    <row r="48" spans="1:9" ht="15" customHeight="1">
      <c r="A48" s="250" t="s">
        <v>435</v>
      </c>
      <c r="B48" s="6"/>
      <c r="C48" s="104"/>
      <c r="D48" s="104">
        <v>8000000</v>
      </c>
      <c r="E48" s="502"/>
      <c r="G48" s="104">
        <v>111780000</v>
      </c>
      <c r="H48" t="s">
        <v>279</v>
      </c>
      <c r="I48">
        <v>3000</v>
      </c>
    </row>
    <row r="49" spans="1:9" ht="15" customHeight="1">
      <c r="A49" s="249" t="s">
        <v>436</v>
      </c>
      <c r="B49" s="6"/>
      <c r="C49" s="104"/>
      <c r="D49" s="104">
        <f>SUM(D44:D48)</f>
        <v>111780000</v>
      </c>
      <c r="E49" s="503"/>
      <c r="G49">
        <v>141020000</v>
      </c>
      <c r="H49" t="s">
        <v>288</v>
      </c>
      <c r="I49">
        <v>3800</v>
      </c>
    </row>
    <row r="50" spans="1:9" ht="15" customHeight="1">
      <c r="G50">
        <v>216740000</v>
      </c>
      <c r="H50" t="s">
        <v>291</v>
      </c>
      <c r="I50">
        <v>4500</v>
      </c>
    </row>
    <row r="53" spans="1:9" ht="15" customHeight="1">
      <c r="A53" s="246" t="s">
        <v>427</v>
      </c>
      <c r="B53" s="6" t="s">
        <v>428</v>
      </c>
      <c r="C53" s="246" t="s">
        <v>429</v>
      </c>
      <c r="D53" s="246" t="s">
        <v>440</v>
      </c>
      <c r="E53" s="247" t="s">
        <v>423</v>
      </c>
    </row>
    <row r="54" spans="1:9" ht="15" customHeight="1">
      <c r="A54" s="248" t="s">
        <v>431</v>
      </c>
      <c r="B54" s="6">
        <v>510</v>
      </c>
      <c r="C54" s="576">
        <v>102000</v>
      </c>
      <c r="D54" s="104">
        <f>Table18[[#This Row],[Unit cost]]*Table18[[#This Row],[number]]</f>
        <v>52020000</v>
      </c>
      <c r="E54" s="501">
        <v>3800</v>
      </c>
    </row>
    <row r="55" spans="1:9" ht="15" customHeight="1">
      <c r="A55" s="249" t="s">
        <v>432</v>
      </c>
      <c r="B55" s="6">
        <v>160</v>
      </c>
      <c r="C55" s="104">
        <v>200000</v>
      </c>
      <c r="D55" s="104">
        <f>Table18[[#This Row],[Unit cost]]*Table18[[#This Row],[number]]</f>
        <v>32000000</v>
      </c>
      <c r="E55" s="502"/>
    </row>
    <row r="56" spans="1:9" ht="15" customHeight="1">
      <c r="A56" s="249" t="s">
        <v>433</v>
      </c>
      <c r="B56" s="6">
        <v>7</v>
      </c>
      <c r="C56" s="104">
        <v>4000000</v>
      </c>
      <c r="D56" s="104">
        <f>Table18[[#This Row],[Unit cost]]*Table18[[#This Row],[number]]</f>
        <v>28000000</v>
      </c>
      <c r="E56" s="502"/>
    </row>
    <row r="57" spans="1:9" ht="15" customHeight="1">
      <c r="A57" s="250" t="s">
        <v>434</v>
      </c>
      <c r="B57" s="6">
        <v>10</v>
      </c>
      <c r="C57" s="104">
        <v>2000000</v>
      </c>
      <c r="D57" s="104">
        <f>Table18[[#This Row],[Unit cost]]*Table18[[#This Row],[number]]</f>
        <v>20000000</v>
      </c>
      <c r="E57" s="502"/>
    </row>
    <row r="58" spans="1:9" ht="15" customHeight="1">
      <c r="A58" s="250" t="s">
        <v>435</v>
      </c>
      <c r="B58" s="6"/>
      <c r="C58" s="104"/>
      <c r="D58" s="104">
        <v>9000000</v>
      </c>
      <c r="E58" s="502"/>
    </row>
    <row r="59" spans="1:9" ht="15" customHeight="1">
      <c r="A59" s="6" t="s">
        <v>436</v>
      </c>
      <c r="B59" s="6"/>
      <c r="C59" s="104"/>
      <c r="D59" s="104">
        <f>SUM(D54:D58)</f>
        <v>141020000</v>
      </c>
      <c r="E59" s="503"/>
    </row>
    <row r="62" spans="1:9" ht="15" customHeight="1">
      <c r="A62" s="246" t="s">
        <v>427</v>
      </c>
      <c r="B62" s="6" t="s">
        <v>428</v>
      </c>
      <c r="C62" s="246" t="s">
        <v>429</v>
      </c>
      <c r="D62" s="246" t="s">
        <v>440</v>
      </c>
      <c r="E62" s="247" t="s">
        <v>423</v>
      </c>
    </row>
    <row r="63" spans="1:9" ht="15" customHeight="1">
      <c r="A63" s="248" t="s">
        <v>431</v>
      </c>
      <c r="B63" s="6">
        <v>870</v>
      </c>
      <c r="C63" s="576">
        <v>102000</v>
      </c>
      <c r="D63" s="104">
        <f>Table1822[[#This Row],[Unit cost]]*Table1822[[#This Row],[number]]</f>
        <v>88740000</v>
      </c>
      <c r="E63" s="501">
        <v>4500</v>
      </c>
    </row>
    <row r="64" spans="1:9" ht="15" customHeight="1">
      <c r="A64" s="249" t="s">
        <v>432</v>
      </c>
      <c r="B64" s="6">
        <v>250</v>
      </c>
      <c r="C64" s="104">
        <v>200000</v>
      </c>
      <c r="D64" s="104">
        <f>Table1822[[#This Row],[Unit cost]]*Table1822[[#This Row],[number]]</f>
        <v>50000000</v>
      </c>
      <c r="E64" s="502"/>
    </row>
    <row r="65" spans="1:21" ht="15" customHeight="1">
      <c r="A65" s="249" t="s">
        <v>433</v>
      </c>
      <c r="B65" s="6">
        <v>10</v>
      </c>
      <c r="C65" s="104">
        <v>4000000</v>
      </c>
      <c r="D65" s="104">
        <f>Table1822[[#This Row],[Unit cost]]*Table1822[[#This Row],[number]]</f>
        <v>40000000</v>
      </c>
      <c r="E65" s="502"/>
    </row>
    <row r="66" spans="1:21" ht="15" customHeight="1">
      <c r="A66" s="250" t="s">
        <v>434</v>
      </c>
      <c r="B66" s="6">
        <v>14</v>
      </c>
      <c r="C66" s="104">
        <v>2000000</v>
      </c>
      <c r="D66" s="104">
        <f>Table1822[[#This Row],[Unit cost]]*Table1822[[#This Row],[number]]</f>
        <v>28000000</v>
      </c>
      <c r="E66" s="502"/>
    </row>
    <row r="67" spans="1:21" ht="15" customHeight="1">
      <c r="A67" s="250" t="s">
        <v>435</v>
      </c>
      <c r="B67" s="6"/>
      <c r="C67" s="104"/>
      <c r="D67" s="104">
        <v>10000000</v>
      </c>
      <c r="E67" s="502"/>
    </row>
    <row r="68" spans="1:21" ht="15" customHeight="1">
      <c r="A68" s="6" t="s">
        <v>436</v>
      </c>
      <c r="B68" s="6"/>
      <c r="C68" s="104"/>
      <c r="D68" s="104">
        <f>SUM(D63:D67)</f>
        <v>216740000</v>
      </c>
      <c r="E68" s="503"/>
    </row>
    <row r="69" spans="1:21" ht="15" customHeight="1">
      <c r="A69" s="7"/>
      <c r="B69" s="7"/>
      <c r="C69" s="7"/>
      <c r="D69" s="7"/>
      <c r="T69" s="23"/>
      <c r="U69" s="27"/>
    </row>
    <row r="70" spans="1:21" ht="15" customHeight="1">
      <c r="A70" s="23"/>
      <c r="B70" s="23"/>
      <c r="C70" s="23"/>
      <c r="D70" s="7"/>
    </row>
    <row r="71" spans="1:21" s="159" customFormat="1" ht="24" customHeight="1">
      <c r="A71" s="206"/>
      <c r="B71" s="287"/>
      <c r="C71" s="287"/>
      <c r="D71" s="7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21" ht="15" customHeight="1">
      <c r="A72" s="28"/>
      <c r="B72" s="110"/>
      <c r="C72" s="110"/>
      <c r="D72" s="7"/>
    </row>
    <row r="73" spans="1:21" ht="30.75" customHeight="1">
      <c r="A73" s="7"/>
      <c r="B73" s="27"/>
      <c r="C73" s="27"/>
    </row>
    <row r="74" spans="1:21" ht="21.75" customHeight="1">
      <c r="A74" s="500" t="s">
        <v>441</v>
      </c>
      <c r="B74" s="500"/>
      <c r="C74" s="500"/>
      <c r="D74" s="500"/>
      <c r="E74" s="500"/>
      <c r="F74" s="500"/>
      <c r="G74" s="500"/>
      <c r="H74" s="500"/>
      <c r="I74" s="500"/>
      <c r="J74" s="159"/>
      <c r="L74" s="499" t="s">
        <v>442</v>
      </c>
      <c r="M74" s="499"/>
      <c r="N74" s="499"/>
      <c r="O74" s="499"/>
      <c r="P74" s="499"/>
      <c r="Q74" s="499"/>
    </row>
    <row r="75" spans="1:21" ht="15" customHeight="1">
      <c r="A75" s="291"/>
      <c r="B75" s="291"/>
      <c r="C75" s="291"/>
      <c r="D75" s="291"/>
      <c r="E75" s="291"/>
      <c r="F75" s="291"/>
      <c r="G75" s="291"/>
      <c r="H75" s="291"/>
    </row>
    <row r="76" spans="1:21" ht="34.5" customHeight="1">
      <c r="A76" s="103" t="s">
        <v>443</v>
      </c>
      <c r="B76" s="103" t="s">
        <v>444</v>
      </c>
      <c r="C76" s="103" t="s">
        <v>445</v>
      </c>
      <c r="D76" s="103" t="s">
        <v>446</v>
      </c>
      <c r="E76" s="286" t="s">
        <v>447</v>
      </c>
      <c r="F76" s="265" t="s">
        <v>448</v>
      </c>
      <c r="G76" s="103" t="s">
        <v>449</v>
      </c>
      <c r="H76" s="274" t="s">
        <v>450</v>
      </c>
      <c r="I76" s="286" t="s">
        <v>451</v>
      </c>
      <c r="L76" s="103" t="s">
        <v>443</v>
      </c>
      <c r="M76" s="103" t="s">
        <v>452</v>
      </c>
      <c r="N76" s="103" t="s">
        <v>453</v>
      </c>
      <c r="O76" s="103" t="s">
        <v>454</v>
      </c>
      <c r="P76" s="274" t="s">
        <v>455</v>
      </c>
      <c r="Q76" s="103" t="s">
        <v>456</v>
      </c>
    </row>
    <row r="77" spans="1:21" ht="15" customHeight="1">
      <c r="A77" s="103" t="s">
        <v>457</v>
      </c>
      <c r="B77" s="6">
        <v>324</v>
      </c>
      <c r="C77" s="504">
        <v>260</v>
      </c>
      <c r="D77" s="6">
        <f>B77*C77</f>
        <v>84240</v>
      </c>
      <c r="E77" s="504">
        <v>8.3000000000000007</v>
      </c>
      <c r="F77" s="265">
        <f>D77*E77</f>
        <v>699192.00000000012</v>
      </c>
      <c r="G77" s="6">
        <v>670250</v>
      </c>
      <c r="H77" s="109">
        <f>F77-G77</f>
        <v>28942.000000000116</v>
      </c>
      <c r="I77" s="504">
        <v>25550</v>
      </c>
      <c r="L77" s="103" t="s">
        <v>457</v>
      </c>
      <c r="M77" s="504">
        <v>365</v>
      </c>
      <c r="N77" s="250">
        <v>699.19200000000001</v>
      </c>
      <c r="O77" s="6">
        <v>670.25</v>
      </c>
      <c r="P77" s="6">
        <f>M77*N77</f>
        <v>255205.08000000002</v>
      </c>
      <c r="Q77" s="212">
        <f>M77*O77</f>
        <v>244641.25</v>
      </c>
    </row>
    <row r="78" spans="1:21" ht="15" customHeight="1">
      <c r="A78" s="265" t="s">
        <v>458</v>
      </c>
      <c r="B78" s="6">
        <v>390</v>
      </c>
      <c r="C78" s="505"/>
      <c r="D78" s="6">
        <f>B78*C77</f>
        <v>101400</v>
      </c>
      <c r="E78" s="505"/>
      <c r="F78" s="6">
        <f>E77*D78</f>
        <v>841620.00000000012</v>
      </c>
      <c r="G78" s="6">
        <v>837812</v>
      </c>
      <c r="H78" s="109">
        <f t="shared" ref="H78:H80" si="0">F78-G78</f>
        <v>3808.0000000001164</v>
      </c>
      <c r="I78" s="505"/>
      <c r="L78" s="265" t="s">
        <v>458</v>
      </c>
      <c r="M78" s="505"/>
      <c r="N78" s="250">
        <v>841.62</v>
      </c>
      <c r="O78" s="6">
        <v>837.81200000000001</v>
      </c>
      <c r="P78" s="6">
        <f>M77*N78</f>
        <v>307191.3</v>
      </c>
      <c r="Q78" s="6">
        <f>M77*O78</f>
        <v>305801.38</v>
      </c>
    </row>
    <row r="79" spans="1:21" ht="15" customHeight="1">
      <c r="A79" s="265" t="s">
        <v>459</v>
      </c>
      <c r="B79" s="6">
        <v>510</v>
      </c>
      <c r="C79" s="505"/>
      <c r="D79" s="6">
        <f>C77*B79</f>
        <v>132600</v>
      </c>
      <c r="E79" s="505"/>
      <c r="F79" s="6">
        <f>E77*D79</f>
        <v>1100580</v>
      </c>
      <c r="G79" s="6">
        <v>1047265</v>
      </c>
      <c r="H79" s="109">
        <f t="shared" si="0"/>
        <v>53315</v>
      </c>
      <c r="I79" s="505"/>
      <c r="L79" s="265" t="s">
        <v>459</v>
      </c>
      <c r="M79" s="505"/>
      <c r="N79" s="250">
        <v>1100.58</v>
      </c>
      <c r="O79" s="6">
        <v>1047.2650000000001</v>
      </c>
      <c r="P79" s="6">
        <f>M77*N79</f>
        <v>401711.69999999995</v>
      </c>
      <c r="Q79" s="6">
        <f>M77*O79</f>
        <v>382251.72500000003</v>
      </c>
    </row>
    <row r="80" spans="1:21" ht="15" customHeight="1">
      <c r="A80" s="265" t="s">
        <v>460</v>
      </c>
      <c r="B80" s="6">
        <v>870</v>
      </c>
      <c r="C80" s="506"/>
      <c r="D80" s="6">
        <f>C77*B80</f>
        <v>226200</v>
      </c>
      <c r="E80" s="506"/>
      <c r="F80" s="6">
        <f>E77*D80</f>
        <v>1877460.0000000002</v>
      </c>
      <c r="G80" s="6">
        <v>1570897</v>
      </c>
      <c r="H80" s="109">
        <f t="shared" si="0"/>
        <v>306563.00000000023</v>
      </c>
      <c r="I80" s="506"/>
      <c r="L80" s="265" t="s">
        <v>460</v>
      </c>
      <c r="M80" s="506"/>
      <c r="N80" s="268">
        <v>1877.46</v>
      </c>
      <c r="O80" s="6">
        <v>1570.8969999999999</v>
      </c>
      <c r="P80" s="6">
        <f>M77*N80</f>
        <v>685272.9</v>
      </c>
      <c r="Q80" s="6">
        <f>M77*O80</f>
        <v>573377.40500000003</v>
      </c>
    </row>
    <row r="81" spans="1:17" ht="21" customHeight="1"/>
    <row r="83" spans="1:17" ht="27.75" customHeight="1"/>
    <row r="84" spans="1:17" ht="22.5" customHeight="1">
      <c r="A84" s="499" t="s">
        <v>461</v>
      </c>
      <c r="B84" s="499"/>
      <c r="C84" s="499"/>
      <c r="D84" s="499"/>
      <c r="E84" s="499"/>
      <c r="F84" s="499"/>
      <c r="G84" s="499"/>
    </row>
    <row r="86" spans="1:17" ht="15" customHeight="1">
      <c r="A86" s="103" t="s">
        <v>443</v>
      </c>
      <c r="B86" s="103" t="s">
        <v>462</v>
      </c>
      <c r="C86" s="103" t="s">
        <v>463</v>
      </c>
      <c r="D86" s="103" t="s">
        <v>464</v>
      </c>
      <c r="E86" s="103" t="s">
        <v>465</v>
      </c>
      <c r="F86" s="284" t="s">
        <v>466</v>
      </c>
      <c r="G86" s="103" t="s">
        <v>467</v>
      </c>
    </row>
    <row r="87" spans="1:17" ht="15" customHeight="1">
      <c r="A87" s="103" t="s">
        <v>457</v>
      </c>
      <c r="B87" s="250">
        <v>84.24</v>
      </c>
      <c r="C87" s="250">
        <v>699.19200000000001</v>
      </c>
      <c r="D87" s="267">
        <v>670.25</v>
      </c>
      <c r="E87" s="267">
        <f>C87-D87</f>
        <v>28.942000000000007</v>
      </c>
      <c r="F87" s="504">
        <v>70</v>
      </c>
      <c r="G87" s="267">
        <f>E87+F87</f>
        <v>98.942000000000007</v>
      </c>
    </row>
    <row r="88" spans="1:17" ht="15" customHeight="1">
      <c r="A88" s="265" t="s">
        <v>458</v>
      </c>
      <c r="B88" s="250">
        <v>101.4</v>
      </c>
      <c r="C88" s="250">
        <v>841.62</v>
      </c>
      <c r="D88" s="267">
        <v>837.81200000000001</v>
      </c>
      <c r="E88" s="267">
        <f t="shared" ref="E88:E90" si="1">C88-D88</f>
        <v>3.8079999999999927</v>
      </c>
      <c r="F88" s="505"/>
      <c r="G88" s="267">
        <f>E88+F87</f>
        <v>73.807999999999993</v>
      </c>
    </row>
    <row r="89" spans="1:17" ht="15" customHeight="1">
      <c r="A89" s="265" t="s">
        <v>459</v>
      </c>
      <c r="B89" s="250">
        <v>132.6</v>
      </c>
      <c r="C89" s="250">
        <v>1100.58</v>
      </c>
      <c r="D89" s="267">
        <v>1047.2650000000001</v>
      </c>
      <c r="E89" s="267">
        <f t="shared" si="1"/>
        <v>53.314999999999827</v>
      </c>
      <c r="F89" s="505"/>
      <c r="G89" s="267">
        <f>E89+F87</f>
        <v>123.31499999999983</v>
      </c>
    </row>
    <row r="90" spans="1:17" ht="15" customHeight="1">
      <c r="A90" s="265" t="s">
        <v>460</v>
      </c>
      <c r="B90" s="268">
        <v>226.2</v>
      </c>
      <c r="C90" s="268">
        <v>1877.46</v>
      </c>
      <c r="D90" s="267">
        <v>1570.8969999999999</v>
      </c>
      <c r="E90" s="267">
        <f t="shared" si="1"/>
        <v>306.5630000000001</v>
      </c>
      <c r="F90" s="506"/>
      <c r="G90" s="267">
        <f>E90+F87</f>
        <v>376.5630000000001</v>
      </c>
    </row>
    <row r="91" spans="1:17" ht="15" customHeight="1">
      <c r="C91" s="7"/>
      <c r="D91" s="266"/>
      <c r="E91" s="266"/>
      <c r="G91" s="266"/>
    </row>
    <row r="92" spans="1:17" s="295" customFormat="1" ht="21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5" spans="1:17" ht="23.25" customHeight="1">
      <c r="A95" s="499" t="s">
        <v>468</v>
      </c>
      <c r="B95" s="499"/>
      <c r="C95" s="499"/>
      <c r="D95" s="499"/>
      <c r="E95" s="499"/>
      <c r="F95" s="499"/>
      <c r="G95" s="295"/>
      <c r="H95" s="295"/>
      <c r="I95" s="295"/>
      <c r="J95" s="295"/>
      <c r="K95" s="295"/>
      <c r="L95" s="295"/>
      <c r="M95" s="295"/>
      <c r="N95" s="295"/>
      <c r="O95" s="295"/>
      <c r="P95" s="295"/>
      <c r="Q95" s="295"/>
    </row>
    <row r="97" spans="1:7" ht="15" customHeight="1">
      <c r="A97" s="274" t="s">
        <v>443</v>
      </c>
      <c r="B97" s="270" t="s">
        <v>469</v>
      </c>
      <c r="C97" s="270" t="s">
        <v>470</v>
      </c>
      <c r="D97" s="272" t="s">
        <v>471</v>
      </c>
      <c r="E97" s="304" t="s">
        <v>472</v>
      </c>
      <c r="F97" s="270" t="s">
        <v>473</v>
      </c>
    </row>
    <row r="98" spans="1:7" ht="15" customHeight="1">
      <c r="A98" s="275" t="s">
        <v>457</v>
      </c>
      <c r="B98" s="267">
        <v>98.942000000000007</v>
      </c>
      <c r="C98" s="510">
        <v>30</v>
      </c>
      <c r="D98" s="273">
        <f>B98*C98</f>
        <v>2968.26</v>
      </c>
      <c r="E98" s="507">
        <v>365</v>
      </c>
      <c r="F98" s="305">
        <f>D98*E98</f>
        <v>1083414.9000000001</v>
      </c>
    </row>
    <row r="99" spans="1:7" ht="15" customHeight="1">
      <c r="A99" s="276" t="s">
        <v>458</v>
      </c>
      <c r="B99" s="273">
        <v>73.807999999999993</v>
      </c>
      <c r="C99" s="511"/>
      <c r="D99" s="267">
        <f>B99*C98</f>
        <v>2214.2399999999998</v>
      </c>
      <c r="E99" s="508"/>
      <c r="F99" s="267">
        <f>D99*E98</f>
        <v>808197.6</v>
      </c>
    </row>
    <row r="100" spans="1:7" ht="15" customHeight="1">
      <c r="A100" s="276" t="s">
        <v>459</v>
      </c>
      <c r="B100" s="267">
        <v>123.31499999999983</v>
      </c>
      <c r="C100" s="511"/>
      <c r="D100" s="267">
        <f>B100*C98</f>
        <v>3699.4499999999948</v>
      </c>
      <c r="E100" s="508"/>
      <c r="F100" s="267">
        <f>D100*E98</f>
        <v>1350299.2499999981</v>
      </c>
    </row>
    <row r="101" spans="1:7" ht="15" customHeight="1">
      <c r="A101" s="276" t="s">
        <v>460</v>
      </c>
      <c r="B101" s="267">
        <v>376.5630000000001</v>
      </c>
      <c r="C101" s="512"/>
      <c r="D101" s="267">
        <f>B101*C98</f>
        <v>11296.890000000003</v>
      </c>
      <c r="E101" s="509"/>
      <c r="F101" s="267">
        <f>D101*E98</f>
        <v>4123364.850000001</v>
      </c>
    </row>
    <row r="102" spans="1:7" ht="14.25" customHeight="1">
      <c r="C102" s="7"/>
    </row>
    <row r="103" spans="1:7" ht="24.75" customHeight="1">
      <c r="C103" s="7"/>
    </row>
    <row r="104" spans="1:7" ht="15" customHeight="1">
      <c r="C104" s="7"/>
    </row>
    <row r="105" spans="1:7" ht="15" customHeight="1">
      <c r="C105" s="7"/>
    </row>
    <row r="106" spans="1:7" ht="20.25" customHeight="1">
      <c r="A106" s="499" t="s">
        <v>474</v>
      </c>
      <c r="B106" s="499"/>
      <c r="C106" s="499"/>
      <c r="D106" s="499"/>
      <c r="E106" s="499"/>
      <c r="F106" s="499"/>
      <c r="G106" s="499"/>
    </row>
    <row r="110" spans="1:7" ht="15" customHeight="1">
      <c r="B110" s="294" t="s">
        <v>475</v>
      </c>
      <c r="C110" s="294" t="s">
        <v>476</v>
      </c>
    </row>
    <row r="111" spans="1:7" ht="15" customHeight="1">
      <c r="B111" s="6" t="s">
        <v>32</v>
      </c>
      <c r="C111" s="6">
        <v>1.0358270000000001</v>
      </c>
    </row>
    <row r="112" spans="1:7" ht="15" customHeight="1">
      <c r="B112" s="6" t="s">
        <v>477</v>
      </c>
      <c r="C112" s="6">
        <v>2</v>
      </c>
    </row>
    <row r="113" spans="2:3" ht="15" customHeight="1">
      <c r="B113" s="6" t="s">
        <v>302</v>
      </c>
      <c r="C113" s="6">
        <v>5</v>
      </c>
    </row>
    <row r="114" spans="2:3" ht="15" customHeight="1">
      <c r="B114" s="6" t="s">
        <v>478</v>
      </c>
      <c r="C114" s="6">
        <v>88.847999999999999</v>
      </c>
    </row>
    <row r="115" spans="2:3" ht="15" customHeight="1">
      <c r="B115" s="6" t="s">
        <v>479</v>
      </c>
      <c r="C115" s="6">
        <v>9.4499999999999993</v>
      </c>
    </row>
    <row r="116" spans="2:3" ht="15" customHeight="1">
      <c r="B116" s="6" t="s">
        <v>480</v>
      </c>
      <c r="C116" s="6">
        <v>30</v>
      </c>
    </row>
    <row r="117" spans="2:3" ht="15" customHeight="1">
      <c r="B117" s="6" t="s">
        <v>481</v>
      </c>
      <c r="C117" s="6">
        <v>15</v>
      </c>
    </row>
    <row r="142" spans="2:6" ht="15" customHeight="1">
      <c r="B142" s="494" t="s">
        <v>482</v>
      </c>
      <c r="C142" s="494"/>
      <c r="D142" s="494"/>
      <c r="E142" s="494"/>
      <c r="F142" s="494"/>
    </row>
    <row r="143" spans="2:6" ht="15" customHeight="1">
      <c r="B143" s="494"/>
      <c r="C143" s="494"/>
      <c r="D143" s="494"/>
      <c r="E143" s="494"/>
      <c r="F143" s="494"/>
    </row>
    <row r="146" spans="2:6" ht="15" customHeight="1">
      <c r="B146" s="328" t="s">
        <v>483</v>
      </c>
      <c r="C146" s="328" t="s">
        <v>484</v>
      </c>
      <c r="D146" s="328" t="s">
        <v>485</v>
      </c>
      <c r="E146" s="328" t="s">
        <v>486</v>
      </c>
      <c r="F146" s="328" t="s">
        <v>487</v>
      </c>
    </row>
    <row r="147" spans="2:6" ht="15" customHeight="1">
      <c r="B147" s="329" t="s">
        <v>488</v>
      </c>
      <c r="C147" s="330" t="s">
        <v>489</v>
      </c>
      <c r="D147" s="331" t="s">
        <v>490</v>
      </c>
      <c r="E147" s="330" t="s">
        <v>491</v>
      </c>
      <c r="F147" s="332" t="s">
        <v>492</v>
      </c>
    </row>
    <row r="148" spans="2:6" ht="15" customHeight="1">
      <c r="B148" s="329" t="s">
        <v>493</v>
      </c>
      <c r="C148" s="333" t="s">
        <v>494</v>
      </c>
      <c r="D148" s="345" t="s">
        <v>495</v>
      </c>
      <c r="E148" s="333" t="s">
        <v>496</v>
      </c>
      <c r="F148" s="332" t="s">
        <v>497</v>
      </c>
    </row>
    <row r="149" spans="2:6" ht="15" customHeight="1">
      <c r="B149" s="329" t="s">
        <v>498</v>
      </c>
      <c r="C149" s="333" t="s">
        <v>499</v>
      </c>
      <c r="D149" s="345" t="s">
        <v>500</v>
      </c>
      <c r="E149" s="333" t="s">
        <v>501</v>
      </c>
      <c r="F149" s="332" t="s">
        <v>502</v>
      </c>
    </row>
    <row r="150" spans="2:6" ht="15" customHeight="1">
      <c r="B150" s="329" t="s">
        <v>503</v>
      </c>
      <c r="C150" s="333" t="s">
        <v>504</v>
      </c>
      <c r="D150" s="345" t="s">
        <v>505</v>
      </c>
      <c r="E150" s="333" t="s">
        <v>506</v>
      </c>
      <c r="F150" s="332" t="s">
        <v>507</v>
      </c>
    </row>
    <row r="151" spans="2:6" ht="15" customHeight="1">
      <c r="B151" s="334" t="s">
        <v>508</v>
      </c>
      <c r="C151" s="333" t="s">
        <v>509</v>
      </c>
      <c r="D151" s="345" t="s">
        <v>510</v>
      </c>
      <c r="E151" s="335"/>
      <c r="F151" s="332" t="s">
        <v>511</v>
      </c>
    </row>
    <row r="152" spans="2:6" ht="15" customHeight="1">
      <c r="B152" s="347"/>
      <c r="C152" s="348"/>
      <c r="D152" s="349"/>
      <c r="E152" s="348"/>
      <c r="F152" s="350" t="s">
        <v>212</v>
      </c>
    </row>
    <row r="153" spans="2:6" ht="15" customHeight="1">
      <c r="B153" s="336"/>
      <c r="C153" s="346" t="s">
        <v>512</v>
      </c>
      <c r="D153" s="10"/>
      <c r="E153" s="346" t="s">
        <v>513</v>
      </c>
      <c r="F153" s="338"/>
    </row>
    <row r="154" spans="2:6" ht="15" customHeight="1">
      <c r="B154" s="336"/>
      <c r="C154" s="330" t="s">
        <v>514</v>
      </c>
      <c r="D154" s="10"/>
      <c r="E154" s="330" t="s">
        <v>515</v>
      </c>
      <c r="F154" s="338"/>
    </row>
    <row r="155" spans="2:6" ht="15" customHeight="1">
      <c r="B155" s="336"/>
      <c r="C155" s="333" t="s">
        <v>516</v>
      </c>
      <c r="D155" s="10"/>
      <c r="E155" s="333" t="s">
        <v>517</v>
      </c>
      <c r="F155" s="338"/>
    </row>
    <row r="156" spans="2:6" ht="15" customHeight="1">
      <c r="B156" s="336"/>
      <c r="C156" s="333" t="s">
        <v>518</v>
      </c>
      <c r="D156" s="10"/>
      <c r="E156" s="333" t="s">
        <v>519</v>
      </c>
      <c r="F156" s="338"/>
    </row>
    <row r="157" spans="2:6" ht="15" customHeight="1">
      <c r="B157" s="336"/>
      <c r="C157" s="333" t="s">
        <v>520</v>
      </c>
      <c r="D157" s="10"/>
      <c r="E157" s="333" t="s">
        <v>521</v>
      </c>
      <c r="F157" s="338"/>
    </row>
    <row r="158" spans="2:6" ht="15" customHeight="1">
      <c r="B158" s="336"/>
      <c r="C158" s="339" t="s">
        <v>522</v>
      </c>
      <c r="D158" s="10"/>
      <c r="E158" s="337"/>
      <c r="F158" s="338"/>
    </row>
    <row r="159" spans="2:6" ht="15" customHeight="1">
      <c r="B159" s="495" t="s">
        <v>523</v>
      </c>
      <c r="C159" s="496"/>
      <c r="D159" s="496"/>
      <c r="E159" s="497" t="s">
        <v>524</v>
      </c>
      <c r="F159" s="498"/>
    </row>
    <row r="160" spans="2:6" ht="15" customHeight="1">
      <c r="B160" s="329" t="s">
        <v>525</v>
      </c>
      <c r="C160" s="10"/>
      <c r="D160" s="10"/>
      <c r="E160" s="340" t="s">
        <v>526</v>
      </c>
      <c r="F160" s="338"/>
    </row>
    <row r="161" spans="2:6" ht="15" customHeight="1">
      <c r="B161" s="329" t="s">
        <v>527</v>
      </c>
      <c r="C161" s="10"/>
      <c r="D161" s="10"/>
      <c r="E161" s="340" t="s">
        <v>528</v>
      </c>
      <c r="F161" s="338"/>
    </row>
    <row r="162" spans="2:6" ht="15" customHeight="1">
      <c r="B162" s="329" t="s">
        <v>529</v>
      </c>
      <c r="C162" s="10"/>
      <c r="D162" s="10"/>
      <c r="E162" s="340" t="s">
        <v>530</v>
      </c>
      <c r="F162" s="338"/>
    </row>
    <row r="163" spans="2:6" ht="15" customHeight="1">
      <c r="B163" s="329" t="s">
        <v>531</v>
      </c>
      <c r="C163" s="10"/>
      <c r="D163" s="10"/>
      <c r="E163" s="340" t="s">
        <v>532</v>
      </c>
      <c r="F163" s="338"/>
    </row>
    <row r="164" spans="2:6" ht="15" customHeight="1">
      <c r="B164" s="341" t="s">
        <v>212</v>
      </c>
      <c r="C164" s="342"/>
      <c r="D164" s="342"/>
      <c r="E164" s="343" t="s">
        <v>212</v>
      </c>
      <c r="F164" s="344"/>
    </row>
  </sheetData>
  <mergeCells count="23">
    <mergeCell ref="A4:M4"/>
    <mergeCell ref="A95:F95"/>
    <mergeCell ref="E54:E59"/>
    <mergeCell ref="E44:E49"/>
    <mergeCell ref="E35:E40"/>
    <mergeCell ref="A32:E32"/>
    <mergeCell ref="A8:K8"/>
    <mergeCell ref="G44:I44"/>
    <mergeCell ref="L74:Q74"/>
    <mergeCell ref="A84:G84"/>
    <mergeCell ref="E63:E68"/>
    <mergeCell ref="M77:M80"/>
    <mergeCell ref="F87:F90"/>
    <mergeCell ref="E77:E80"/>
    <mergeCell ref="C77:C80"/>
    <mergeCell ref="I77:I80"/>
    <mergeCell ref="B142:F143"/>
    <mergeCell ref="B159:D159"/>
    <mergeCell ref="E159:F159"/>
    <mergeCell ref="A106:G106"/>
    <mergeCell ref="A74:I74"/>
    <mergeCell ref="E98:E101"/>
    <mergeCell ref="C98:C10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G24"/>
  <sheetViews>
    <sheetView topLeftCell="A14" workbookViewId="0">
      <selection activeCell="B18" sqref="B18"/>
    </sheetView>
  </sheetViews>
  <sheetFormatPr defaultColWidth="8.7109375" defaultRowHeight="15"/>
  <cols>
    <col min="1" max="1" width="18.28515625" style="5" customWidth="1"/>
    <col min="2" max="2" width="43.570312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7" ht="21">
      <c r="A1" s="159"/>
    </row>
    <row r="2" spans="1:7" ht="26.25">
      <c r="B2" s="514" t="s">
        <v>533</v>
      </c>
      <c r="C2" s="514"/>
      <c r="D2" s="514"/>
      <c r="E2" s="514"/>
      <c r="F2" s="514"/>
      <c r="G2" s="514"/>
    </row>
    <row r="3" spans="1:7">
      <c r="B3" s="5"/>
      <c r="C3" s="5"/>
      <c r="D3" s="5"/>
      <c r="E3" s="5"/>
      <c r="F3" s="5"/>
      <c r="G3" s="5"/>
    </row>
    <row r="4" spans="1:7">
      <c r="B4" s="106" t="s">
        <v>389</v>
      </c>
      <c r="C4" s="105" t="s">
        <v>534</v>
      </c>
      <c r="D4" s="105" t="s">
        <v>535</v>
      </c>
      <c r="E4" s="105" t="s">
        <v>536</v>
      </c>
      <c r="F4" s="105" t="s">
        <v>537</v>
      </c>
      <c r="G4" s="108" t="s">
        <v>538</v>
      </c>
    </row>
    <row r="5" spans="1:7">
      <c r="B5" s="156" t="s">
        <v>539</v>
      </c>
      <c r="C5" s="104">
        <v>8000000</v>
      </c>
      <c r="D5" s="104">
        <v>20000</v>
      </c>
      <c r="E5" s="104">
        <v>250000</v>
      </c>
      <c r="F5" s="104">
        <v>250000</v>
      </c>
      <c r="G5" s="109" t="s">
        <v>540</v>
      </c>
    </row>
    <row r="6" spans="1:7">
      <c r="B6" s="156" t="s">
        <v>541</v>
      </c>
      <c r="C6" s="6">
        <v>1</v>
      </c>
      <c r="D6" s="6">
        <v>10</v>
      </c>
      <c r="E6" s="6">
        <v>1</v>
      </c>
      <c r="F6" s="6">
        <v>4</v>
      </c>
      <c r="G6" s="109" t="s">
        <v>540</v>
      </c>
    </row>
    <row r="7" spans="1:7">
      <c r="B7" s="107" t="s">
        <v>542</v>
      </c>
      <c r="C7" s="155">
        <v>8000000</v>
      </c>
      <c r="D7" s="155">
        <v>200000</v>
      </c>
      <c r="E7" s="155">
        <v>250000</v>
      </c>
      <c r="F7" s="155">
        <v>1000000</v>
      </c>
      <c r="G7" s="157">
        <v>9450000</v>
      </c>
    </row>
    <row r="8" spans="1:7">
      <c r="B8" s="23"/>
      <c r="C8" s="110"/>
      <c r="D8" s="7"/>
      <c r="E8" s="110"/>
      <c r="F8" s="7"/>
    </row>
    <row r="9" spans="1:7">
      <c r="B9" s="23"/>
      <c r="C9" s="110"/>
      <c r="D9" s="7"/>
      <c r="E9" s="110"/>
      <c r="F9" s="7"/>
    </row>
    <row r="10" spans="1:7">
      <c r="B10" s="515" t="s">
        <v>543</v>
      </c>
      <c r="C10" s="516"/>
      <c r="D10" s="516"/>
      <c r="E10" s="110"/>
      <c r="F10" s="7"/>
    </row>
    <row r="11" spans="1:7">
      <c r="B11" s="23"/>
      <c r="C11" s="7"/>
      <c r="D11" s="7"/>
      <c r="E11" s="23"/>
      <c r="F11" s="23"/>
    </row>
    <row r="12" spans="1:7" ht="26.25" customHeight="1">
      <c r="B12" s="106" t="s">
        <v>389</v>
      </c>
      <c r="C12" s="105" t="s">
        <v>544</v>
      </c>
      <c r="D12" s="108" t="s">
        <v>545</v>
      </c>
      <c r="E12" s="110"/>
      <c r="F12" s="7"/>
    </row>
    <row r="13" spans="1:7" ht="28.5" customHeight="1">
      <c r="B13" s="156" t="s">
        <v>546</v>
      </c>
      <c r="C13" s="6">
        <v>160</v>
      </c>
      <c r="D13" s="109">
        <v>160</v>
      </c>
      <c r="E13" s="110"/>
      <c r="F13" s="7"/>
    </row>
    <row r="14" spans="1:7" ht="30.75">
      <c r="B14" s="243" t="s">
        <v>451</v>
      </c>
      <c r="C14" s="104">
        <v>25550</v>
      </c>
      <c r="D14" s="113">
        <v>63875</v>
      </c>
      <c r="E14" s="110"/>
      <c r="F14" s="7"/>
    </row>
    <row r="15" spans="1:7">
      <c r="B15" s="156" t="s">
        <v>547</v>
      </c>
      <c r="C15" s="104">
        <v>4088000</v>
      </c>
      <c r="D15" s="113">
        <v>10220000</v>
      </c>
      <c r="E15" s="112"/>
      <c r="F15" s="23"/>
    </row>
    <row r="16" spans="1:7">
      <c r="B16" s="107" t="s">
        <v>543</v>
      </c>
      <c r="C16" s="154">
        <v>2.31</v>
      </c>
      <c r="D16" s="158">
        <v>0.93</v>
      </c>
    </row>
    <row r="19" spans="2:4">
      <c r="B19" s="517" t="s">
        <v>548</v>
      </c>
      <c r="C19" s="518"/>
      <c r="D19" s="518"/>
    </row>
    <row r="20" spans="2:4">
      <c r="B20" s="106" t="s">
        <v>389</v>
      </c>
      <c r="C20" s="105" t="s">
        <v>544</v>
      </c>
      <c r="D20" s="108" t="s">
        <v>545</v>
      </c>
    </row>
    <row r="21" spans="2:4">
      <c r="B21" s="156" t="s">
        <v>549</v>
      </c>
      <c r="C21" s="104">
        <v>25550</v>
      </c>
      <c r="D21" s="113">
        <v>63875</v>
      </c>
    </row>
    <row r="22" spans="2:4">
      <c r="B22" s="156" t="s">
        <v>550</v>
      </c>
      <c r="C22" s="268">
        <v>43.9</v>
      </c>
      <c r="D22" s="313">
        <v>43.9</v>
      </c>
    </row>
    <row r="23" spans="2:4">
      <c r="B23" s="156" t="s">
        <v>551</v>
      </c>
      <c r="C23" s="104">
        <v>1121645</v>
      </c>
      <c r="D23" s="113">
        <v>2804462</v>
      </c>
    </row>
    <row r="24" spans="2:4">
      <c r="B24" s="107" t="s">
        <v>552</v>
      </c>
      <c r="C24" s="154">
        <v>1.1200000000000001</v>
      </c>
      <c r="D24" s="158">
        <v>2.8</v>
      </c>
    </row>
  </sheetData>
  <mergeCells count="3">
    <mergeCell ref="B2:G2"/>
    <mergeCell ref="B10:D10"/>
    <mergeCell ref="B19:D1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I48"/>
  <sheetViews>
    <sheetView tabSelected="1" topLeftCell="A22" workbookViewId="0">
      <selection activeCell="D43" sqref="D43:I46"/>
    </sheetView>
  </sheetViews>
  <sheetFormatPr defaultColWidth="8.7109375" defaultRowHeight="15" customHeight="1"/>
  <cols>
    <col min="2" max="2" width="31.42578125" customWidth="1"/>
    <col min="3" max="3" width="50.28515625" customWidth="1"/>
    <col min="4" max="4" width="25.140625" customWidth="1"/>
    <col min="9" max="9" width="9.7109375" customWidth="1"/>
    <col min="16384" max="16384" width="8.7109375" bestFit="1" customWidth="1"/>
  </cols>
  <sheetData>
    <row r="2" spans="1:5" ht="36.75" customHeight="1">
      <c r="C2" s="526" t="s">
        <v>553</v>
      </c>
      <c r="D2" s="526"/>
      <c r="E2" s="526"/>
    </row>
    <row r="3" spans="1:5" ht="36.75" customHeight="1">
      <c r="C3" s="539" t="s">
        <v>554</v>
      </c>
      <c r="D3" s="539"/>
      <c r="E3" s="314"/>
    </row>
    <row r="4" spans="1:5" ht="36.75" customHeight="1">
      <c r="C4" s="539" t="s">
        <v>555</v>
      </c>
      <c r="D4" s="539"/>
      <c r="E4" s="314"/>
    </row>
    <row r="7" spans="1:5" s="9" customFormat="1" ht="50.25" customHeight="1">
      <c r="A7" s="39"/>
      <c r="B7" s="114" t="s">
        <v>556</v>
      </c>
      <c r="C7" s="114" t="s">
        <v>557</v>
      </c>
      <c r="D7" s="115" t="s">
        <v>558</v>
      </c>
      <c r="E7" s="40"/>
    </row>
    <row r="8" spans="1:5" ht="75.75" customHeight="1">
      <c r="B8" s="31" t="s">
        <v>559</v>
      </c>
      <c r="C8" s="32" t="s">
        <v>560</v>
      </c>
      <c r="D8" s="116" t="s">
        <v>561</v>
      </c>
    </row>
    <row r="9" spans="1:5" s="3" customFormat="1" ht="48.75" customHeight="1">
      <c r="B9" s="33" t="s">
        <v>562</v>
      </c>
      <c r="C9" s="34" t="s">
        <v>563</v>
      </c>
      <c r="D9" s="117" t="s">
        <v>564</v>
      </c>
    </row>
    <row r="10" spans="1:5" s="3" customFormat="1" ht="117" customHeight="1">
      <c r="B10" s="33" t="s">
        <v>565</v>
      </c>
      <c r="C10" s="35" t="s">
        <v>566</v>
      </c>
      <c r="D10" s="38" t="s">
        <v>13</v>
      </c>
    </row>
    <row r="11" spans="1:5" s="3" customFormat="1" ht="72" customHeight="1">
      <c r="B11" s="33" t="s">
        <v>567</v>
      </c>
      <c r="C11" s="35" t="s">
        <v>568</v>
      </c>
      <c r="D11" s="38" t="s">
        <v>13</v>
      </c>
    </row>
    <row r="12" spans="1:5" s="3" customFormat="1" ht="50.25" customHeight="1">
      <c r="B12" s="33" t="s">
        <v>569</v>
      </c>
      <c r="C12" s="34" t="s">
        <v>570</v>
      </c>
      <c r="D12" s="117" t="s">
        <v>571</v>
      </c>
    </row>
    <row r="13" spans="1:5" s="3" customFormat="1" ht="69.75" customHeight="1">
      <c r="B13" s="36" t="s">
        <v>572</v>
      </c>
      <c r="C13" s="37" t="s">
        <v>573</v>
      </c>
      <c r="D13" s="118" t="s">
        <v>574</v>
      </c>
    </row>
    <row r="17" spans="1:9" ht="15" customHeight="1">
      <c r="C17" s="540" t="s">
        <v>575</v>
      </c>
      <c r="D17" s="500"/>
    </row>
    <row r="18" spans="1:9" ht="11.25" customHeight="1"/>
    <row r="19" spans="1:9" ht="28.5" customHeight="1">
      <c r="C19" s="119" t="s">
        <v>576</v>
      </c>
      <c r="D19" s="120" t="s">
        <v>577</v>
      </c>
      <c r="E19" s="531" t="s">
        <v>578</v>
      </c>
      <c r="F19" s="532"/>
      <c r="G19" s="121" t="s">
        <v>579</v>
      </c>
    </row>
    <row r="20" spans="1:9" ht="21" customHeight="1">
      <c r="A20" s="529" t="s">
        <v>580</v>
      </c>
      <c r="B20" s="530"/>
      <c r="C20" s="122">
        <v>130</v>
      </c>
      <c r="D20" s="123">
        <v>250</v>
      </c>
      <c r="E20" s="533">
        <f>D20-C20</f>
        <v>120</v>
      </c>
      <c r="F20" s="534"/>
      <c r="G20" s="151">
        <f>D20/(C20+D20)</f>
        <v>0.65789473684210531</v>
      </c>
    </row>
    <row r="21" spans="1:9" ht="21.75" customHeight="1">
      <c r="A21" s="529" t="s">
        <v>581</v>
      </c>
      <c r="B21" s="530"/>
      <c r="C21" s="277">
        <f>130*50000/1000000</f>
        <v>6.5</v>
      </c>
      <c r="D21" s="278">
        <f>250*50000/1000000</f>
        <v>12.5</v>
      </c>
      <c r="E21" s="535">
        <f t="shared" ref="E21:E22" si="0">D21-C21</f>
        <v>6</v>
      </c>
      <c r="F21" s="536"/>
      <c r="G21" s="152">
        <f>D21/(C21+D21)</f>
        <v>0.65789473684210531</v>
      </c>
    </row>
    <row r="22" spans="1:9" ht="36" customHeight="1">
      <c r="A22" s="527" t="s">
        <v>582</v>
      </c>
      <c r="B22" s="528"/>
      <c r="C22" s="277">
        <f>130*15000/1000000</f>
        <v>1.95</v>
      </c>
      <c r="D22" s="123">
        <v>0</v>
      </c>
      <c r="E22" s="537">
        <f>-D22+C22</f>
        <v>1.95</v>
      </c>
      <c r="F22" s="538"/>
      <c r="G22" s="153">
        <f>1</f>
        <v>1</v>
      </c>
    </row>
    <row r="23" spans="1:9"/>
    <row r="26" spans="1:9" ht="15" customHeight="1">
      <c r="C26" s="541" t="s">
        <v>583</v>
      </c>
      <c r="D26" s="541"/>
    </row>
    <row r="27" spans="1:9" ht="15" customHeight="1">
      <c r="C27" s="541"/>
      <c r="D27" s="541"/>
    </row>
    <row r="29" spans="1:9" ht="15" customHeight="1">
      <c r="B29" s="542" t="s">
        <v>483</v>
      </c>
      <c r="C29" s="542" t="s">
        <v>484</v>
      </c>
      <c r="D29" s="543" t="s">
        <v>485</v>
      </c>
      <c r="E29" s="544" t="s">
        <v>486</v>
      </c>
      <c r="F29" s="544"/>
      <c r="G29" s="545"/>
      <c r="H29" s="544" t="s">
        <v>487</v>
      </c>
      <c r="I29" s="545"/>
    </row>
    <row r="30" spans="1:9" ht="15" customHeight="1">
      <c r="B30" s="546"/>
      <c r="C30" s="547"/>
      <c r="D30" s="548"/>
      <c r="E30" s="549"/>
      <c r="F30" s="549"/>
      <c r="G30" s="550"/>
      <c r="H30" s="549"/>
      <c r="I30" s="550"/>
    </row>
    <row r="31" spans="1:9" ht="15" customHeight="1">
      <c r="B31" s="557" t="s">
        <v>584</v>
      </c>
      <c r="C31" s="559" t="s">
        <v>585</v>
      </c>
      <c r="D31" s="561" t="s">
        <v>586</v>
      </c>
      <c r="E31" s="558" t="s">
        <v>587</v>
      </c>
      <c r="F31" s="564"/>
      <c r="G31" s="565"/>
      <c r="H31" s="566" t="s">
        <v>588</v>
      </c>
      <c r="I31" s="567"/>
    </row>
    <row r="32" spans="1:9" ht="15" customHeight="1">
      <c r="B32" s="557" t="s">
        <v>589</v>
      </c>
      <c r="C32" s="560" t="s">
        <v>590</v>
      </c>
      <c r="D32" s="561"/>
      <c r="E32" s="558"/>
      <c r="F32" s="564"/>
      <c r="G32" s="565"/>
      <c r="H32" s="568" t="s">
        <v>591</v>
      </c>
      <c r="I32" s="567"/>
    </row>
    <row r="33" spans="2:9" ht="15" customHeight="1">
      <c r="B33" s="557" t="s">
        <v>592</v>
      </c>
      <c r="C33" s="560" t="s">
        <v>593</v>
      </c>
      <c r="D33" s="561"/>
      <c r="E33" s="519"/>
      <c r="F33" s="523"/>
      <c r="G33" s="321"/>
      <c r="H33" s="568" t="s">
        <v>594</v>
      </c>
      <c r="I33" s="567"/>
    </row>
    <row r="34" spans="2:9" ht="15" customHeight="1">
      <c r="B34" s="558" t="s">
        <v>595</v>
      </c>
      <c r="C34" s="560" t="s">
        <v>596</v>
      </c>
      <c r="D34" s="562" t="s">
        <v>597</v>
      </c>
      <c r="E34" s="519"/>
      <c r="F34" s="523"/>
      <c r="G34" s="321"/>
      <c r="H34" s="568"/>
      <c r="I34" s="567"/>
    </row>
    <row r="35" spans="2:9" ht="15" customHeight="1">
      <c r="B35" s="558"/>
      <c r="C35" s="560" t="s">
        <v>598</v>
      </c>
      <c r="D35" s="562"/>
      <c r="E35" s="519"/>
      <c r="F35" s="523"/>
      <c r="G35" s="321"/>
      <c r="H35" s="568"/>
      <c r="I35" s="567"/>
    </row>
    <row r="36" spans="2:9" ht="15" customHeight="1">
      <c r="B36" s="557"/>
      <c r="C36" s="554" t="s">
        <v>512</v>
      </c>
      <c r="D36" s="563" t="s">
        <v>599</v>
      </c>
      <c r="E36" s="551" t="s">
        <v>513</v>
      </c>
      <c r="F36" s="552"/>
      <c r="G36" s="553"/>
      <c r="H36" s="523"/>
      <c r="I36" s="520"/>
    </row>
    <row r="37" spans="2:9" ht="15" customHeight="1">
      <c r="B37" s="557"/>
      <c r="C37" s="559" t="s">
        <v>600</v>
      </c>
      <c r="D37" s="562"/>
      <c r="E37" s="558" t="s">
        <v>601</v>
      </c>
      <c r="F37" s="564"/>
      <c r="G37" s="565"/>
      <c r="H37" s="519"/>
      <c r="I37" s="520"/>
    </row>
    <row r="38" spans="2:9" ht="15" customHeight="1">
      <c r="B38" s="557"/>
      <c r="C38" s="560" t="s">
        <v>602</v>
      </c>
      <c r="D38" s="525"/>
      <c r="E38" s="558"/>
      <c r="F38" s="564"/>
      <c r="G38" s="565"/>
      <c r="H38" s="519"/>
      <c r="I38" s="520"/>
    </row>
    <row r="39" spans="2:9" ht="15" customHeight="1">
      <c r="B39" s="557"/>
      <c r="C39" s="560" t="s">
        <v>603</v>
      </c>
      <c r="D39" s="525"/>
      <c r="E39" s="558" t="s">
        <v>604</v>
      </c>
      <c r="F39" s="564"/>
      <c r="G39" s="565"/>
      <c r="H39" s="519"/>
      <c r="I39" s="520"/>
    </row>
    <row r="40" spans="2:9" ht="15" customHeight="1">
      <c r="B40" s="557"/>
      <c r="C40" s="560" t="s">
        <v>605</v>
      </c>
      <c r="D40" s="7"/>
      <c r="E40" s="558"/>
      <c r="F40" s="564"/>
      <c r="G40" s="565"/>
      <c r="H40" s="519"/>
      <c r="I40" s="520"/>
    </row>
    <row r="41" spans="2:9" ht="15" customHeight="1">
      <c r="B41" s="557"/>
      <c r="C41" s="315"/>
      <c r="D41" s="7"/>
      <c r="E41" s="519"/>
      <c r="F41" s="523"/>
      <c r="G41" s="520"/>
      <c r="H41" s="519"/>
      <c r="I41" s="520"/>
    </row>
    <row r="42" spans="2:9" ht="15" customHeight="1">
      <c r="B42" s="555" t="s">
        <v>523</v>
      </c>
      <c r="C42" s="556"/>
      <c r="D42" s="551" t="s">
        <v>524</v>
      </c>
      <c r="E42" s="552"/>
      <c r="F42" s="552"/>
      <c r="G42" s="552"/>
      <c r="H42" s="552"/>
      <c r="I42" s="553"/>
    </row>
    <row r="43" spans="2:9" ht="15" customHeight="1">
      <c r="B43" s="569" t="s">
        <v>606</v>
      </c>
      <c r="C43" s="570"/>
      <c r="D43" s="569" t="s">
        <v>607</v>
      </c>
      <c r="E43" s="573"/>
      <c r="F43" s="573"/>
      <c r="G43" s="573"/>
      <c r="H43" s="573"/>
      <c r="I43" s="570"/>
    </row>
    <row r="44" spans="2:9" ht="15" customHeight="1">
      <c r="B44" s="571" t="s">
        <v>608</v>
      </c>
      <c r="C44" s="572"/>
      <c r="D44" s="571" t="s">
        <v>609</v>
      </c>
      <c r="E44" s="574"/>
      <c r="F44" s="574"/>
      <c r="G44" s="574"/>
      <c r="H44" s="574"/>
      <c r="I44" s="572"/>
    </row>
    <row r="45" spans="2:9" ht="15" customHeight="1">
      <c r="B45" s="571" t="s">
        <v>610</v>
      </c>
      <c r="C45" s="572"/>
      <c r="D45" s="571" t="s">
        <v>611</v>
      </c>
      <c r="E45" s="575"/>
      <c r="F45" s="575"/>
      <c r="G45" s="575"/>
      <c r="H45" s="575"/>
      <c r="I45" s="572"/>
    </row>
    <row r="46" spans="2:9" ht="15" customHeight="1">
      <c r="B46" s="571" t="s">
        <v>612</v>
      </c>
      <c r="C46" s="572"/>
      <c r="D46" s="266"/>
      <c r="E46" s="266"/>
      <c r="F46" s="266"/>
      <c r="G46" s="266"/>
      <c r="H46" s="266"/>
      <c r="I46" s="266"/>
    </row>
    <row r="47" spans="2:9" ht="15" customHeight="1">
      <c r="B47" s="519"/>
      <c r="C47" s="520"/>
      <c r="D47" s="519"/>
      <c r="E47" s="523"/>
      <c r="F47" s="523"/>
      <c r="G47" s="523"/>
      <c r="H47" s="523"/>
      <c r="I47" s="520"/>
    </row>
    <row r="48" spans="2:9" ht="15" customHeight="1">
      <c r="B48" s="521"/>
      <c r="C48" s="522"/>
      <c r="D48" s="521"/>
      <c r="E48" s="524"/>
      <c r="F48" s="524"/>
      <c r="G48" s="524"/>
      <c r="H48" s="524"/>
      <c r="I48" s="522"/>
    </row>
  </sheetData>
  <mergeCells count="54">
    <mergeCell ref="C26:D27"/>
    <mergeCell ref="C2:E2"/>
    <mergeCell ref="A22:B22"/>
    <mergeCell ref="A20:B20"/>
    <mergeCell ref="A21:B21"/>
    <mergeCell ref="E19:F19"/>
    <mergeCell ref="E20:F20"/>
    <mergeCell ref="E21:F21"/>
    <mergeCell ref="E22:F22"/>
    <mergeCell ref="C3:D3"/>
    <mergeCell ref="C4:D4"/>
    <mergeCell ref="C17:D17"/>
    <mergeCell ref="E41:G41"/>
    <mergeCell ref="E33:F33"/>
    <mergeCell ref="E34:F34"/>
    <mergeCell ref="H29:I30"/>
    <mergeCell ref="E35:F35"/>
    <mergeCell ref="H31:I31"/>
    <mergeCell ref="H32:I32"/>
    <mergeCell ref="H33:I33"/>
    <mergeCell ref="H34:I34"/>
    <mergeCell ref="H35:I35"/>
    <mergeCell ref="H41:I41"/>
    <mergeCell ref="H36:I36"/>
    <mergeCell ref="H37:I37"/>
    <mergeCell ref="H38:I38"/>
    <mergeCell ref="H39:I39"/>
    <mergeCell ref="H40:I40"/>
    <mergeCell ref="E29:G30"/>
    <mergeCell ref="E31:G32"/>
    <mergeCell ref="E36:G36"/>
    <mergeCell ref="E37:G38"/>
    <mergeCell ref="E39:G40"/>
    <mergeCell ref="B45:C45"/>
    <mergeCell ref="B46:C46"/>
    <mergeCell ref="B47:C47"/>
    <mergeCell ref="B48:C48"/>
    <mergeCell ref="D42:I42"/>
    <mergeCell ref="D43:I43"/>
    <mergeCell ref="D45:I45"/>
    <mergeCell ref="D44:I44"/>
    <mergeCell ref="D47:I47"/>
    <mergeCell ref="D48:I48"/>
    <mergeCell ref="C29:C30"/>
    <mergeCell ref="D29:D30"/>
    <mergeCell ref="B42:C42"/>
    <mergeCell ref="B43:C43"/>
    <mergeCell ref="B44:C44"/>
    <mergeCell ref="D36:D37"/>
    <mergeCell ref="D38:D39"/>
    <mergeCell ref="B34:B35"/>
    <mergeCell ref="D31:D33"/>
    <mergeCell ref="D34:D35"/>
    <mergeCell ref="B29:B30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2"/>
  <sheetViews>
    <sheetView workbookViewId="0">
      <selection activeCell="E4" sqref="E4"/>
    </sheetView>
  </sheetViews>
  <sheetFormatPr defaultColWidth="8.7109375" defaultRowHeight="18.75"/>
  <cols>
    <col min="1" max="1" width="17.140625" style="10" customWidth="1"/>
    <col min="2" max="2" width="54.7109375" style="10" customWidth="1"/>
    <col min="3" max="3" width="50.28515625" style="10" customWidth="1"/>
    <col min="4" max="4" width="54" style="10" customWidth="1"/>
    <col min="5" max="5" width="90.5703125" style="10" customWidth="1"/>
    <col min="6" max="6" width="62.140625" style="10" customWidth="1"/>
    <col min="7" max="7" width="23.42578125" style="10" bestFit="1" customWidth="1"/>
    <col min="8" max="10" width="11.42578125" style="10" bestFit="1" customWidth="1"/>
    <col min="11" max="16384" width="8.7109375" style="10"/>
  </cols>
  <sheetData>
    <row r="2" spans="2:7" hidden="1"/>
    <row r="3" spans="2:7" ht="33.75">
      <c r="D3" s="283" t="s">
        <v>613</v>
      </c>
    </row>
    <row r="5" spans="2:7" hidden="1">
      <c r="B5" s="8" t="s">
        <v>614</v>
      </c>
      <c r="C5" s="8" t="s">
        <v>615</v>
      </c>
      <c r="D5" s="8" t="s">
        <v>616</v>
      </c>
      <c r="E5" s="8" t="s">
        <v>617</v>
      </c>
    </row>
    <row r="6" spans="2:7" s="307" customFormat="1">
      <c r="B6" s="306" t="s">
        <v>618</v>
      </c>
      <c r="C6" s="306" t="s">
        <v>619</v>
      </c>
      <c r="D6" s="306" t="s">
        <v>620</v>
      </c>
      <c r="E6" s="306" t="s">
        <v>155</v>
      </c>
    </row>
    <row r="7" spans="2:7" s="307" customFormat="1" ht="15.75" customHeight="1">
      <c r="B7" s="308" t="s">
        <v>621</v>
      </c>
      <c r="C7" s="308" t="s">
        <v>622</v>
      </c>
      <c r="D7" s="307" t="s">
        <v>623</v>
      </c>
      <c r="E7" s="307" t="s">
        <v>624</v>
      </c>
    </row>
    <row r="8" spans="2:7" s="307" customFormat="1">
      <c r="B8" s="308" t="s">
        <v>622</v>
      </c>
      <c r="C8" s="308" t="s">
        <v>567</v>
      </c>
      <c r="D8" s="307" t="s">
        <v>625</v>
      </c>
      <c r="E8" s="307" t="s">
        <v>626</v>
      </c>
    </row>
    <row r="9" spans="2:7" s="307" customFormat="1">
      <c r="B9" s="308" t="s">
        <v>567</v>
      </c>
      <c r="C9" s="308" t="s">
        <v>627</v>
      </c>
      <c r="D9" s="307" t="s">
        <v>628</v>
      </c>
      <c r="E9" s="307" t="s">
        <v>629</v>
      </c>
    </row>
    <row r="10" spans="2:7" s="307" customFormat="1">
      <c r="B10" s="308" t="s">
        <v>627</v>
      </c>
      <c r="C10" s="308" t="s">
        <v>630</v>
      </c>
      <c r="D10" s="307" t="s">
        <v>631</v>
      </c>
      <c r="E10" s="307" t="s">
        <v>632</v>
      </c>
    </row>
    <row r="11" spans="2:7" s="307" customFormat="1">
      <c r="B11" s="308" t="s">
        <v>630</v>
      </c>
      <c r="C11" s="308" t="s">
        <v>633</v>
      </c>
      <c r="D11" s="307" t="s">
        <v>634</v>
      </c>
      <c r="E11" s="307" t="s">
        <v>635</v>
      </c>
    </row>
    <row r="16" spans="2:7" s="307" customFormat="1">
      <c r="B16" s="308" t="s">
        <v>636</v>
      </c>
      <c r="C16" s="308" t="s">
        <v>637</v>
      </c>
      <c r="D16" s="308" t="s">
        <v>638</v>
      </c>
      <c r="E16" s="308" t="s">
        <v>639</v>
      </c>
      <c r="F16" s="308" t="s">
        <v>640</v>
      </c>
      <c r="G16" s="308" t="s">
        <v>641</v>
      </c>
    </row>
    <row r="17" spans="2:7" s="307" customFormat="1">
      <c r="B17" s="309" t="s">
        <v>642</v>
      </c>
      <c r="C17" s="307" t="s">
        <v>643</v>
      </c>
      <c r="D17" s="307" t="s">
        <v>644</v>
      </c>
      <c r="E17" s="310" t="s">
        <v>645</v>
      </c>
      <c r="F17" s="311" t="s">
        <v>646</v>
      </c>
      <c r="G17" s="312">
        <v>0.83</v>
      </c>
    </row>
    <row r="18" spans="2:7" s="307" customFormat="1">
      <c r="B18" s="309" t="s">
        <v>647</v>
      </c>
      <c r="C18" s="307" t="s">
        <v>648</v>
      </c>
      <c r="D18" s="307" t="s">
        <v>649</v>
      </c>
      <c r="E18" s="311" t="s">
        <v>650</v>
      </c>
      <c r="F18" s="311" t="s">
        <v>651</v>
      </c>
      <c r="G18" s="312">
        <v>0.75</v>
      </c>
    </row>
    <row r="19" spans="2:7" s="307" customFormat="1">
      <c r="B19" s="309" t="s">
        <v>652</v>
      </c>
      <c r="C19" s="307" t="s">
        <v>653</v>
      </c>
      <c r="D19" s="307" t="s">
        <v>654</v>
      </c>
      <c r="E19" s="308" t="s">
        <v>655</v>
      </c>
      <c r="F19" s="308" t="s">
        <v>656</v>
      </c>
      <c r="G19" s="312">
        <v>0.8</v>
      </c>
    </row>
    <row r="21" spans="2:7" ht="21">
      <c r="B21" s="258" t="s">
        <v>657</v>
      </c>
    </row>
    <row r="23" spans="2:7" ht="27" customHeight="1">
      <c r="B23" s="260" t="s">
        <v>658</v>
      </c>
      <c r="C23" s="260" t="s">
        <v>659</v>
      </c>
      <c r="D23" s="261" t="s">
        <v>660</v>
      </c>
    </row>
    <row r="24" spans="2:7" ht="409.6">
      <c r="B24" s="259" t="s">
        <v>661</v>
      </c>
      <c r="C24" s="259" t="s">
        <v>662</v>
      </c>
      <c r="D24" s="262" t="s">
        <v>663</v>
      </c>
    </row>
    <row r="26" spans="2:7">
      <c r="B26" s="111"/>
    </row>
    <row r="27" spans="2:7" ht="62.25">
      <c r="B27" s="281" t="s">
        <v>664</v>
      </c>
    </row>
    <row r="29" spans="2:7" s="8" customFormat="1">
      <c r="B29" s="8" t="s">
        <v>665</v>
      </c>
      <c r="C29" s="8" t="s">
        <v>666</v>
      </c>
      <c r="D29" s="8" t="s">
        <v>667</v>
      </c>
      <c r="E29" s="8" t="s">
        <v>668</v>
      </c>
    </row>
    <row r="30" spans="2:7" ht="37.5">
      <c r="B30" s="280" t="s">
        <v>669</v>
      </c>
      <c r="C30" s="10" t="s">
        <v>670</v>
      </c>
      <c r="D30" s="10" t="s">
        <v>671</v>
      </c>
      <c r="E30" s="10" t="s">
        <v>672</v>
      </c>
    </row>
    <row r="31" spans="2:7" ht="37.5">
      <c r="B31" s="280" t="s">
        <v>673</v>
      </c>
      <c r="C31" s="279" t="s">
        <v>674</v>
      </c>
      <c r="D31" s="279" t="s">
        <v>675</v>
      </c>
      <c r="E31" s="10" t="s">
        <v>676</v>
      </c>
    </row>
    <row r="32" spans="2:7" ht="26.25" customHeight="1"/>
    <row r="34" spans="2:7" ht="21">
      <c r="B34" s="289" t="s">
        <v>677</v>
      </c>
    </row>
    <row r="37" spans="2:7" s="8" customFormat="1">
      <c r="B37" s="8" t="s">
        <v>678</v>
      </c>
      <c r="C37" s="8" t="s">
        <v>679</v>
      </c>
      <c r="D37" s="280" t="s">
        <v>680</v>
      </c>
      <c r="E37" s="8" t="s">
        <v>681</v>
      </c>
      <c r="F37" s="8" t="s">
        <v>682</v>
      </c>
    </row>
    <row r="38" spans="2:7" ht="37.5">
      <c r="B38" s="280" t="s">
        <v>683</v>
      </c>
      <c r="C38" s="279" t="s">
        <v>684</v>
      </c>
      <c r="D38" s="279" t="s">
        <v>685</v>
      </c>
      <c r="E38" s="10" t="s">
        <v>686</v>
      </c>
      <c r="F38" s="10" t="s">
        <v>687</v>
      </c>
    </row>
    <row r="39" spans="2:7">
      <c r="B39" s="8" t="s">
        <v>688</v>
      </c>
      <c r="C39" s="10" t="s">
        <v>689</v>
      </c>
      <c r="D39" s="10" t="s">
        <v>690</v>
      </c>
      <c r="E39" s="10" t="s">
        <v>691</v>
      </c>
      <c r="F39" s="10" t="s">
        <v>692</v>
      </c>
    </row>
    <row r="40" spans="2:7">
      <c r="B40" s="8" t="s">
        <v>693</v>
      </c>
      <c r="C40" s="10" t="s">
        <v>694</v>
      </c>
      <c r="D40" s="10" t="s">
        <v>695</v>
      </c>
      <c r="E40" s="10" t="s">
        <v>696</v>
      </c>
      <c r="F40" s="10" t="s">
        <v>697</v>
      </c>
    </row>
    <row r="41" spans="2:7">
      <c r="G41" s="11"/>
    </row>
    <row r="44" spans="2:7">
      <c r="B44" s="8"/>
      <c r="C44" s="8"/>
      <c r="D44" s="8"/>
      <c r="E44" s="8"/>
      <c r="F44" s="8"/>
      <c r="G44" s="8"/>
    </row>
    <row r="46" spans="2:7">
      <c r="B46" s="279"/>
    </row>
    <row r="48" spans="2:7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Guest User</cp:lastModifiedBy>
  <cp:revision/>
  <dcterms:created xsi:type="dcterms:W3CDTF">2019-10-17T11:21:27Z</dcterms:created>
  <dcterms:modified xsi:type="dcterms:W3CDTF">2025-03-06T23:34:21Z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