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ata" sheetId="2" r:id="rId5"/>
    <sheet state="visible" name="1" sheetId="3" r:id="rId6"/>
    <sheet state="visible" name="2" sheetId="4" r:id="rId7"/>
    <sheet state="visible" name="3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  <sheet state="visible" name="8" sheetId="10" r:id="rId13"/>
    <sheet state="visible" name="9" sheetId="11" r:id="rId14"/>
    <sheet state="visible" name="10" sheetId="12" r:id="rId15"/>
    <sheet state="visible" name="11" sheetId="13" r:id="rId16"/>
  </sheets>
  <definedNames/>
  <calcPr/>
</workbook>
</file>

<file path=xl/sharedStrings.xml><?xml version="1.0" encoding="utf-8"?>
<sst xmlns="http://schemas.openxmlformats.org/spreadsheetml/2006/main" count="246" uniqueCount="132">
  <si>
    <t>лучше проверьте по ссылке на гуглдок, я не знаю есть ли 100% совместимость с *платным* excel'ем.</t>
  </si>
  <si>
    <t>https://docs.google.com/spreadsheets/d/1zTUpSuBjUE8qsm5v2-xeE6cowEDLyAxr0TS8isuZJjM/edit?usp=sharing</t>
  </si>
  <si>
    <t>главным принципом построения таблицы была динамичность: нет ни 1 скопированного значения, изменение ввода влечет пересчет всех данных</t>
  </si>
  <si>
    <t>по возможности использовалась функция ARRAYFORMULA и INDEX (вместо растягивания ячейки за краешек), если Вы хотите проверить формулу, она, скорее всего, в левом верхнем углу логического диапазона</t>
  </si>
  <si>
    <t>больша́я часть вспомогательных данных переведена в серый цвет</t>
  </si>
  <si>
    <t>есть 1 переключатель какие оценки использовать: полученные по интервальному ряду или нет, если задание было интерпретировано наоборот, пожалуйста, поменяйте =TRUE на =FALSE (6 лист)</t>
  </si>
  <si>
    <t>№</t>
  </si>
  <si>
    <t>Рост</t>
  </si>
  <si>
    <t>Вес</t>
  </si>
  <si>
    <t>строка</t>
  </si>
  <si>
    <t>столбец</t>
  </si>
  <si>
    <t>это точно живой человек?</t>
  </si>
  <si>
    <t>рост</t>
  </si>
  <si>
    <t>вес</t>
  </si>
  <si>
    <t>midpoint</t>
  </si>
  <si>
    <t>count</t>
  </si>
  <si>
    <t>min</t>
  </si>
  <si>
    <t>max</t>
  </si>
  <si>
    <t>step</t>
  </si>
  <si>
    <t>полигон это же ручная гистограмма.....</t>
  </si>
  <si>
    <t>выборочное среднее</t>
  </si>
  <si>
    <t>выборочная дисперсия</t>
  </si>
  <si>
    <t>исправленная дисперсия</t>
  </si>
  <si>
    <t>исправленное выборочное среднее квадратическое отклонение</t>
  </si>
  <si>
    <t>мода</t>
  </si>
  <si>
    <t>&lt; если просто середина смого частого</t>
  </si>
  <si>
    <t>&lt; если просто середина</t>
  </si>
  <si>
    <t>медиана</t>
  </si>
  <si>
    <t>индекс</t>
  </si>
  <si>
    <t>f_1</t>
  </si>
  <si>
    <t>f_2</t>
  </si>
  <si>
    <t>f_3</t>
  </si>
  <si>
    <t>среднее</t>
  </si>
  <si>
    <t>дисперсия</t>
  </si>
  <si>
    <t>a</t>
  </si>
  <si>
    <t>sigma</t>
  </si>
  <si>
    <t>а</t>
  </si>
  <si>
    <t>=</t>
  </si>
  <si>
    <t>amin</t>
  </si>
  <si>
    <t>amax</t>
  </si>
  <si>
    <t>Δ</t>
  </si>
  <si>
    <t>t_gamma</t>
  </si>
  <si>
    <t>б</t>
  </si>
  <si>
    <t>?</t>
  </si>
  <si>
    <t>в</t>
  </si>
  <si>
    <t>s^2min</t>
  </si>
  <si>
    <t>s^2max</t>
  </si>
  <si>
    <t>chi_1</t>
  </si>
  <si>
    <t>chi_2</t>
  </si>
  <si>
    <t>г</t>
  </si>
  <si>
    <t>S</t>
  </si>
  <si>
    <t>общая</t>
  </si>
  <si>
    <t>по интервальным</t>
  </si>
  <si>
    <t>использовать общие оценки, эта опция работает и на следующий лист</t>
  </si>
  <si>
    <t>gamma</t>
  </si>
  <si>
    <t>n</t>
  </si>
  <si>
    <t>степени свободы</t>
  </si>
  <si>
    <t>среднекв</t>
  </si>
  <si>
    <t>я уже плохо помню что это было -&gt;</t>
  </si>
  <si>
    <t>alpha</t>
  </si>
  <si>
    <t>a0</t>
  </si>
  <si>
    <t>K</t>
  </si>
  <si>
    <t>tk</t>
  </si>
  <si>
    <t>принимается</t>
  </si>
  <si>
    <t>cumsum</t>
  </si>
  <si>
    <t>p_i</t>
  </si>
  <si>
    <t>k_i</t>
  </si>
  <si>
    <t>&lt; посчитанное</t>
  </si>
  <si>
    <t>&lt; табличное</t>
  </si>
  <si>
    <t>обычно делают линейную зависимость, но есть еще телосложение (и точки выброса)</t>
  </si>
  <si>
    <t>рост\вес</t>
  </si>
  <si>
    <t>sum</t>
  </si>
  <si>
    <t>проверка</t>
  </si>
  <si>
    <t>условный вес</t>
  </si>
  <si>
    <t>количество</t>
  </si>
  <si>
    <t>условный рост</t>
  </si>
  <si>
    <t>stddev uncorr</t>
  </si>
  <si>
    <t>для корреляции и ковариации</t>
  </si>
  <si>
    <t>ну они.... не независимые.....</t>
  </si>
  <si>
    <t>avg</t>
  </si>
  <si>
    <t>corr</t>
  </si>
  <si>
    <t>excel</t>
  </si>
  <si>
    <t>my</t>
  </si>
  <si>
    <t>covar</t>
  </si>
  <si>
    <t>const</t>
  </si>
  <si>
    <t>по чеддоку корреляция</t>
  </si>
  <si>
    <t>coef</t>
  </si>
  <si>
    <t>У меня как у экселя. (почти почти)</t>
  </si>
  <si>
    <t>weight</t>
  </si>
  <si>
    <t>height</t>
  </si>
  <si>
    <t>stddev</t>
  </si>
  <si>
    <t>от</t>
  </si>
  <si>
    <t>чеддок</t>
  </si>
  <si>
    <t>до</t>
  </si>
  <si>
    <t>слабая</t>
  </si>
  <si>
    <t>умеренная</t>
  </si>
  <si>
    <t>заметная</t>
  </si>
  <si>
    <t>высокая</t>
  </si>
  <si>
    <t>весьма высокая</t>
  </si>
  <si>
    <t>данные для графиков</t>
  </si>
  <si>
    <t>доверительные интервалы обозначены после знака ±</t>
  </si>
  <si>
    <t>standard error</t>
  </si>
  <si>
    <t>avgw</t>
  </si>
  <si>
    <t>avgh</t>
  </si>
  <si>
    <t>ошибка регрессии</t>
  </si>
  <si>
    <t>√=</t>
  </si>
  <si>
    <t>от экселя со всей информацией</t>
  </si>
  <si>
    <t>sum (x - M(x))^2</t>
  </si>
  <si>
    <t>стандартная ошибка coef</t>
  </si>
  <si>
    <t>стандартная ошибка const</t>
  </si>
  <si>
    <t>t score</t>
  </si>
  <si>
    <t>std err coef</t>
  </si>
  <si>
    <t>std err const</t>
  </si>
  <si>
    <t>k</t>
  </si>
  <si>
    <t>коэфф. детерм.</t>
  </si>
  <si>
    <t>R^2</t>
  </si>
  <si>
    <t>F-статистика</t>
  </si>
  <si>
    <t>F</t>
  </si>
  <si>
    <t>n - 2</t>
  </si>
  <si>
    <t>дисперсия рассчетных</t>
  </si>
  <si>
    <t>дисперсия остатка</t>
  </si>
  <si>
    <t>уравнение</t>
  </si>
  <si>
    <t>вес=рост*</t>
  </si>
  <si>
    <t>+</t>
  </si>
  <si>
    <t>прогноз веса</t>
  </si>
  <si>
    <t>±</t>
  </si>
  <si>
    <t>при росте</t>
  </si>
  <si>
    <t>стандартная ошибка</t>
  </si>
  <si>
    <t>coef ±</t>
  </si>
  <si>
    <t>const ±</t>
  </si>
  <si>
    <t>t</t>
  </si>
  <si>
    <t>гипотеза о стат. значимости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</si>
</sst>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color theme="1"/>
      <name val="Calibri"/>
    </font>
    <font>
      <u/>
      <color rgb="FF0000FF"/>
    </font>
    <font>
      <b/>
      <sz val="10.0"/>
      <color theme="1"/>
      <name val="Arimo"/>
    </font>
    <font>
      <sz val="10.0"/>
      <color theme="1"/>
      <name val="Arimo"/>
    </font>
    <font>
      <sz val="11.0"/>
      <color rgb="FF000000"/>
      <name val="Inconsolata"/>
    </font>
    <font>
      <color rgb="FFD9D9D9"/>
      <name val="Calibri"/>
    </font>
    <font>
      <color rgb="FFCCCCCC"/>
      <name val="Calibri"/>
    </font>
    <font>
      <b/>
      <color theme="1"/>
      <name val="Calibri"/>
    </font>
    <font>
      <color rgb="FFEFEFE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1" numFmtId="0" xfId="0" applyFont="1"/>
    <xf borderId="0" fillId="2" fontId="5" numFmtId="0" xfId="0" applyAlignment="1" applyFill="1" applyFont="1">
      <alignment readingOrder="0"/>
    </xf>
    <xf borderId="3" fillId="0" fontId="1" numFmtId="0" xfId="0" applyBorder="1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0" fillId="2" fontId="5" numFmtId="0" xfId="0" applyFont="1"/>
    <xf borderId="4" fillId="0" fontId="1" numFmtId="0" xfId="0" applyBorder="1" applyFont="1"/>
    <xf borderId="3" fillId="0" fontId="6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8" numFmtId="0" xfId="0" applyFont="1"/>
    <xf borderId="0" fillId="0" fontId="1" numFmtId="0" xfId="0" applyAlignment="1" applyFont="1">
      <alignment horizontal="center" readingOrder="0"/>
    </xf>
    <xf borderId="0" fillId="0" fontId="9" numFmtId="0" xfId="0" applyFont="1"/>
    <xf borderId="0" fillId="0" fontId="1" numFmtId="0" xfId="0" applyAlignment="1" applyFont="1">
      <alignment horizontal="right" readingOrder="0"/>
    </xf>
    <xf borderId="0" fillId="0" fontId="10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'2'!$AF$2:$AF$11</c:f>
            </c:strRef>
          </c:cat>
          <c:val>
            <c:numRef>
              <c:f>'2'!$AG$2:$AG$11</c:f>
              <c:numCache/>
            </c:numRef>
          </c:val>
          <c:smooth val="0"/>
        </c:ser>
        <c:axId val="1724573745"/>
        <c:axId val="1033734930"/>
      </c:lineChart>
      <c:catAx>
        <c:axId val="1724573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734930"/>
      </c:catAx>
      <c:valAx>
        <c:axId val="1033734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45737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'3'!$O$1:$O$45</c:f>
              <c:numCache/>
            </c:numRef>
          </c:val>
          <c:smooth val="0"/>
        </c:ser>
        <c:axId val="1738128717"/>
        <c:axId val="1083985555"/>
      </c:lineChart>
      <c:catAx>
        <c:axId val="1738128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985555"/>
      </c:catAx>
      <c:valAx>
        <c:axId val="10839855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1287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 line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</c:trendline>
          <c:xVal>
            <c:numRef>
              <c:f>data!$P$2:$P$201</c:f>
            </c:numRef>
          </c:xVal>
          <c:yVal>
            <c:numRef>
              <c:f>data!$Q$2:$Q$201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897596"/>
        <c:axId val="311664284"/>
      </c:scatterChart>
      <c:valAx>
        <c:axId val="2828975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рост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664284"/>
      </c:valAx>
      <c:valAx>
        <c:axId val="311664284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вес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897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 line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</c:trendline>
          <c:xVal>
            <c:numRef>
              <c:f>data!$P$2:$P$201</c:f>
            </c:numRef>
          </c:xVal>
          <c:yVal>
            <c:numRef>
              <c:f>data!$Q$2:$Q$201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data!$P$2:$P$201</c:f>
            </c:numRef>
          </c:xVal>
          <c:yVal>
            <c:numRef>
              <c:f>'10'!$B$27:$B$226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08058"/>
        <c:axId val="1414602942"/>
      </c:scatterChart>
      <c:valAx>
        <c:axId val="15100080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рост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4602942"/>
      </c:valAx>
      <c:valAx>
        <c:axId val="1414602942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вес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008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по условным средним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'9'!$A$22:$A$31</c:f>
            </c:numRef>
          </c:xVal>
          <c:yVal>
            <c:numRef>
              <c:f>'9'!$B$22:$B$31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'9'!$A$22:$A$31</c:f>
            </c:numRef>
          </c:xVal>
          <c:yVal>
            <c:numRef>
              <c:f>'10'!$E$27:$E$36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460854"/>
        <c:axId val="598561559"/>
      </c:scatterChart>
      <c:valAx>
        <c:axId val="20154608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561559"/>
      </c:valAx>
      <c:valAx>
        <c:axId val="598561559"/>
        <c:scaling>
          <c:orientation val="minMax"/>
          <c:min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4608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904875</xdr:colOff>
      <xdr:row>0</xdr:row>
      <xdr:rowOff>171450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85725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942975</xdr:colOff>
      <xdr:row>18</xdr:row>
      <xdr:rowOff>104775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TUpSuBjUE8qsm5v2-xeE6cowEDLyAxr0TS8isuZJjM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5">
      <c r="A5" s="1" t="s">
        <v>3</v>
      </c>
    </row>
    <row r="7">
      <c r="A7" s="1" t="s">
        <v>4</v>
      </c>
    </row>
    <row r="8">
      <c r="A8" s="1" t="s">
        <v>5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5.75"/>
    <col customWidth="1" min="13" max="14" width="0.38"/>
    <col customWidth="1" min="15" max="18" width="7.63"/>
    <col customWidth="1" min="19" max="19" width="45.5"/>
    <col customWidth="1" min="20" max="26" width="7.63"/>
  </cols>
  <sheetData>
    <row r="1" ht="14.25" customHeight="1">
      <c r="A1" s="3" t="s">
        <v>6</v>
      </c>
      <c r="B1" s="3" t="s">
        <v>7</v>
      </c>
      <c r="C1" s="3" t="s">
        <v>8</v>
      </c>
      <c r="D1" s="3" t="s">
        <v>6</v>
      </c>
      <c r="E1" s="3" t="s">
        <v>7</v>
      </c>
      <c r="F1" s="3" t="s">
        <v>8</v>
      </c>
      <c r="G1" s="3" t="s">
        <v>6</v>
      </c>
      <c r="H1" s="3" t="s">
        <v>7</v>
      </c>
      <c r="I1" s="3" t="s">
        <v>8</v>
      </c>
      <c r="J1" s="3" t="s">
        <v>6</v>
      </c>
      <c r="K1" s="3" t="s">
        <v>7</v>
      </c>
      <c r="L1" s="3" t="s">
        <v>8</v>
      </c>
      <c r="M1" s="4" t="s">
        <v>9</v>
      </c>
      <c r="N1" s="4" t="s">
        <v>10</v>
      </c>
      <c r="O1" s="3" t="s">
        <v>6</v>
      </c>
      <c r="P1" s="3" t="s">
        <v>7</v>
      </c>
      <c r="Q1" s="3" t="s">
        <v>8</v>
      </c>
    </row>
    <row r="2" ht="14.25" customHeight="1">
      <c r="A2" s="5">
        <v>1.0</v>
      </c>
      <c r="B2" s="5">
        <v>168.0</v>
      </c>
      <c r="C2" s="5">
        <v>67.0</v>
      </c>
      <c r="D2" s="5">
        <v>51.0</v>
      </c>
      <c r="E2" s="5">
        <v>178.0</v>
      </c>
      <c r="F2" s="5">
        <v>73.0</v>
      </c>
      <c r="G2" s="5">
        <v>101.0</v>
      </c>
      <c r="H2" s="5">
        <v>162.0</v>
      </c>
      <c r="I2" s="5">
        <v>66.0</v>
      </c>
      <c r="J2" s="5">
        <v>151.0</v>
      </c>
      <c r="K2" s="5">
        <v>165.0</v>
      </c>
      <c r="L2" s="5">
        <v>60.0</v>
      </c>
      <c r="M2" s="6">
        <f t="shared" ref="M2:M201" si="2">MOD(ROW()-2,50)+2</f>
        <v>2</v>
      </c>
      <c r="N2" s="6">
        <f t="shared" ref="N2:N201" si="3">QUOTIENT(ROW()-2,50)*3+1</f>
        <v>1</v>
      </c>
      <c r="O2" s="5">
        <f t="shared" ref="O2:Q2" si="1">INDIRECT(ADDRESS($M2,$N2+COLUMN()-15))</f>
        <v>1</v>
      </c>
      <c r="P2" s="5">
        <f t="shared" si="1"/>
        <v>168</v>
      </c>
      <c r="Q2" s="5">
        <f t="shared" si="1"/>
        <v>67</v>
      </c>
    </row>
    <row r="3" ht="14.25" customHeight="1">
      <c r="A3" s="5">
        <v>2.0</v>
      </c>
      <c r="B3" s="5">
        <v>177.0</v>
      </c>
      <c r="C3" s="5">
        <v>68.0</v>
      </c>
      <c r="D3" s="5">
        <v>52.0</v>
      </c>
      <c r="E3" s="5">
        <v>163.0</v>
      </c>
      <c r="F3" s="5">
        <v>63.0</v>
      </c>
      <c r="G3" s="5">
        <v>102.0</v>
      </c>
      <c r="H3" s="5">
        <v>166.0</v>
      </c>
      <c r="I3" s="5">
        <v>64.0</v>
      </c>
      <c r="J3" s="5">
        <v>152.0</v>
      </c>
      <c r="K3" s="5">
        <v>163.0</v>
      </c>
      <c r="L3" s="5">
        <v>63.0</v>
      </c>
      <c r="M3" s="6">
        <f t="shared" si="2"/>
        <v>3</v>
      </c>
      <c r="N3" s="6">
        <f t="shared" si="3"/>
        <v>1</v>
      </c>
      <c r="O3" s="5">
        <f t="shared" ref="O3:Q3" si="4">INDIRECT(ADDRESS($M3,$N3+COLUMN()-15))</f>
        <v>2</v>
      </c>
      <c r="P3" s="5">
        <f t="shared" si="4"/>
        <v>177</v>
      </c>
      <c r="Q3" s="5">
        <f t="shared" si="4"/>
        <v>68</v>
      </c>
    </row>
    <row r="4" ht="14.25" customHeight="1">
      <c r="A4" s="5">
        <v>3.0</v>
      </c>
      <c r="B4" s="5">
        <v>175.0</v>
      </c>
      <c r="C4" s="5">
        <v>67.0</v>
      </c>
      <c r="D4" s="5">
        <v>53.0</v>
      </c>
      <c r="E4" s="5">
        <v>170.0</v>
      </c>
      <c r="F4" s="5">
        <v>75.0</v>
      </c>
      <c r="G4" s="5">
        <v>103.0</v>
      </c>
      <c r="H4" s="5">
        <v>172.0</v>
      </c>
      <c r="I4" s="5">
        <v>59.0</v>
      </c>
      <c r="J4" s="5">
        <v>153.0</v>
      </c>
      <c r="K4" s="5">
        <v>171.0</v>
      </c>
      <c r="L4" s="5">
        <v>57.0</v>
      </c>
      <c r="M4" s="6">
        <f t="shared" si="2"/>
        <v>4</v>
      </c>
      <c r="N4" s="6">
        <f t="shared" si="3"/>
        <v>1</v>
      </c>
      <c r="O4" s="5">
        <f t="shared" ref="O4:Q4" si="5">INDIRECT(ADDRESS($M4,$N4+COLUMN()-15))</f>
        <v>3</v>
      </c>
      <c r="P4" s="5">
        <f t="shared" si="5"/>
        <v>175</v>
      </c>
      <c r="Q4" s="5">
        <f t="shared" si="5"/>
        <v>67</v>
      </c>
    </row>
    <row r="5" ht="14.25" customHeight="1">
      <c r="A5" s="5">
        <v>4.0</v>
      </c>
      <c r="B5" s="5">
        <v>160.0</v>
      </c>
      <c r="C5" s="5">
        <v>59.0</v>
      </c>
      <c r="D5" s="5">
        <v>54.0</v>
      </c>
      <c r="E5" s="5">
        <v>164.0</v>
      </c>
      <c r="F5" s="5">
        <v>60.0</v>
      </c>
      <c r="G5" s="5">
        <v>104.0</v>
      </c>
      <c r="H5" s="5">
        <v>169.0</v>
      </c>
      <c r="I5" s="5">
        <v>68.0</v>
      </c>
      <c r="J5" s="5">
        <v>154.0</v>
      </c>
      <c r="K5" s="5">
        <v>172.0</v>
      </c>
      <c r="L5" s="5">
        <v>67.0</v>
      </c>
      <c r="M5" s="6">
        <f t="shared" si="2"/>
        <v>5</v>
      </c>
      <c r="N5" s="6">
        <f t="shared" si="3"/>
        <v>1</v>
      </c>
      <c r="O5" s="5">
        <f t="shared" ref="O5:Q5" si="6">INDIRECT(ADDRESS($M5,$N5+COLUMN()-15))</f>
        <v>4</v>
      </c>
      <c r="P5" s="5">
        <f t="shared" si="6"/>
        <v>160</v>
      </c>
      <c r="Q5" s="5">
        <f t="shared" si="6"/>
        <v>59</v>
      </c>
    </row>
    <row r="6" ht="14.25" customHeight="1">
      <c r="A6" s="5">
        <v>5.0</v>
      </c>
      <c r="B6" s="5">
        <v>172.0</v>
      </c>
      <c r="C6" s="5">
        <v>70.0</v>
      </c>
      <c r="D6" s="5">
        <v>55.0</v>
      </c>
      <c r="E6" s="5">
        <v>164.0</v>
      </c>
      <c r="F6" s="5">
        <v>56.0</v>
      </c>
      <c r="G6" s="5">
        <v>105.0</v>
      </c>
      <c r="H6" s="5">
        <v>176.0</v>
      </c>
      <c r="I6" s="5">
        <v>70.0</v>
      </c>
      <c r="J6" s="5">
        <v>155.0</v>
      </c>
      <c r="K6" s="5">
        <v>175.0</v>
      </c>
      <c r="L6" s="5">
        <v>67.0</v>
      </c>
      <c r="M6" s="6">
        <f t="shared" si="2"/>
        <v>6</v>
      </c>
      <c r="N6" s="6">
        <f t="shared" si="3"/>
        <v>1</v>
      </c>
      <c r="O6" s="5">
        <f t="shared" ref="O6:Q6" si="7">INDIRECT(ADDRESS($M6,$N6+COLUMN()-15))</f>
        <v>5</v>
      </c>
      <c r="P6" s="5">
        <f t="shared" si="7"/>
        <v>172</v>
      </c>
      <c r="Q6" s="5">
        <f t="shared" si="7"/>
        <v>70</v>
      </c>
    </row>
    <row r="7" ht="14.25" customHeight="1">
      <c r="A7" s="5">
        <v>6.0</v>
      </c>
      <c r="B7" s="5">
        <v>171.0</v>
      </c>
      <c r="C7" s="5">
        <v>66.0</v>
      </c>
      <c r="D7" s="5">
        <v>56.0</v>
      </c>
      <c r="E7" s="5">
        <v>168.0</v>
      </c>
      <c r="F7" s="5">
        <v>59.0</v>
      </c>
      <c r="G7" s="5">
        <v>106.0</v>
      </c>
      <c r="H7" s="5">
        <v>167.0</v>
      </c>
      <c r="I7" s="5">
        <v>70.0</v>
      </c>
      <c r="J7" s="5">
        <v>156.0</v>
      </c>
      <c r="K7" s="5">
        <v>172.0</v>
      </c>
      <c r="L7" s="5">
        <v>70.0</v>
      </c>
      <c r="M7" s="6">
        <f t="shared" si="2"/>
        <v>7</v>
      </c>
      <c r="N7" s="6">
        <f t="shared" si="3"/>
        <v>1</v>
      </c>
      <c r="O7" s="5">
        <f t="shared" ref="O7:Q7" si="8">INDIRECT(ADDRESS($M7,$N7+COLUMN()-15))</f>
        <v>6</v>
      </c>
      <c r="P7" s="5">
        <f t="shared" si="8"/>
        <v>171</v>
      </c>
      <c r="Q7" s="5">
        <f t="shared" si="8"/>
        <v>66</v>
      </c>
    </row>
    <row r="8" ht="14.25" customHeight="1">
      <c r="A8" s="5">
        <v>7.0</v>
      </c>
      <c r="B8" s="5">
        <v>159.0</v>
      </c>
      <c r="C8" s="5">
        <v>57.0</v>
      </c>
      <c r="D8" s="5">
        <v>57.0</v>
      </c>
      <c r="E8" s="5">
        <v>167.0</v>
      </c>
      <c r="F8" s="5">
        <v>61.0</v>
      </c>
      <c r="G8" s="5">
        <v>107.0</v>
      </c>
      <c r="H8" s="5">
        <v>167.0</v>
      </c>
      <c r="I8" s="5">
        <v>62.0</v>
      </c>
      <c r="J8" s="5">
        <v>157.0</v>
      </c>
      <c r="K8" s="5">
        <v>162.0</v>
      </c>
      <c r="L8" s="5">
        <v>54.0</v>
      </c>
      <c r="M8" s="6">
        <f t="shared" si="2"/>
        <v>8</v>
      </c>
      <c r="N8" s="6">
        <f t="shared" si="3"/>
        <v>1</v>
      </c>
      <c r="O8" s="5">
        <f t="shared" ref="O8:Q8" si="9">INDIRECT(ADDRESS($M8,$N8+COLUMN()-15))</f>
        <v>7</v>
      </c>
      <c r="P8" s="5">
        <f t="shared" si="9"/>
        <v>159</v>
      </c>
      <c r="Q8" s="5">
        <f t="shared" si="9"/>
        <v>57</v>
      </c>
    </row>
    <row r="9" ht="14.25" customHeight="1">
      <c r="A9" s="5">
        <v>8.0</v>
      </c>
      <c r="B9" s="5">
        <v>165.0</v>
      </c>
      <c r="C9" s="5">
        <v>63.0</v>
      </c>
      <c r="D9" s="5">
        <v>58.0</v>
      </c>
      <c r="E9" s="5">
        <v>166.0</v>
      </c>
      <c r="F9" s="5">
        <v>62.0</v>
      </c>
      <c r="G9" s="5">
        <v>108.0</v>
      </c>
      <c r="H9" s="5">
        <v>168.0</v>
      </c>
      <c r="I9" s="5">
        <v>67.0</v>
      </c>
      <c r="J9" s="5">
        <v>158.0</v>
      </c>
      <c r="K9" s="5">
        <v>163.0</v>
      </c>
      <c r="L9" s="5">
        <v>60.0</v>
      </c>
      <c r="M9" s="6">
        <f t="shared" si="2"/>
        <v>9</v>
      </c>
      <c r="N9" s="6">
        <f t="shared" si="3"/>
        <v>1</v>
      </c>
      <c r="O9" s="5">
        <f t="shared" ref="O9:Q9" si="10">INDIRECT(ADDRESS($M9,$N9+COLUMN()-15))</f>
        <v>8</v>
      </c>
      <c r="P9" s="5">
        <f t="shared" si="10"/>
        <v>165</v>
      </c>
      <c r="Q9" s="5">
        <f t="shared" si="10"/>
        <v>63</v>
      </c>
    </row>
    <row r="10" ht="14.25" customHeight="1">
      <c r="A10" s="5">
        <v>9.0</v>
      </c>
      <c r="B10" s="5">
        <v>173.0</v>
      </c>
      <c r="C10" s="5">
        <v>64.0</v>
      </c>
      <c r="D10" s="5">
        <v>59.0</v>
      </c>
      <c r="E10" s="5">
        <v>162.0</v>
      </c>
      <c r="F10" s="5">
        <v>65.0</v>
      </c>
      <c r="G10" s="5">
        <v>109.0</v>
      </c>
      <c r="H10" s="5">
        <v>167.0</v>
      </c>
      <c r="I10" s="5">
        <v>63.0</v>
      </c>
      <c r="J10" s="5">
        <v>159.0</v>
      </c>
      <c r="K10" s="5">
        <v>173.0</v>
      </c>
      <c r="L10" s="5">
        <v>66.0</v>
      </c>
      <c r="M10" s="6">
        <f t="shared" si="2"/>
        <v>10</v>
      </c>
      <c r="N10" s="6">
        <f t="shared" si="3"/>
        <v>1</v>
      </c>
      <c r="O10" s="5">
        <f t="shared" ref="O10:Q10" si="11">INDIRECT(ADDRESS($M10,$N10+COLUMN()-15))</f>
        <v>9</v>
      </c>
      <c r="P10" s="5">
        <f t="shared" si="11"/>
        <v>173</v>
      </c>
      <c r="Q10" s="5">
        <f t="shared" si="11"/>
        <v>64</v>
      </c>
    </row>
    <row r="11" ht="14.25" customHeight="1">
      <c r="A11" s="5">
        <v>10.0</v>
      </c>
      <c r="B11" s="5">
        <v>174.0</v>
      </c>
      <c r="C11" s="5">
        <v>74.0</v>
      </c>
      <c r="D11" s="5">
        <v>60.0</v>
      </c>
      <c r="E11" s="5">
        <v>171.0</v>
      </c>
      <c r="F11" s="5">
        <v>60.0</v>
      </c>
      <c r="G11" s="5">
        <v>110.0</v>
      </c>
      <c r="H11" s="5">
        <v>169.0</v>
      </c>
      <c r="I11" s="5">
        <v>62.0</v>
      </c>
      <c r="J11" s="5">
        <v>160.0</v>
      </c>
      <c r="K11" s="5">
        <v>174.0</v>
      </c>
      <c r="L11" s="5">
        <v>79.0</v>
      </c>
      <c r="M11" s="6">
        <f t="shared" si="2"/>
        <v>11</v>
      </c>
      <c r="N11" s="6">
        <f t="shared" si="3"/>
        <v>1</v>
      </c>
      <c r="O11" s="5">
        <f t="shared" ref="O11:Q11" si="12">INDIRECT(ADDRESS($M11,$N11+COLUMN()-15))</f>
        <v>10</v>
      </c>
      <c r="P11" s="5">
        <f t="shared" si="12"/>
        <v>174</v>
      </c>
      <c r="Q11" s="5">
        <f t="shared" si="12"/>
        <v>74</v>
      </c>
    </row>
    <row r="12" ht="14.25" customHeight="1">
      <c r="A12" s="5">
        <v>11.0</v>
      </c>
      <c r="B12" s="5">
        <v>161.0</v>
      </c>
      <c r="C12" s="5">
        <v>60.0</v>
      </c>
      <c r="D12" s="5">
        <v>61.0</v>
      </c>
      <c r="E12" s="5">
        <v>168.0</v>
      </c>
      <c r="F12" s="5">
        <v>62.0</v>
      </c>
      <c r="G12" s="5">
        <v>111.0</v>
      </c>
      <c r="H12" s="5">
        <v>167.0</v>
      </c>
      <c r="I12" s="5">
        <v>64.0</v>
      </c>
      <c r="J12" s="5">
        <v>161.0</v>
      </c>
      <c r="K12" s="5">
        <v>164.0</v>
      </c>
      <c r="L12" s="5">
        <v>61.0</v>
      </c>
      <c r="M12" s="6">
        <f t="shared" si="2"/>
        <v>12</v>
      </c>
      <c r="N12" s="6">
        <f t="shared" si="3"/>
        <v>1</v>
      </c>
      <c r="O12" s="5">
        <f t="shared" ref="O12:Q12" si="13">INDIRECT(ADDRESS($M12,$N12+COLUMN()-15))</f>
        <v>11</v>
      </c>
      <c r="P12" s="5">
        <f t="shared" si="13"/>
        <v>161</v>
      </c>
      <c r="Q12" s="5">
        <f t="shared" si="13"/>
        <v>60</v>
      </c>
    </row>
    <row r="13" ht="14.25" customHeight="1">
      <c r="A13" s="5">
        <v>12.0</v>
      </c>
      <c r="B13" s="5">
        <v>165.0</v>
      </c>
      <c r="C13" s="5">
        <v>60.0</v>
      </c>
      <c r="D13" s="5">
        <v>62.0</v>
      </c>
      <c r="E13" s="5">
        <v>173.0</v>
      </c>
      <c r="F13" s="5">
        <v>70.0</v>
      </c>
      <c r="G13" s="5">
        <v>112.0</v>
      </c>
      <c r="H13" s="5">
        <v>196.0</v>
      </c>
      <c r="I13" s="5">
        <v>60.0</v>
      </c>
      <c r="J13" s="5">
        <v>162.0</v>
      </c>
      <c r="K13" s="5">
        <v>176.0</v>
      </c>
      <c r="L13" s="5">
        <v>71.0</v>
      </c>
      <c r="M13" s="6">
        <f t="shared" si="2"/>
        <v>13</v>
      </c>
      <c r="N13" s="6">
        <f t="shared" si="3"/>
        <v>1</v>
      </c>
      <c r="O13" s="5">
        <f t="shared" ref="O13:Q13" si="14">INDIRECT(ADDRESS($M13,$N13+COLUMN()-15))</f>
        <v>12</v>
      </c>
      <c r="P13" s="5">
        <f t="shared" si="14"/>
        <v>165</v>
      </c>
      <c r="Q13" s="5">
        <f t="shared" si="14"/>
        <v>60</v>
      </c>
    </row>
    <row r="14" ht="14.25" customHeight="1">
      <c r="A14" s="5">
        <v>13.0</v>
      </c>
      <c r="B14" s="5">
        <v>175.0</v>
      </c>
      <c r="C14" s="5">
        <v>59.0</v>
      </c>
      <c r="D14" s="5">
        <v>63.0</v>
      </c>
      <c r="E14" s="5">
        <v>167.0</v>
      </c>
      <c r="F14" s="5">
        <v>61.0</v>
      </c>
      <c r="G14" s="5">
        <v>113.0</v>
      </c>
      <c r="H14" s="5">
        <v>169.0</v>
      </c>
      <c r="I14" s="5">
        <v>63.0</v>
      </c>
      <c r="J14" s="5">
        <v>163.0</v>
      </c>
      <c r="K14" s="5">
        <v>171.0</v>
      </c>
      <c r="L14" s="5">
        <v>66.0</v>
      </c>
      <c r="M14" s="6">
        <f t="shared" si="2"/>
        <v>14</v>
      </c>
      <c r="N14" s="6">
        <f t="shared" si="3"/>
        <v>1</v>
      </c>
      <c r="O14" s="5">
        <f t="shared" ref="O14:Q14" si="15">INDIRECT(ADDRESS($M14,$N14+COLUMN()-15))</f>
        <v>13</v>
      </c>
      <c r="P14" s="5">
        <f t="shared" si="15"/>
        <v>175</v>
      </c>
      <c r="Q14" s="5">
        <f t="shared" si="15"/>
        <v>59</v>
      </c>
    </row>
    <row r="15" ht="14.25" customHeight="1">
      <c r="A15" s="5">
        <v>14.0</v>
      </c>
      <c r="B15" s="5">
        <v>176.0</v>
      </c>
      <c r="C15" s="5">
        <v>65.0</v>
      </c>
      <c r="D15" s="5">
        <v>64.0</v>
      </c>
      <c r="E15" s="5">
        <v>170.0</v>
      </c>
      <c r="F15" s="5">
        <v>74.0</v>
      </c>
      <c r="G15" s="5">
        <v>114.0</v>
      </c>
      <c r="H15" s="5">
        <v>163.0</v>
      </c>
      <c r="I15" s="5">
        <v>65.0</v>
      </c>
      <c r="J15" s="5">
        <v>164.0</v>
      </c>
      <c r="K15" s="5">
        <v>173.0</v>
      </c>
      <c r="L15" s="5">
        <v>69.0</v>
      </c>
      <c r="M15" s="6">
        <f t="shared" si="2"/>
        <v>15</v>
      </c>
      <c r="N15" s="6">
        <f t="shared" si="3"/>
        <v>1</v>
      </c>
      <c r="O15" s="5">
        <f t="shared" ref="O15:Q15" si="16">INDIRECT(ADDRESS($M15,$N15+COLUMN()-15))</f>
        <v>14</v>
      </c>
      <c r="P15" s="5">
        <f t="shared" si="16"/>
        <v>176</v>
      </c>
      <c r="Q15" s="5">
        <f t="shared" si="16"/>
        <v>65</v>
      </c>
    </row>
    <row r="16" ht="14.25" customHeight="1">
      <c r="A16" s="5">
        <v>15.0</v>
      </c>
      <c r="B16" s="5">
        <v>170.0</v>
      </c>
      <c r="C16" s="5">
        <v>73.0</v>
      </c>
      <c r="D16" s="5">
        <v>65.0</v>
      </c>
      <c r="E16" s="5">
        <v>171.0</v>
      </c>
      <c r="F16" s="5">
        <v>60.0</v>
      </c>
      <c r="G16" s="5">
        <v>115.0</v>
      </c>
      <c r="H16" s="5">
        <v>164.0</v>
      </c>
      <c r="I16" s="5">
        <v>65.0</v>
      </c>
      <c r="J16" s="5">
        <v>165.0</v>
      </c>
      <c r="K16" s="5">
        <v>169.0</v>
      </c>
      <c r="L16" s="5">
        <v>68.0</v>
      </c>
      <c r="M16" s="6">
        <f t="shared" si="2"/>
        <v>16</v>
      </c>
      <c r="N16" s="6">
        <f t="shared" si="3"/>
        <v>1</v>
      </c>
      <c r="O16" s="5">
        <f t="shared" ref="O16:Q16" si="17">INDIRECT(ADDRESS($M16,$N16+COLUMN()-15))</f>
        <v>15</v>
      </c>
      <c r="P16" s="5">
        <f t="shared" si="17"/>
        <v>170</v>
      </c>
      <c r="Q16" s="5">
        <f t="shared" si="17"/>
        <v>73</v>
      </c>
    </row>
    <row r="17" ht="14.25" customHeight="1">
      <c r="A17" s="5">
        <v>16.0</v>
      </c>
      <c r="B17" s="5">
        <v>184.0</v>
      </c>
      <c r="C17" s="5">
        <v>68.0</v>
      </c>
      <c r="D17" s="5">
        <v>66.0</v>
      </c>
      <c r="E17" s="5">
        <v>173.0</v>
      </c>
      <c r="F17" s="5">
        <v>66.0</v>
      </c>
      <c r="G17" s="5">
        <v>116.0</v>
      </c>
      <c r="H17" s="5">
        <v>164.0</v>
      </c>
      <c r="I17" s="5">
        <v>62.0</v>
      </c>
      <c r="J17" s="5">
        <v>166.0</v>
      </c>
      <c r="K17" s="5">
        <v>166.0</v>
      </c>
      <c r="L17" s="5">
        <v>61.0</v>
      </c>
      <c r="M17" s="6">
        <f t="shared" si="2"/>
        <v>17</v>
      </c>
      <c r="N17" s="6">
        <f t="shared" si="3"/>
        <v>1</v>
      </c>
      <c r="O17" s="5">
        <f t="shared" ref="O17:Q17" si="18">INDIRECT(ADDRESS($M17,$N17+COLUMN()-15))</f>
        <v>16</v>
      </c>
      <c r="P17" s="5">
        <f t="shared" si="18"/>
        <v>184</v>
      </c>
      <c r="Q17" s="5">
        <f t="shared" si="18"/>
        <v>68</v>
      </c>
    </row>
    <row r="18" ht="14.25" customHeight="1">
      <c r="A18" s="5">
        <v>17.0</v>
      </c>
      <c r="B18" s="5">
        <v>171.0</v>
      </c>
      <c r="C18" s="5">
        <v>72.0</v>
      </c>
      <c r="D18" s="5">
        <v>67.0</v>
      </c>
      <c r="E18" s="5">
        <v>187.0</v>
      </c>
      <c r="F18" s="5">
        <v>84.0</v>
      </c>
      <c r="G18" s="5">
        <v>117.0</v>
      </c>
      <c r="H18" s="5">
        <v>164.0</v>
      </c>
      <c r="I18" s="5">
        <v>57.0</v>
      </c>
      <c r="J18" s="5">
        <v>167.0</v>
      </c>
      <c r="K18" s="5">
        <v>173.0</v>
      </c>
      <c r="L18" s="5">
        <v>69.0</v>
      </c>
      <c r="M18" s="6">
        <f t="shared" si="2"/>
        <v>18</v>
      </c>
      <c r="N18" s="6">
        <f t="shared" si="3"/>
        <v>1</v>
      </c>
      <c r="O18" s="5">
        <f t="shared" ref="O18:Q18" si="19">INDIRECT(ADDRESS($M18,$N18+COLUMN()-15))</f>
        <v>17</v>
      </c>
      <c r="P18" s="5">
        <f t="shared" si="19"/>
        <v>171</v>
      </c>
      <c r="Q18" s="5">
        <f t="shared" si="19"/>
        <v>72</v>
      </c>
    </row>
    <row r="19" ht="14.25" customHeight="1">
      <c r="A19" s="5">
        <v>18.0</v>
      </c>
      <c r="B19" s="5">
        <v>172.0</v>
      </c>
      <c r="C19" s="5">
        <v>63.0</v>
      </c>
      <c r="D19" s="5">
        <v>68.0</v>
      </c>
      <c r="E19" s="5">
        <v>166.0</v>
      </c>
      <c r="F19" s="5">
        <v>58.0</v>
      </c>
      <c r="G19" s="5">
        <v>118.0</v>
      </c>
      <c r="H19" s="5">
        <v>178.0</v>
      </c>
      <c r="I19" s="5">
        <v>71.0</v>
      </c>
      <c r="J19" s="5">
        <v>168.0</v>
      </c>
      <c r="K19" s="5">
        <v>172.0</v>
      </c>
      <c r="L19" s="5">
        <v>74.0</v>
      </c>
      <c r="M19" s="6">
        <f t="shared" si="2"/>
        <v>19</v>
      </c>
      <c r="N19" s="6">
        <f t="shared" si="3"/>
        <v>1</v>
      </c>
      <c r="O19" s="5">
        <f t="shared" ref="O19:Q19" si="20">INDIRECT(ADDRESS($M19,$N19+COLUMN()-15))</f>
        <v>18</v>
      </c>
      <c r="P19" s="5">
        <f t="shared" si="20"/>
        <v>172</v>
      </c>
      <c r="Q19" s="5">
        <f t="shared" si="20"/>
        <v>63</v>
      </c>
    </row>
    <row r="20" ht="14.25" customHeight="1">
      <c r="A20" s="5">
        <v>19.0</v>
      </c>
      <c r="B20" s="5">
        <v>176.0</v>
      </c>
      <c r="C20" s="5">
        <v>70.0</v>
      </c>
      <c r="D20" s="5">
        <v>69.0</v>
      </c>
      <c r="E20" s="5">
        <v>170.0</v>
      </c>
      <c r="F20" s="5">
        <v>75.0</v>
      </c>
      <c r="G20" s="5">
        <v>119.0</v>
      </c>
      <c r="H20" s="5">
        <v>176.0</v>
      </c>
      <c r="I20" s="5">
        <v>65.0</v>
      </c>
      <c r="J20" s="5">
        <v>169.0</v>
      </c>
      <c r="K20" s="5">
        <v>173.0</v>
      </c>
      <c r="L20" s="5">
        <v>69.0</v>
      </c>
      <c r="M20" s="6">
        <f t="shared" si="2"/>
        <v>20</v>
      </c>
      <c r="N20" s="6">
        <f t="shared" si="3"/>
        <v>1</v>
      </c>
      <c r="O20" s="5">
        <f t="shared" ref="O20:Q20" si="21">INDIRECT(ADDRESS($M20,$N20+COLUMN()-15))</f>
        <v>19</v>
      </c>
      <c r="P20" s="5">
        <f t="shared" si="21"/>
        <v>176</v>
      </c>
      <c r="Q20" s="5">
        <f t="shared" si="21"/>
        <v>70</v>
      </c>
    </row>
    <row r="21" ht="14.25" customHeight="1">
      <c r="A21" s="5">
        <v>20.0</v>
      </c>
      <c r="B21" s="5">
        <v>159.0</v>
      </c>
      <c r="C21" s="5">
        <v>48.0</v>
      </c>
      <c r="D21" s="5">
        <v>70.0</v>
      </c>
      <c r="E21" s="5">
        <v>178.0</v>
      </c>
      <c r="F21" s="5">
        <v>69.0</v>
      </c>
      <c r="G21" s="5">
        <v>120.0</v>
      </c>
      <c r="H21" s="5">
        <v>167.0</v>
      </c>
      <c r="I21" s="5">
        <v>57.0</v>
      </c>
      <c r="J21" s="5">
        <v>170.0</v>
      </c>
      <c r="K21" s="5">
        <v>161.0</v>
      </c>
      <c r="L21" s="5">
        <v>55.0</v>
      </c>
      <c r="M21" s="6">
        <f t="shared" si="2"/>
        <v>21</v>
      </c>
      <c r="N21" s="6">
        <f t="shared" si="3"/>
        <v>1</v>
      </c>
      <c r="O21" s="5">
        <f t="shared" ref="O21:Q21" si="22">INDIRECT(ADDRESS($M21,$N21+COLUMN()-15))</f>
        <v>20</v>
      </c>
      <c r="P21" s="5">
        <f t="shared" si="22"/>
        <v>159</v>
      </c>
      <c r="Q21" s="5">
        <f t="shared" si="22"/>
        <v>48</v>
      </c>
    </row>
    <row r="22" ht="14.25" customHeight="1">
      <c r="A22" s="5">
        <v>21.0</v>
      </c>
      <c r="B22" s="5">
        <v>178.0</v>
      </c>
      <c r="C22" s="5">
        <v>62.0</v>
      </c>
      <c r="D22" s="5">
        <v>71.0</v>
      </c>
      <c r="E22" s="5">
        <v>173.0</v>
      </c>
      <c r="F22" s="5">
        <v>64.0</v>
      </c>
      <c r="G22" s="5">
        <v>121.0</v>
      </c>
      <c r="H22" s="5">
        <v>165.0</v>
      </c>
      <c r="I22" s="5">
        <v>66.0</v>
      </c>
      <c r="J22" s="5">
        <v>171.0</v>
      </c>
      <c r="K22" s="5">
        <v>169.0</v>
      </c>
      <c r="L22" s="5">
        <v>61.0</v>
      </c>
      <c r="M22" s="6">
        <f t="shared" si="2"/>
        <v>22</v>
      </c>
      <c r="N22" s="6">
        <f t="shared" si="3"/>
        <v>1</v>
      </c>
      <c r="O22" s="5">
        <f t="shared" ref="O22:Q22" si="23">INDIRECT(ADDRESS($M22,$N22+COLUMN()-15))</f>
        <v>21</v>
      </c>
      <c r="P22" s="5">
        <f t="shared" si="23"/>
        <v>178</v>
      </c>
      <c r="Q22" s="5">
        <f t="shared" si="23"/>
        <v>62</v>
      </c>
    </row>
    <row r="23" ht="14.25" customHeight="1">
      <c r="A23" s="5">
        <v>22.0</v>
      </c>
      <c r="B23" s="5">
        <v>164.0</v>
      </c>
      <c r="C23" s="5">
        <v>61.0</v>
      </c>
      <c r="D23" s="5">
        <v>72.0</v>
      </c>
      <c r="E23" s="5">
        <v>179.0</v>
      </c>
      <c r="F23" s="5">
        <v>71.0</v>
      </c>
      <c r="G23" s="5">
        <v>122.0</v>
      </c>
      <c r="H23" s="5">
        <v>172.0</v>
      </c>
      <c r="I23" s="5">
        <v>64.0</v>
      </c>
      <c r="J23" s="5">
        <v>172.0</v>
      </c>
      <c r="K23" s="5">
        <v>172.0</v>
      </c>
      <c r="L23" s="5">
        <v>63.0</v>
      </c>
      <c r="M23" s="6">
        <f t="shared" si="2"/>
        <v>23</v>
      </c>
      <c r="N23" s="6">
        <f t="shared" si="3"/>
        <v>1</v>
      </c>
      <c r="O23" s="5">
        <f t="shared" ref="O23:Q23" si="24">INDIRECT(ADDRESS($M23,$N23+COLUMN()-15))</f>
        <v>22</v>
      </c>
      <c r="P23" s="5">
        <f t="shared" si="24"/>
        <v>164</v>
      </c>
      <c r="Q23" s="5">
        <f t="shared" si="24"/>
        <v>61</v>
      </c>
    </row>
    <row r="24" ht="14.25" customHeight="1">
      <c r="A24" s="5">
        <v>23.0</v>
      </c>
      <c r="B24" s="5">
        <v>173.0</v>
      </c>
      <c r="C24" s="5">
        <v>71.0</v>
      </c>
      <c r="D24" s="5">
        <v>73.0</v>
      </c>
      <c r="E24" s="5">
        <v>171.0</v>
      </c>
      <c r="F24" s="5">
        <v>64.0</v>
      </c>
      <c r="G24" s="5">
        <v>123.0</v>
      </c>
      <c r="H24" s="5">
        <v>168.0</v>
      </c>
      <c r="I24" s="5">
        <v>68.0</v>
      </c>
      <c r="J24" s="5">
        <v>173.0</v>
      </c>
      <c r="K24" s="5">
        <v>168.0</v>
      </c>
      <c r="L24" s="5">
        <v>70.0</v>
      </c>
      <c r="M24" s="6">
        <f t="shared" si="2"/>
        <v>24</v>
      </c>
      <c r="N24" s="6">
        <f t="shared" si="3"/>
        <v>1</v>
      </c>
      <c r="O24" s="5">
        <f t="shared" ref="O24:Q24" si="25">INDIRECT(ADDRESS($M24,$N24+COLUMN()-15))</f>
        <v>23</v>
      </c>
      <c r="P24" s="5">
        <f t="shared" si="25"/>
        <v>173</v>
      </c>
      <c r="Q24" s="5">
        <f t="shared" si="25"/>
        <v>71</v>
      </c>
    </row>
    <row r="25" ht="14.25" customHeight="1">
      <c r="A25" s="5">
        <v>24.0</v>
      </c>
      <c r="B25" s="5">
        <v>175.0</v>
      </c>
      <c r="C25" s="5">
        <v>66.0</v>
      </c>
      <c r="D25" s="5">
        <v>74.0</v>
      </c>
      <c r="E25" s="5">
        <v>174.0</v>
      </c>
      <c r="F25" s="5">
        <v>74.0</v>
      </c>
      <c r="G25" s="5">
        <v>124.0</v>
      </c>
      <c r="H25" s="5">
        <v>170.0</v>
      </c>
      <c r="I25" s="5">
        <v>68.0</v>
      </c>
      <c r="J25" s="5">
        <v>174.0</v>
      </c>
      <c r="K25" s="5">
        <v>171.0</v>
      </c>
      <c r="L25" s="5">
        <v>66.0</v>
      </c>
      <c r="M25" s="6">
        <f t="shared" si="2"/>
        <v>25</v>
      </c>
      <c r="N25" s="6">
        <f t="shared" si="3"/>
        <v>1</v>
      </c>
      <c r="O25" s="5">
        <f t="shared" ref="O25:Q25" si="26">INDIRECT(ADDRESS($M25,$N25+COLUMN()-15))</f>
        <v>24</v>
      </c>
      <c r="P25" s="5">
        <f t="shared" si="26"/>
        <v>175</v>
      </c>
      <c r="Q25" s="5">
        <f t="shared" si="26"/>
        <v>66</v>
      </c>
    </row>
    <row r="26" ht="14.25" customHeight="1">
      <c r="A26" s="5">
        <v>25.0</v>
      </c>
      <c r="B26" s="5">
        <v>159.0</v>
      </c>
      <c r="C26" s="5">
        <v>55.0</v>
      </c>
      <c r="D26" s="5">
        <v>75.0</v>
      </c>
      <c r="E26" s="5">
        <v>164.0</v>
      </c>
      <c r="F26" s="5">
        <v>70.0</v>
      </c>
      <c r="G26" s="5">
        <v>125.0</v>
      </c>
      <c r="H26" s="5">
        <v>187.0</v>
      </c>
      <c r="I26" s="5">
        <v>63.0</v>
      </c>
      <c r="J26" s="5">
        <v>175.0</v>
      </c>
      <c r="K26" s="5">
        <v>173.0</v>
      </c>
      <c r="L26" s="5">
        <v>65.0</v>
      </c>
      <c r="M26" s="6">
        <f t="shared" si="2"/>
        <v>26</v>
      </c>
      <c r="N26" s="6">
        <f t="shared" si="3"/>
        <v>1</v>
      </c>
      <c r="O26" s="5">
        <f t="shared" ref="O26:Q26" si="27">INDIRECT(ADDRESS($M26,$N26+COLUMN()-15))</f>
        <v>25</v>
      </c>
      <c r="P26" s="5">
        <f t="shared" si="27"/>
        <v>159</v>
      </c>
      <c r="Q26" s="5">
        <f t="shared" si="27"/>
        <v>55</v>
      </c>
    </row>
    <row r="27" ht="14.25" customHeight="1">
      <c r="A27" s="5">
        <v>26.0</v>
      </c>
      <c r="B27" s="5">
        <v>169.0</v>
      </c>
      <c r="C27" s="5">
        <v>55.0</v>
      </c>
      <c r="D27" s="5">
        <v>76.0</v>
      </c>
      <c r="E27" s="5">
        <v>173.0</v>
      </c>
      <c r="F27" s="5">
        <v>69.0</v>
      </c>
      <c r="G27" s="5">
        <v>126.0</v>
      </c>
      <c r="H27" s="5">
        <v>165.0</v>
      </c>
      <c r="I27" s="5">
        <v>61.0</v>
      </c>
      <c r="J27" s="5">
        <v>176.0</v>
      </c>
      <c r="K27" s="5">
        <v>170.0</v>
      </c>
      <c r="L27" s="5">
        <v>61.0</v>
      </c>
      <c r="M27" s="6">
        <f t="shared" si="2"/>
        <v>27</v>
      </c>
      <c r="N27" s="6">
        <f t="shared" si="3"/>
        <v>1</v>
      </c>
      <c r="O27" s="5">
        <f t="shared" ref="O27:Q27" si="28">INDIRECT(ADDRESS($M27,$N27+COLUMN()-15))</f>
        <v>26</v>
      </c>
      <c r="P27" s="5">
        <f t="shared" si="28"/>
        <v>169</v>
      </c>
      <c r="Q27" s="5">
        <f t="shared" si="28"/>
        <v>55</v>
      </c>
    </row>
    <row r="28" ht="14.25" customHeight="1">
      <c r="A28" s="5">
        <v>27.0</v>
      </c>
      <c r="B28" s="5">
        <v>173.0</v>
      </c>
      <c r="C28" s="5">
        <v>75.0</v>
      </c>
      <c r="D28" s="5">
        <v>77.0</v>
      </c>
      <c r="E28" s="5">
        <v>168.0</v>
      </c>
      <c r="F28" s="5">
        <v>64.0</v>
      </c>
      <c r="G28" s="5">
        <v>127.0</v>
      </c>
      <c r="H28" s="5">
        <v>171.0</v>
      </c>
      <c r="I28" s="5">
        <v>73.0</v>
      </c>
      <c r="J28" s="5">
        <v>177.0</v>
      </c>
      <c r="K28" s="5">
        <v>163.0</v>
      </c>
      <c r="L28" s="5">
        <v>65.0</v>
      </c>
      <c r="M28" s="6">
        <f t="shared" si="2"/>
        <v>28</v>
      </c>
      <c r="N28" s="6">
        <f t="shared" si="3"/>
        <v>1</v>
      </c>
      <c r="O28" s="5">
        <f t="shared" ref="O28:Q28" si="29">INDIRECT(ADDRESS($M28,$N28+COLUMN()-15))</f>
        <v>27</v>
      </c>
      <c r="P28" s="5">
        <f t="shared" si="29"/>
        <v>173</v>
      </c>
      <c r="Q28" s="5">
        <f t="shared" si="29"/>
        <v>75</v>
      </c>
    </row>
    <row r="29" ht="14.25" customHeight="1">
      <c r="A29" s="5">
        <v>28.0</v>
      </c>
      <c r="B29" s="5">
        <v>173.0</v>
      </c>
      <c r="C29" s="5">
        <v>66.0</v>
      </c>
      <c r="D29" s="5">
        <v>78.0</v>
      </c>
      <c r="E29" s="5">
        <v>166.0</v>
      </c>
      <c r="F29" s="5">
        <v>55.0</v>
      </c>
      <c r="G29" s="5">
        <v>128.0</v>
      </c>
      <c r="H29" s="5">
        <v>171.0</v>
      </c>
      <c r="I29" s="5">
        <v>66.0</v>
      </c>
      <c r="J29" s="5">
        <v>178.0</v>
      </c>
      <c r="K29" s="5">
        <v>167.0</v>
      </c>
      <c r="L29" s="5">
        <v>55.0</v>
      </c>
      <c r="M29" s="6">
        <f t="shared" si="2"/>
        <v>29</v>
      </c>
      <c r="N29" s="6">
        <f t="shared" si="3"/>
        <v>1</v>
      </c>
      <c r="O29" s="5">
        <f t="shared" ref="O29:Q29" si="30">INDIRECT(ADDRESS($M29,$N29+COLUMN()-15))</f>
        <v>28</v>
      </c>
      <c r="P29" s="5">
        <f t="shared" si="30"/>
        <v>173</v>
      </c>
      <c r="Q29" s="5">
        <f t="shared" si="30"/>
        <v>66</v>
      </c>
    </row>
    <row r="30" ht="14.25" customHeight="1">
      <c r="A30" s="5">
        <v>29.0</v>
      </c>
      <c r="B30" s="5">
        <v>161.0</v>
      </c>
      <c r="C30" s="5">
        <v>60.0</v>
      </c>
      <c r="D30" s="5">
        <v>79.0</v>
      </c>
      <c r="E30" s="5">
        <v>177.0</v>
      </c>
      <c r="F30" s="5">
        <v>67.0</v>
      </c>
      <c r="G30" s="5">
        <v>129.0</v>
      </c>
      <c r="H30" s="5">
        <v>169.0</v>
      </c>
      <c r="I30" s="5">
        <v>56.0</v>
      </c>
      <c r="J30" s="5">
        <v>179.0</v>
      </c>
      <c r="K30" s="5">
        <v>171.0</v>
      </c>
      <c r="L30" s="5">
        <v>70.0</v>
      </c>
      <c r="M30" s="6">
        <f t="shared" si="2"/>
        <v>30</v>
      </c>
      <c r="N30" s="6">
        <f t="shared" si="3"/>
        <v>1</v>
      </c>
      <c r="O30" s="5">
        <f t="shared" ref="O30:Q30" si="31">INDIRECT(ADDRESS($M30,$N30+COLUMN()-15))</f>
        <v>29</v>
      </c>
      <c r="P30" s="5">
        <f t="shared" si="31"/>
        <v>161</v>
      </c>
      <c r="Q30" s="5">
        <f t="shared" si="31"/>
        <v>60</v>
      </c>
    </row>
    <row r="31" ht="14.25" customHeight="1">
      <c r="A31" s="5">
        <v>30.0</v>
      </c>
      <c r="B31" s="5">
        <v>168.0</v>
      </c>
      <c r="C31" s="5">
        <v>63.0</v>
      </c>
      <c r="D31" s="5">
        <v>80.0</v>
      </c>
      <c r="E31" s="5">
        <v>170.0</v>
      </c>
      <c r="F31" s="5">
        <v>61.0</v>
      </c>
      <c r="G31" s="5">
        <v>130.0</v>
      </c>
      <c r="H31" s="5">
        <v>163.0</v>
      </c>
      <c r="I31" s="5">
        <v>58.0</v>
      </c>
      <c r="J31" s="5">
        <v>180.0</v>
      </c>
      <c r="K31" s="5">
        <v>169.0</v>
      </c>
      <c r="L31" s="5">
        <v>70.0</v>
      </c>
      <c r="M31" s="6">
        <f t="shared" si="2"/>
        <v>31</v>
      </c>
      <c r="N31" s="6">
        <f t="shared" si="3"/>
        <v>1</v>
      </c>
      <c r="O31" s="5">
        <f t="shared" ref="O31:Q31" si="32">INDIRECT(ADDRESS($M31,$N31+COLUMN()-15))</f>
        <v>30</v>
      </c>
      <c r="P31" s="5">
        <f t="shared" si="32"/>
        <v>168</v>
      </c>
      <c r="Q31" s="5">
        <f t="shared" si="32"/>
        <v>63</v>
      </c>
    </row>
    <row r="32" ht="14.25" customHeight="1">
      <c r="A32" s="5">
        <v>31.0</v>
      </c>
      <c r="B32" s="5">
        <v>168.0</v>
      </c>
      <c r="C32" s="5">
        <v>67.0</v>
      </c>
      <c r="D32" s="5">
        <v>81.0</v>
      </c>
      <c r="E32" s="5">
        <v>167.0</v>
      </c>
      <c r="F32" s="5">
        <v>63.0</v>
      </c>
      <c r="G32" s="5">
        <v>131.0</v>
      </c>
      <c r="H32" s="5">
        <v>161.0</v>
      </c>
      <c r="I32" s="5">
        <v>60.0</v>
      </c>
      <c r="J32" s="5">
        <v>181.0</v>
      </c>
      <c r="K32" s="5">
        <v>170.0</v>
      </c>
      <c r="L32" s="5">
        <v>63.0</v>
      </c>
      <c r="M32" s="6">
        <f t="shared" si="2"/>
        <v>32</v>
      </c>
      <c r="N32" s="6">
        <f t="shared" si="3"/>
        <v>1</v>
      </c>
      <c r="O32" s="5">
        <f t="shared" ref="O32:Q32" si="33">INDIRECT(ADDRESS($M32,$N32+COLUMN()-15))</f>
        <v>31</v>
      </c>
      <c r="P32" s="5">
        <f t="shared" si="33"/>
        <v>168</v>
      </c>
      <c r="Q32" s="5">
        <f t="shared" si="33"/>
        <v>67</v>
      </c>
    </row>
    <row r="33" ht="14.25" customHeight="1">
      <c r="A33" s="5">
        <v>32.0</v>
      </c>
      <c r="B33" s="5">
        <v>164.0</v>
      </c>
      <c r="C33" s="5">
        <v>59.0</v>
      </c>
      <c r="D33" s="5">
        <v>82.0</v>
      </c>
      <c r="E33" s="5">
        <v>174.0</v>
      </c>
      <c r="F33" s="5">
        <v>75.0</v>
      </c>
      <c r="G33" s="5">
        <v>132.0</v>
      </c>
      <c r="H33" s="5">
        <v>175.0</v>
      </c>
      <c r="I33" s="5">
        <v>77.0</v>
      </c>
      <c r="J33" s="5">
        <v>182.0</v>
      </c>
      <c r="K33" s="5">
        <v>166.0</v>
      </c>
      <c r="L33" s="5">
        <v>63.0</v>
      </c>
      <c r="M33" s="6">
        <f t="shared" si="2"/>
        <v>33</v>
      </c>
      <c r="N33" s="6">
        <f t="shared" si="3"/>
        <v>1</v>
      </c>
      <c r="O33" s="5">
        <f t="shared" ref="O33:Q33" si="34">INDIRECT(ADDRESS($M33,$N33+COLUMN()-15))</f>
        <v>32</v>
      </c>
      <c r="P33" s="5">
        <f t="shared" si="34"/>
        <v>164</v>
      </c>
      <c r="Q33" s="5">
        <f t="shared" si="34"/>
        <v>59</v>
      </c>
    </row>
    <row r="34" ht="14.25" customHeight="1">
      <c r="A34" s="5">
        <v>33.0</v>
      </c>
      <c r="B34" s="5">
        <v>168.0</v>
      </c>
      <c r="C34" s="5">
        <v>64.0</v>
      </c>
      <c r="D34" s="5">
        <v>83.0</v>
      </c>
      <c r="E34" s="5">
        <v>164.0</v>
      </c>
      <c r="F34" s="5">
        <v>59.0</v>
      </c>
      <c r="G34" s="5">
        <v>133.0</v>
      </c>
      <c r="H34" s="5">
        <v>172.0</v>
      </c>
      <c r="I34" s="5">
        <v>67.0</v>
      </c>
      <c r="J34" s="5">
        <v>183.0</v>
      </c>
      <c r="K34" s="5">
        <v>172.0</v>
      </c>
      <c r="L34" s="5">
        <v>65.0</v>
      </c>
      <c r="M34" s="6">
        <f t="shared" si="2"/>
        <v>34</v>
      </c>
      <c r="N34" s="6">
        <f t="shared" si="3"/>
        <v>1</v>
      </c>
      <c r="O34" s="5">
        <f t="shared" ref="O34:Q34" si="35">INDIRECT(ADDRESS($M34,$N34+COLUMN()-15))</f>
        <v>33</v>
      </c>
      <c r="P34" s="5">
        <f t="shared" si="35"/>
        <v>168</v>
      </c>
      <c r="Q34" s="5">
        <f t="shared" si="35"/>
        <v>64</v>
      </c>
    </row>
    <row r="35" ht="14.25" customHeight="1">
      <c r="A35" s="5">
        <v>34.0</v>
      </c>
      <c r="B35" s="5">
        <v>181.0</v>
      </c>
      <c r="C35" s="5">
        <v>69.0</v>
      </c>
      <c r="D35" s="5">
        <v>84.0</v>
      </c>
      <c r="E35" s="5">
        <v>164.0</v>
      </c>
      <c r="F35" s="5">
        <v>62.0</v>
      </c>
      <c r="G35" s="5">
        <v>134.0</v>
      </c>
      <c r="H35" s="5">
        <v>176.0</v>
      </c>
      <c r="I35" s="5">
        <v>65.0</v>
      </c>
      <c r="J35" s="5">
        <v>184.0</v>
      </c>
      <c r="K35" s="5">
        <v>171.0</v>
      </c>
      <c r="L35" s="5">
        <v>64.0</v>
      </c>
      <c r="M35" s="6">
        <f t="shared" si="2"/>
        <v>35</v>
      </c>
      <c r="N35" s="6">
        <f t="shared" si="3"/>
        <v>1</v>
      </c>
      <c r="O35" s="5">
        <f t="shared" ref="O35:Q35" si="36">INDIRECT(ADDRESS($M35,$N35+COLUMN()-15))</f>
        <v>34</v>
      </c>
      <c r="P35" s="5">
        <f t="shared" si="36"/>
        <v>181</v>
      </c>
      <c r="Q35" s="5">
        <f t="shared" si="36"/>
        <v>69</v>
      </c>
    </row>
    <row r="36" ht="14.25" customHeight="1">
      <c r="A36" s="5">
        <v>35.0</v>
      </c>
      <c r="B36" s="5">
        <v>170.0</v>
      </c>
      <c r="C36" s="5">
        <v>73.0</v>
      </c>
      <c r="D36" s="5">
        <v>85.0</v>
      </c>
      <c r="E36" s="5">
        <v>178.0</v>
      </c>
      <c r="F36" s="5">
        <v>60.0</v>
      </c>
      <c r="G36" s="5">
        <v>135.0</v>
      </c>
      <c r="H36" s="5">
        <v>180.0</v>
      </c>
      <c r="I36" s="5">
        <v>76.0</v>
      </c>
      <c r="J36" s="5">
        <v>185.0</v>
      </c>
      <c r="K36" s="5">
        <v>166.0</v>
      </c>
      <c r="L36" s="5">
        <v>78.0</v>
      </c>
      <c r="M36" s="6">
        <f t="shared" si="2"/>
        <v>36</v>
      </c>
      <c r="N36" s="6">
        <f t="shared" si="3"/>
        <v>1</v>
      </c>
      <c r="O36" s="5">
        <f t="shared" ref="O36:Q36" si="37">INDIRECT(ADDRESS($M36,$N36+COLUMN()-15))</f>
        <v>35</v>
      </c>
      <c r="P36" s="5">
        <f t="shared" si="37"/>
        <v>170</v>
      </c>
      <c r="Q36" s="5">
        <f t="shared" si="37"/>
        <v>73</v>
      </c>
    </row>
    <row r="37" ht="14.25" customHeight="1">
      <c r="A37" s="5">
        <v>36.0</v>
      </c>
      <c r="B37" s="5">
        <v>184.0</v>
      </c>
      <c r="C37" s="5">
        <v>68.0</v>
      </c>
      <c r="D37" s="5">
        <v>86.0</v>
      </c>
      <c r="E37" s="5">
        <v>173.0</v>
      </c>
      <c r="F37" s="5">
        <v>66.0</v>
      </c>
      <c r="G37" s="5">
        <v>136.0</v>
      </c>
      <c r="H37" s="5">
        <v>172.0</v>
      </c>
      <c r="I37" s="5">
        <v>70.0</v>
      </c>
      <c r="J37" s="5">
        <v>186.0</v>
      </c>
      <c r="K37" s="5">
        <v>177.0</v>
      </c>
      <c r="L37" s="5">
        <v>72.0</v>
      </c>
      <c r="M37" s="6">
        <f t="shared" si="2"/>
        <v>37</v>
      </c>
      <c r="N37" s="6">
        <f t="shared" si="3"/>
        <v>1</v>
      </c>
      <c r="O37" s="5">
        <f t="shared" ref="O37:Q37" si="38">INDIRECT(ADDRESS($M37,$N37+COLUMN()-15))</f>
        <v>36</v>
      </c>
      <c r="P37" s="5">
        <f t="shared" si="38"/>
        <v>184</v>
      </c>
      <c r="Q37" s="5">
        <f t="shared" si="38"/>
        <v>68</v>
      </c>
    </row>
    <row r="38" ht="14.25" customHeight="1">
      <c r="A38" s="5">
        <v>37.0</v>
      </c>
      <c r="B38" s="5">
        <v>169.0</v>
      </c>
      <c r="C38" s="5">
        <v>66.0</v>
      </c>
      <c r="D38" s="5">
        <v>87.0</v>
      </c>
      <c r="E38" s="5">
        <v>179.0</v>
      </c>
      <c r="F38" s="5">
        <v>63.0</v>
      </c>
      <c r="G38" s="5">
        <v>137.0</v>
      </c>
      <c r="H38" s="5">
        <v>174.0</v>
      </c>
      <c r="I38" s="5">
        <v>73.0</v>
      </c>
      <c r="J38" s="5">
        <v>187.0</v>
      </c>
      <c r="K38" s="5">
        <v>171.0</v>
      </c>
      <c r="L38" s="5">
        <v>66.0</v>
      </c>
      <c r="M38" s="6">
        <f t="shared" si="2"/>
        <v>38</v>
      </c>
      <c r="N38" s="6">
        <f t="shared" si="3"/>
        <v>1</v>
      </c>
      <c r="O38" s="5">
        <f t="shared" ref="O38:Q38" si="39">INDIRECT(ADDRESS($M38,$N38+COLUMN()-15))</f>
        <v>37</v>
      </c>
      <c r="P38" s="5">
        <f t="shared" si="39"/>
        <v>169</v>
      </c>
      <c r="Q38" s="5">
        <f t="shared" si="39"/>
        <v>66</v>
      </c>
    </row>
    <row r="39" ht="14.25" customHeight="1">
      <c r="A39" s="5">
        <v>38.0</v>
      </c>
      <c r="B39" s="5">
        <v>170.0</v>
      </c>
      <c r="C39" s="5">
        <v>76.0</v>
      </c>
      <c r="D39" s="5">
        <v>88.0</v>
      </c>
      <c r="E39" s="5">
        <v>165.0</v>
      </c>
      <c r="F39" s="5">
        <v>62.0</v>
      </c>
      <c r="G39" s="5">
        <v>138.0</v>
      </c>
      <c r="H39" s="5">
        <v>164.0</v>
      </c>
      <c r="I39" s="5">
        <v>60.0</v>
      </c>
      <c r="J39" s="5">
        <v>188.0</v>
      </c>
      <c r="K39" s="5">
        <v>164.0</v>
      </c>
      <c r="L39" s="5">
        <v>62.0</v>
      </c>
      <c r="M39" s="6">
        <f t="shared" si="2"/>
        <v>39</v>
      </c>
      <c r="N39" s="6">
        <f t="shared" si="3"/>
        <v>1</v>
      </c>
      <c r="O39" s="5">
        <f t="shared" ref="O39:Q39" si="40">INDIRECT(ADDRESS($M39,$N39+COLUMN()-15))</f>
        <v>38</v>
      </c>
      <c r="P39" s="5">
        <f t="shared" si="40"/>
        <v>170</v>
      </c>
      <c r="Q39" s="5">
        <f t="shared" si="40"/>
        <v>76</v>
      </c>
    </row>
    <row r="40" ht="14.25" customHeight="1">
      <c r="A40" s="5">
        <v>39.0</v>
      </c>
      <c r="B40" s="5">
        <v>176.0</v>
      </c>
      <c r="C40" s="5">
        <v>67.0</v>
      </c>
      <c r="D40" s="5">
        <v>89.0</v>
      </c>
      <c r="E40" s="5">
        <v>171.0</v>
      </c>
      <c r="F40" s="5">
        <v>66.0</v>
      </c>
      <c r="G40" s="5">
        <v>139.0</v>
      </c>
      <c r="H40" s="5">
        <v>169.0</v>
      </c>
      <c r="I40" s="5">
        <v>75.0</v>
      </c>
      <c r="J40" s="5">
        <v>189.0</v>
      </c>
      <c r="K40" s="5">
        <v>169.0</v>
      </c>
      <c r="L40" s="5">
        <v>66.0</v>
      </c>
      <c r="M40" s="6">
        <f t="shared" si="2"/>
        <v>40</v>
      </c>
      <c r="N40" s="6">
        <f t="shared" si="3"/>
        <v>1</v>
      </c>
      <c r="O40" s="5">
        <f t="shared" ref="O40:Q40" si="41">INDIRECT(ADDRESS($M40,$N40+COLUMN()-15))</f>
        <v>39</v>
      </c>
      <c r="P40" s="5">
        <f t="shared" si="41"/>
        <v>176</v>
      </c>
      <c r="Q40" s="5">
        <f t="shared" si="41"/>
        <v>67</v>
      </c>
    </row>
    <row r="41" ht="14.25" customHeight="1">
      <c r="A41" s="5">
        <v>40.0</v>
      </c>
      <c r="B41" s="5">
        <v>169.0</v>
      </c>
      <c r="C41" s="5">
        <v>64.0</v>
      </c>
      <c r="D41" s="5">
        <v>90.0</v>
      </c>
      <c r="E41" s="5">
        <v>171.0</v>
      </c>
      <c r="F41" s="5">
        <v>63.0</v>
      </c>
      <c r="G41" s="5">
        <v>140.0</v>
      </c>
      <c r="H41" s="5">
        <v>157.0</v>
      </c>
      <c r="I41" s="5">
        <v>60.0</v>
      </c>
      <c r="J41" s="5">
        <v>190.0</v>
      </c>
      <c r="K41" s="5">
        <v>167.0</v>
      </c>
      <c r="L41" s="5">
        <v>67.0</v>
      </c>
      <c r="M41" s="6">
        <f t="shared" si="2"/>
        <v>41</v>
      </c>
      <c r="N41" s="6">
        <f t="shared" si="3"/>
        <v>1</v>
      </c>
      <c r="O41" s="5">
        <f t="shared" ref="O41:Q41" si="42">INDIRECT(ADDRESS($M41,$N41+COLUMN()-15))</f>
        <v>40</v>
      </c>
      <c r="P41" s="5">
        <f t="shared" si="42"/>
        <v>169</v>
      </c>
      <c r="Q41" s="5">
        <f t="shared" si="42"/>
        <v>64</v>
      </c>
    </row>
    <row r="42" ht="14.25" customHeight="1">
      <c r="A42" s="5">
        <v>41.0</v>
      </c>
      <c r="B42" s="5">
        <v>170.0</v>
      </c>
      <c r="C42" s="5">
        <v>61.0</v>
      </c>
      <c r="D42" s="5">
        <v>91.0</v>
      </c>
      <c r="E42" s="5">
        <v>170.0</v>
      </c>
      <c r="F42" s="5">
        <v>70.0</v>
      </c>
      <c r="G42" s="5">
        <v>141.0</v>
      </c>
      <c r="H42" s="5">
        <v>178.0</v>
      </c>
      <c r="I42" s="5">
        <v>60.0</v>
      </c>
      <c r="J42" s="5">
        <v>191.0</v>
      </c>
      <c r="K42" s="5">
        <v>168.0</v>
      </c>
      <c r="L42" s="5">
        <v>67.0</v>
      </c>
      <c r="M42" s="6">
        <f t="shared" si="2"/>
        <v>42</v>
      </c>
      <c r="N42" s="6">
        <f t="shared" si="3"/>
        <v>1</v>
      </c>
      <c r="O42" s="5">
        <f t="shared" ref="O42:Q42" si="43">INDIRECT(ADDRESS($M42,$N42+COLUMN()-15))</f>
        <v>41</v>
      </c>
      <c r="P42" s="5">
        <f t="shared" si="43"/>
        <v>170</v>
      </c>
      <c r="Q42" s="5">
        <f t="shared" si="43"/>
        <v>61</v>
      </c>
    </row>
    <row r="43" ht="14.25" customHeight="1">
      <c r="A43" s="5">
        <v>42.0</v>
      </c>
      <c r="B43" s="5">
        <v>171.0</v>
      </c>
      <c r="C43" s="5">
        <v>72.0</v>
      </c>
      <c r="D43" s="5">
        <v>92.0</v>
      </c>
      <c r="E43" s="5">
        <v>170.0</v>
      </c>
      <c r="F43" s="5">
        <v>67.0</v>
      </c>
      <c r="G43" s="5">
        <v>142.0</v>
      </c>
      <c r="H43" s="5">
        <v>176.0</v>
      </c>
      <c r="I43" s="5">
        <v>77.0</v>
      </c>
      <c r="J43" s="5">
        <v>192.0</v>
      </c>
      <c r="K43" s="5">
        <v>169.0</v>
      </c>
      <c r="L43" s="5">
        <v>66.0</v>
      </c>
      <c r="M43" s="6">
        <f t="shared" si="2"/>
        <v>43</v>
      </c>
      <c r="N43" s="6">
        <f t="shared" si="3"/>
        <v>1</v>
      </c>
      <c r="O43" s="5">
        <f t="shared" ref="O43:Q43" si="44">INDIRECT(ADDRESS($M43,$N43+COLUMN()-15))</f>
        <v>42</v>
      </c>
      <c r="P43" s="5">
        <f t="shared" si="44"/>
        <v>171</v>
      </c>
      <c r="Q43" s="5">
        <f t="shared" si="44"/>
        <v>72</v>
      </c>
    </row>
    <row r="44" ht="14.25" customHeight="1">
      <c r="A44" s="5">
        <v>43.0</v>
      </c>
      <c r="B44" s="5">
        <v>168.0</v>
      </c>
      <c r="C44" s="5">
        <v>59.0</v>
      </c>
      <c r="D44" s="5">
        <v>93.0</v>
      </c>
      <c r="E44" s="5">
        <v>165.0</v>
      </c>
      <c r="F44" s="5">
        <v>59.0</v>
      </c>
      <c r="G44" s="5">
        <v>143.0</v>
      </c>
      <c r="H44" s="5">
        <v>161.0</v>
      </c>
      <c r="I44" s="5">
        <v>66.0</v>
      </c>
      <c r="J44" s="5">
        <v>193.0</v>
      </c>
      <c r="K44" s="5">
        <v>165.0</v>
      </c>
      <c r="L44" s="5">
        <v>63.0</v>
      </c>
      <c r="M44" s="6">
        <f t="shared" si="2"/>
        <v>44</v>
      </c>
      <c r="N44" s="6">
        <f t="shared" si="3"/>
        <v>1</v>
      </c>
      <c r="O44" s="5">
        <f t="shared" ref="O44:Q44" si="45">INDIRECT(ADDRESS($M44,$N44+COLUMN()-15))</f>
        <v>43</v>
      </c>
      <c r="P44" s="5">
        <f t="shared" si="45"/>
        <v>168</v>
      </c>
      <c r="Q44" s="5">
        <f t="shared" si="45"/>
        <v>59</v>
      </c>
    </row>
    <row r="45" ht="14.25" customHeight="1">
      <c r="A45" s="5">
        <v>44.0</v>
      </c>
      <c r="B45" s="5">
        <v>161.0</v>
      </c>
      <c r="C45" s="5">
        <v>51.0</v>
      </c>
      <c r="D45" s="5">
        <v>94.0</v>
      </c>
      <c r="E45" s="5">
        <v>156.0</v>
      </c>
      <c r="F45" s="5">
        <v>53.0</v>
      </c>
      <c r="G45" s="5">
        <v>144.0</v>
      </c>
      <c r="H45" s="5">
        <v>176.0</v>
      </c>
      <c r="I45" s="5">
        <v>70.0</v>
      </c>
      <c r="J45" s="5">
        <v>194.0</v>
      </c>
      <c r="K45" s="5">
        <v>174.0</v>
      </c>
      <c r="L45" s="5">
        <v>74.0</v>
      </c>
      <c r="M45" s="6">
        <f t="shared" si="2"/>
        <v>45</v>
      </c>
      <c r="N45" s="6">
        <f t="shared" si="3"/>
        <v>1</v>
      </c>
      <c r="O45" s="5">
        <f t="shared" ref="O45:Q45" si="46">INDIRECT(ADDRESS($M45,$N45+COLUMN()-15))</f>
        <v>44</v>
      </c>
      <c r="P45" s="5">
        <f t="shared" si="46"/>
        <v>161</v>
      </c>
      <c r="Q45" s="5">
        <f t="shared" si="46"/>
        <v>51</v>
      </c>
    </row>
    <row r="46" ht="14.25" customHeight="1">
      <c r="A46" s="5">
        <v>45.0</v>
      </c>
      <c r="B46" s="5">
        <v>165.0</v>
      </c>
      <c r="C46" s="5">
        <v>60.0</v>
      </c>
      <c r="D46" s="5">
        <v>95.0</v>
      </c>
      <c r="E46" s="5">
        <v>164.0</v>
      </c>
      <c r="F46" s="5">
        <v>60.0</v>
      </c>
      <c r="G46" s="5">
        <v>145.0</v>
      </c>
      <c r="H46" s="5">
        <v>165.0</v>
      </c>
      <c r="I46" s="5">
        <v>61.0</v>
      </c>
      <c r="J46" s="5">
        <v>195.0</v>
      </c>
      <c r="K46" s="5">
        <v>171.0</v>
      </c>
      <c r="L46" s="5">
        <v>69.0</v>
      </c>
      <c r="M46" s="6">
        <f t="shared" si="2"/>
        <v>46</v>
      </c>
      <c r="N46" s="6">
        <f t="shared" si="3"/>
        <v>1</v>
      </c>
      <c r="O46" s="5">
        <f t="shared" ref="O46:Q46" si="47">INDIRECT(ADDRESS($M46,$N46+COLUMN()-15))</f>
        <v>45</v>
      </c>
      <c r="P46" s="5">
        <f t="shared" si="47"/>
        <v>165</v>
      </c>
      <c r="Q46" s="5">
        <f t="shared" si="47"/>
        <v>60</v>
      </c>
    </row>
    <row r="47" ht="14.25" customHeight="1">
      <c r="A47" s="5">
        <v>46.0</v>
      </c>
      <c r="B47" s="5">
        <v>168.0</v>
      </c>
      <c r="C47" s="5">
        <v>50.0</v>
      </c>
      <c r="D47" s="5">
        <v>96.0</v>
      </c>
      <c r="E47" s="5">
        <v>158.0</v>
      </c>
      <c r="F47" s="5">
        <v>57.0</v>
      </c>
      <c r="G47" s="5">
        <v>146.0</v>
      </c>
      <c r="H47" s="5">
        <v>161.0</v>
      </c>
      <c r="I47" s="5">
        <v>55.0</v>
      </c>
      <c r="J47" s="5">
        <v>196.0</v>
      </c>
      <c r="K47" s="5">
        <v>168.0</v>
      </c>
      <c r="L47" s="5">
        <v>70.0</v>
      </c>
      <c r="M47" s="6">
        <f t="shared" si="2"/>
        <v>47</v>
      </c>
      <c r="N47" s="6">
        <f t="shared" si="3"/>
        <v>1</v>
      </c>
      <c r="O47" s="5">
        <f t="shared" ref="O47:Q47" si="48">INDIRECT(ADDRESS($M47,$N47+COLUMN()-15))</f>
        <v>46</v>
      </c>
      <c r="P47" s="5">
        <f t="shared" si="48"/>
        <v>168</v>
      </c>
      <c r="Q47" s="5">
        <f t="shared" si="48"/>
        <v>50</v>
      </c>
    </row>
    <row r="48" ht="14.25" customHeight="1">
      <c r="A48" s="5">
        <v>47.0</v>
      </c>
      <c r="B48" s="5">
        <v>175.0</v>
      </c>
      <c r="C48" s="5">
        <v>64.0</v>
      </c>
      <c r="D48" s="5">
        <v>97.0</v>
      </c>
      <c r="E48" s="5">
        <v>165.0</v>
      </c>
      <c r="F48" s="5">
        <v>68.0</v>
      </c>
      <c r="G48" s="5">
        <v>147.0</v>
      </c>
      <c r="H48" s="5">
        <v>182.0</v>
      </c>
      <c r="I48" s="5">
        <v>76.0</v>
      </c>
      <c r="J48" s="5">
        <v>197.0</v>
      </c>
      <c r="K48" s="5">
        <v>171.0</v>
      </c>
      <c r="L48" s="5">
        <v>65.0</v>
      </c>
      <c r="M48" s="6">
        <f t="shared" si="2"/>
        <v>48</v>
      </c>
      <c r="N48" s="6">
        <f t="shared" si="3"/>
        <v>1</v>
      </c>
      <c r="O48" s="5">
        <f t="shared" ref="O48:Q48" si="49">INDIRECT(ADDRESS($M48,$N48+COLUMN()-15))</f>
        <v>47</v>
      </c>
      <c r="P48" s="5">
        <f t="shared" si="49"/>
        <v>175</v>
      </c>
      <c r="Q48" s="5">
        <f t="shared" si="49"/>
        <v>64</v>
      </c>
    </row>
    <row r="49" ht="14.25" customHeight="1">
      <c r="A49" s="5">
        <v>48.0</v>
      </c>
      <c r="B49" s="5">
        <v>174.0</v>
      </c>
      <c r="C49" s="5">
        <v>66.0</v>
      </c>
      <c r="D49" s="5">
        <v>98.0</v>
      </c>
      <c r="E49" s="5">
        <v>172.0</v>
      </c>
      <c r="F49" s="5">
        <v>67.0</v>
      </c>
      <c r="G49" s="5">
        <v>148.0</v>
      </c>
      <c r="H49" s="5">
        <v>176.0</v>
      </c>
      <c r="I49" s="5">
        <v>72.0</v>
      </c>
      <c r="J49" s="5">
        <v>198.0</v>
      </c>
      <c r="K49" s="5">
        <v>171.0</v>
      </c>
      <c r="L49" s="5">
        <v>69.0</v>
      </c>
      <c r="M49" s="6">
        <f t="shared" si="2"/>
        <v>49</v>
      </c>
      <c r="N49" s="6">
        <f t="shared" si="3"/>
        <v>1</v>
      </c>
      <c r="O49" s="5">
        <f t="shared" ref="O49:Q49" si="50">INDIRECT(ADDRESS($M49,$N49+COLUMN()-15))</f>
        <v>48</v>
      </c>
      <c r="P49" s="5">
        <f t="shared" si="50"/>
        <v>174</v>
      </c>
      <c r="Q49" s="5">
        <f t="shared" si="50"/>
        <v>66</v>
      </c>
    </row>
    <row r="50" ht="14.25" customHeight="1">
      <c r="A50" s="5">
        <v>49.0</v>
      </c>
      <c r="B50" s="5">
        <v>188.0</v>
      </c>
      <c r="C50" s="5">
        <v>75.0</v>
      </c>
      <c r="D50" s="5">
        <v>99.0</v>
      </c>
      <c r="E50" s="5">
        <v>178.0</v>
      </c>
      <c r="F50" s="5">
        <v>75.0</v>
      </c>
      <c r="G50" s="5">
        <v>149.0</v>
      </c>
      <c r="H50" s="5">
        <v>168.0</v>
      </c>
      <c r="I50" s="5">
        <v>63.0</v>
      </c>
      <c r="J50" s="5">
        <v>199.0</v>
      </c>
      <c r="K50" s="5">
        <v>172.0</v>
      </c>
      <c r="L50" s="5">
        <v>69.0</v>
      </c>
      <c r="M50" s="6">
        <f t="shared" si="2"/>
        <v>50</v>
      </c>
      <c r="N50" s="6">
        <f t="shared" si="3"/>
        <v>1</v>
      </c>
      <c r="O50" s="5">
        <f t="shared" ref="O50:Q50" si="51">INDIRECT(ADDRESS($M50,$N50+COLUMN()-15))</f>
        <v>49</v>
      </c>
      <c r="P50" s="5">
        <f t="shared" si="51"/>
        <v>188</v>
      </c>
      <c r="Q50" s="5">
        <f t="shared" si="51"/>
        <v>75</v>
      </c>
    </row>
    <row r="51" ht="14.25" customHeight="1">
      <c r="A51" s="5">
        <v>50.0</v>
      </c>
      <c r="B51" s="5">
        <v>166.0</v>
      </c>
      <c r="C51" s="5">
        <v>67.0</v>
      </c>
      <c r="D51" s="5">
        <v>100.0</v>
      </c>
      <c r="E51" s="5">
        <v>159.0</v>
      </c>
      <c r="F51" s="5">
        <v>61.0</v>
      </c>
      <c r="G51" s="5">
        <v>150.0</v>
      </c>
      <c r="H51" s="5">
        <v>164.0</v>
      </c>
      <c r="I51" s="5">
        <v>59.0</v>
      </c>
      <c r="J51" s="5">
        <v>200.0</v>
      </c>
      <c r="K51" s="5">
        <v>167.0</v>
      </c>
      <c r="L51" s="5">
        <v>63.0</v>
      </c>
      <c r="M51" s="6">
        <f t="shared" si="2"/>
        <v>51</v>
      </c>
      <c r="N51" s="6">
        <f t="shared" si="3"/>
        <v>1</v>
      </c>
      <c r="O51" s="5">
        <f t="shared" ref="O51:Q51" si="52">INDIRECT(ADDRESS($M51,$N51+COLUMN()-15))</f>
        <v>50</v>
      </c>
      <c r="P51" s="5">
        <f t="shared" si="52"/>
        <v>166</v>
      </c>
      <c r="Q51" s="5">
        <f t="shared" si="52"/>
        <v>67</v>
      </c>
    </row>
    <row r="52" ht="14.25" customHeight="1">
      <c r="M52" s="6">
        <f t="shared" si="2"/>
        <v>2</v>
      </c>
      <c r="N52" s="6">
        <f t="shared" si="3"/>
        <v>4</v>
      </c>
      <c r="O52" s="5">
        <f t="shared" ref="O52:Q52" si="53">INDIRECT(ADDRESS($M52,$N52+COLUMN()-15))</f>
        <v>51</v>
      </c>
      <c r="P52" s="5">
        <f t="shared" si="53"/>
        <v>178</v>
      </c>
      <c r="Q52" s="5">
        <f t="shared" si="53"/>
        <v>73</v>
      </c>
    </row>
    <row r="53" ht="14.25" customHeight="1">
      <c r="M53" s="6">
        <f t="shared" si="2"/>
        <v>3</v>
      </c>
      <c r="N53" s="6">
        <f t="shared" si="3"/>
        <v>4</v>
      </c>
      <c r="O53" s="5">
        <f t="shared" ref="O53:Q53" si="54">INDIRECT(ADDRESS($M53,$N53+COLUMN()-15))</f>
        <v>52</v>
      </c>
      <c r="P53" s="5">
        <f t="shared" si="54"/>
        <v>163</v>
      </c>
      <c r="Q53" s="5">
        <f t="shared" si="54"/>
        <v>63</v>
      </c>
    </row>
    <row r="54" ht="14.25" customHeight="1">
      <c r="M54" s="6">
        <f t="shared" si="2"/>
        <v>4</v>
      </c>
      <c r="N54" s="6">
        <f t="shared" si="3"/>
        <v>4</v>
      </c>
      <c r="O54" s="5">
        <f t="shared" ref="O54:Q54" si="55">INDIRECT(ADDRESS($M54,$N54+COLUMN()-15))</f>
        <v>53</v>
      </c>
      <c r="P54" s="5">
        <f t="shared" si="55"/>
        <v>170</v>
      </c>
      <c r="Q54" s="5">
        <f t="shared" si="55"/>
        <v>75</v>
      </c>
    </row>
    <row r="55" ht="14.25" customHeight="1">
      <c r="M55" s="6">
        <f t="shared" si="2"/>
        <v>5</v>
      </c>
      <c r="N55" s="6">
        <f t="shared" si="3"/>
        <v>4</v>
      </c>
      <c r="O55" s="5">
        <f t="shared" ref="O55:Q55" si="56">INDIRECT(ADDRESS($M55,$N55+COLUMN()-15))</f>
        <v>54</v>
      </c>
      <c r="P55" s="5">
        <f t="shared" si="56"/>
        <v>164</v>
      </c>
      <c r="Q55" s="5">
        <f t="shared" si="56"/>
        <v>60</v>
      </c>
    </row>
    <row r="56" ht="14.25" customHeight="1">
      <c r="M56" s="6">
        <f t="shared" si="2"/>
        <v>6</v>
      </c>
      <c r="N56" s="6">
        <f t="shared" si="3"/>
        <v>4</v>
      </c>
      <c r="O56" s="5">
        <f t="shared" ref="O56:Q56" si="57">INDIRECT(ADDRESS($M56,$N56+COLUMN()-15))</f>
        <v>55</v>
      </c>
      <c r="P56" s="5">
        <f t="shared" si="57"/>
        <v>164</v>
      </c>
      <c r="Q56" s="5">
        <f t="shared" si="57"/>
        <v>56</v>
      </c>
    </row>
    <row r="57" ht="14.25" customHeight="1">
      <c r="M57" s="6">
        <f t="shared" si="2"/>
        <v>7</v>
      </c>
      <c r="N57" s="6">
        <f t="shared" si="3"/>
        <v>4</v>
      </c>
      <c r="O57" s="5">
        <f t="shared" ref="O57:Q57" si="58">INDIRECT(ADDRESS($M57,$N57+COLUMN()-15))</f>
        <v>56</v>
      </c>
      <c r="P57" s="5">
        <f t="shared" si="58"/>
        <v>168</v>
      </c>
      <c r="Q57" s="5">
        <f t="shared" si="58"/>
        <v>59</v>
      </c>
    </row>
    <row r="58" ht="14.25" customHeight="1">
      <c r="M58" s="6">
        <f t="shared" si="2"/>
        <v>8</v>
      </c>
      <c r="N58" s="6">
        <f t="shared" si="3"/>
        <v>4</v>
      </c>
      <c r="O58" s="5">
        <f t="shared" ref="O58:Q58" si="59">INDIRECT(ADDRESS($M58,$N58+COLUMN()-15))</f>
        <v>57</v>
      </c>
      <c r="P58" s="5">
        <f t="shared" si="59"/>
        <v>167</v>
      </c>
      <c r="Q58" s="5">
        <f t="shared" si="59"/>
        <v>61</v>
      </c>
    </row>
    <row r="59" ht="14.25" customHeight="1">
      <c r="M59" s="6">
        <f t="shared" si="2"/>
        <v>9</v>
      </c>
      <c r="N59" s="6">
        <f t="shared" si="3"/>
        <v>4</v>
      </c>
      <c r="O59" s="5">
        <f t="shared" ref="O59:Q59" si="60">INDIRECT(ADDRESS($M59,$N59+COLUMN()-15))</f>
        <v>58</v>
      </c>
      <c r="P59" s="5">
        <f t="shared" si="60"/>
        <v>166</v>
      </c>
      <c r="Q59" s="5">
        <f t="shared" si="60"/>
        <v>62</v>
      </c>
    </row>
    <row r="60" ht="14.25" customHeight="1">
      <c r="M60" s="6">
        <f t="shared" si="2"/>
        <v>10</v>
      </c>
      <c r="N60" s="6">
        <f t="shared" si="3"/>
        <v>4</v>
      </c>
      <c r="O60" s="5">
        <f t="shared" ref="O60:Q60" si="61">INDIRECT(ADDRESS($M60,$N60+COLUMN()-15))</f>
        <v>59</v>
      </c>
      <c r="P60" s="5">
        <f t="shared" si="61"/>
        <v>162</v>
      </c>
      <c r="Q60" s="5">
        <f t="shared" si="61"/>
        <v>65</v>
      </c>
    </row>
    <row r="61" ht="14.25" customHeight="1">
      <c r="M61" s="6">
        <f t="shared" si="2"/>
        <v>11</v>
      </c>
      <c r="N61" s="6">
        <f t="shared" si="3"/>
        <v>4</v>
      </c>
      <c r="O61" s="5">
        <f t="shared" ref="O61:Q61" si="62">INDIRECT(ADDRESS($M61,$N61+COLUMN()-15))</f>
        <v>60</v>
      </c>
      <c r="P61" s="5">
        <f t="shared" si="62"/>
        <v>171</v>
      </c>
      <c r="Q61" s="5">
        <f t="shared" si="62"/>
        <v>60</v>
      </c>
    </row>
    <row r="62" ht="14.25" customHeight="1">
      <c r="M62" s="6">
        <f t="shared" si="2"/>
        <v>12</v>
      </c>
      <c r="N62" s="6">
        <f t="shared" si="3"/>
        <v>4</v>
      </c>
      <c r="O62" s="5">
        <f t="shared" ref="O62:Q62" si="63">INDIRECT(ADDRESS($M62,$N62+COLUMN()-15))</f>
        <v>61</v>
      </c>
      <c r="P62" s="5">
        <f t="shared" si="63"/>
        <v>168</v>
      </c>
      <c r="Q62" s="5">
        <f t="shared" si="63"/>
        <v>62</v>
      </c>
    </row>
    <row r="63" ht="14.25" customHeight="1">
      <c r="M63" s="6">
        <f t="shared" si="2"/>
        <v>13</v>
      </c>
      <c r="N63" s="6">
        <f t="shared" si="3"/>
        <v>4</v>
      </c>
      <c r="O63" s="5">
        <f t="shared" ref="O63:Q63" si="64">INDIRECT(ADDRESS($M63,$N63+COLUMN()-15))</f>
        <v>62</v>
      </c>
      <c r="P63" s="5">
        <f t="shared" si="64"/>
        <v>173</v>
      </c>
      <c r="Q63" s="5">
        <f t="shared" si="64"/>
        <v>70</v>
      </c>
    </row>
    <row r="64" ht="14.25" customHeight="1">
      <c r="M64" s="6">
        <f t="shared" si="2"/>
        <v>14</v>
      </c>
      <c r="N64" s="6">
        <f t="shared" si="3"/>
        <v>4</v>
      </c>
      <c r="O64" s="5">
        <f t="shared" ref="O64:Q64" si="65">INDIRECT(ADDRESS($M64,$N64+COLUMN()-15))</f>
        <v>63</v>
      </c>
      <c r="P64" s="5">
        <f t="shared" si="65"/>
        <v>167</v>
      </c>
      <c r="Q64" s="5">
        <f t="shared" si="65"/>
        <v>61</v>
      </c>
    </row>
    <row r="65" ht="14.25" customHeight="1">
      <c r="M65" s="6">
        <f t="shared" si="2"/>
        <v>15</v>
      </c>
      <c r="N65" s="6">
        <f t="shared" si="3"/>
        <v>4</v>
      </c>
      <c r="O65" s="5">
        <f t="shared" ref="O65:Q65" si="66">INDIRECT(ADDRESS($M65,$N65+COLUMN()-15))</f>
        <v>64</v>
      </c>
      <c r="P65" s="5">
        <f t="shared" si="66"/>
        <v>170</v>
      </c>
      <c r="Q65" s="5">
        <f t="shared" si="66"/>
        <v>74</v>
      </c>
    </row>
    <row r="66" ht="14.25" customHeight="1">
      <c r="M66" s="6">
        <f t="shared" si="2"/>
        <v>16</v>
      </c>
      <c r="N66" s="6">
        <f t="shared" si="3"/>
        <v>4</v>
      </c>
      <c r="O66" s="5">
        <f t="shared" ref="O66:Q66" si="67">INDIRECT(ADDRESS($M66,$N66+COLUMN()-15))</f>
        <v>65</v>
      </c>
      <c r="P66" s="5">
        <f t="shared" si="67"/>
        <v>171</v>
      </c>
      <c r="Q66" s="5">
        <f t="shared" si="67"/>
        <v>60</v>
      </c>
    </row>
    <row r="67" ht="14.25" customHeight="1">
      <c r="M67" s="6">
        <f t="shared" si="2"/>
        <v>17</v>
      </c>
      <c r="N67" s="6">
        <f t="shared" si="3"/>
        <v>4</v>
      </c>
      <c r="O67" s="5">
        <f t="shared" ref="O67:Q67" si="68">INDIRECT(ADDRESS($M67,$N67+COLUMN()-15))</f>
        <v>66</v>
      </c>
      <c r="P67" s="5">
        <f t="shared" si="68"/>
        <v>173</v>
      </c>
      <c r="Q67" s="5">
        <f t="shared" si="68"/>
        <v>66</v>
      </c>
    </row>
    <row r="68" ht="14.25" customHeight="1">
      <c r="M68" s="6">
        <f t="shared" si="2"/>
        <v>18</v>
      </c>
      <c r="N68" s="6">
        <f t="shared" si="3"/>
        <v>4</v>
      </c>
      <c r="O68" s="5">
        <f t="shared" ref="O68:Q68" si="69">INDIRECT(ADDRESS($M68,$N68+COLUMN()-15))</f>
        <v>67</v>
      </c>
      <c r="P68" s="5">
        <f t="shared" si="69"/>
        <v>187</v>
      </c>
      <c r="Q68" s="5">
        <f t="shared" si="69"/>
        <v>84</v>
      </c>
    </row>
    <row r="69" ht="14.25" customHeight="1">
      <c r="M69" s="6">
        <f t="shared" si="2"/>
        <v>19</v>
      </c>
      <c r="N69" s="6">
        <f t="shared" si="3"/>
        <v>4</v>
      </c>
      <c r="O69" s="5">
        <f t="shared" ref="O69:Q69" si="70">INDIRECT(ADDRESS($M69,$N69+COLUMN()-15))</f>
        <v>68</v>
      </c>
      <c r="P69" s="5">
        <f t="shared" si="70"/>
        <v>166</v>
      </c>
      <c r="Q69" s="5">
        <f t="shared" si="70"/>
        <v>58</v>
      </c>
    </row>
    <row r="70" ht="14.25" customHeight="1">
      <c r="M70" s="6">
        <f t="shared" si="2"/>
        <v>20</v>
      </c>
      <c r="N70" s="6">
        <f t="shared" si="3"/>
        <v>4</v>
      </c>
      <c r="O70" s="5">
        <f t="shared" ref="O70:Q70" si="71">INDIRECT(ADDRESS($M70,$N70+COLUMN()-15))</f>
        <v>69</v>
      </c>
      <c r="P70" s="5">
        <f t="shared" si="71"/>
        <v>170</v>
      </c>
      <c r="Q70" s="5">
        <f t="shared" si="71"/>
        <v>75</v>
      </c>
    </row>
    <row r="71" ht="14.25" customHeight="1">
      <c r="M71" s="6">
        <f t="shared" si="2"/>
        <v>21</v>
      </c>
      <c r="N71" s="6">
        <f t="shared" si="3"/>
        <v>4</v>
      </c>
      <c r="O71" s="5">
        <f t="shared" ref="O71:Q71" si="72">INDIRECT(ADDRESS($M71,$N71+COLUMN()-15))</f>
        <v>70</v>
      </c>
      <c r="P71" s="5">
        <f t="shared" si="72"/>
        <v>178</v>
      </c>
      <c r="Q71" s="5">
        <f t="shared" si="72"/>
        <v>69</v>
      </c>
    </row>
    <row r="72" ht="14.25" customHeight="1">
      <c r="M72" s="6">
        <f t="shared" si="2"/>
        <v>22</v>
      </c>
      <c r="N72" s="6">
        <f t="shared" si="3"/>
        <v>4</v>
      </c>
      <c r="O72" s="5">
        <f t="shared" ref="O72:Q72" si="73">INDIRECT(ADDRESS($M72,$N72+COLUMN()-15))</f>
        <v>71</v>
      </c>
      <c r="P72" s="5">
        <f t="shared" si="73"/>
        <v>173</v>
      </c>
      <c r="Q72" s="5">
        <f t="shared" si="73"/>
        <v>64</v>
      </c>
    </row>
    <row r="73" ht="14.25" customHeight="1">
      <c r="M73" s="6">
        <f t="shared" si="2"/>
        <v>23</v>
      </c>
      <c r="N73" s="6">
        <f t="shared" si="3"/>
        <v>4</v>
      </c>
      <c r="O73" s="5">
        <f t="shared" ref="O73:Q73" si="74">INDIRECT(ADDRESS($M73,$N73+COLUMN()-15))</f>
        <v>72</v>
      </c>
      <c r="P73" s="5">
        <f t="shared" si="74"/>
        <v>179</v>
      </c>
      <c r="Q73" s="5">
        <f t="shared" si="74"/>
        <v>71</v>
      </c>
    </row>
    <row r="74" ht="14.25" customHeight="1">
      <c r="M74" s="6">
        <f t="shared" si="2"/>
        <v>24</v>
      </c>
      <c r="N74" s="6">
        <f t="shared" si="3"/>
        <v>4</v>
      </c>
      <c r="O74" s="5">
        <f t="shared" ref="O74:Q74" si="75">INDIRECT(ADDRESS($M74,$N74+COLUMN()-15))</f>
        <v>73</v>
      </c>
      <c r="P74" s="5">
        <f t="shared" si="75"/>
        <v>171</v>
      </c>
      <c r="Q74" s="5">
        <f t="shared" si="75"/>
        <v>64</v>
      </c>
    </row>
    <row r="75" ht="14.25" customHeight="1">
      <c r="M75" s="6">
        <f t="shared" si="2"/>
        <v>25</v>
      </c>
      <c r="N75" s="6">
        <f t="shared" si="3"/>
        <v>4</v>
      </c>
      <c r="O75" s="5">
        <f t="shared" ref="O75:Q75" si="76">INDIRECT(ADDRESS($M75,$N75+COLUMN()-15))</f>
        <v>74</v>
      </c>
      <c r="P75" s="5">
        <f t="shared" si="76"/>
        <v>174</v>
      </c>
      <c r="Q75" s="5">
        <f t="shared" si="76"/>
        <v>74</v>
      </c>
    </row>
    <row r="76" ht="14.25" customHeight="1">
      <c r="M76" s="6">
        <f t="shared" si="2"/>
        <v>26</v>
      </c>
      <c r="N76" s="6">
        <f t="shared" si="3"/>
        <v>4</v>
      </c>
      <c r="O76" s="5">
        <f t="shared" ref="O76:Q76" si="77">INDIRECT(ADDRESS($M76,$N76+COLUMN()-15))</f>
        <v>75</v>
      </c>
      <c r="P76" s="5">
        <f t="shared" si="77"/>
        <v>164</v>
      </c>
      <c r="Q76" s="5">
        <f t="shared" si="77"/>
        <v>70</v>
      </c>
    </row>
    <row r="77" ht="14.25" customHeight="1">
      <c r="M77" s="6">
        <f t="shared" si="2"/>
        <v>27</v>
      </c>
      <c r="N77" s="6">
        <f t="shared" si="3"/>
        <v>4</v>
      </c>
      <c r="O77" s="5">
        <f t="shared" ref="O77:Q77" si="78">INDIRECT(ADDRESS($M77,$N77+COLUMN()-15))</f>
        <v>76</v>
      </c>
      <c r="P77" s="5">
        <f t="shared" si="78"/>
        <v>173</v>
      </c>
      <c r="Q77" s="5">
        <f t="shared" si="78"/>
        <v>69</v>
      </c>
    </row>
    <row r="78" ht="14.25" customHeight="1">
      <c r="M78" s="6">
        <f t="shared" si="2"/>
        <v>28</v>
      </c>
      <c r="N78" s="6">
        <f t="shared" si="3"/>
        <v>4</v>
      </c>
      <c r="O78" s="5">
        <f t="shared" ref="O78:Q78" si="79">INDIRECT(ADDRESS($M78,$N78+COLUMN()-15))</f>
        <v>77</v>
      </c>
      <c r="P78" s="5">
        <f t="shared" si="79"/>
        <v>168</v>
      </c>
      <c r="Q78" s="5">
        <f t="shared" si="79"/>
        <v>64</v>
      </c>
    </row>
    <row r="79" ht="14.25" customHeight="1">
      <c r="M79" s="6">
        <f t="shared" si="2"/>
        <v>29</v>
      </c>
      <c r="N79" s="6">
        <f t="shared" si="3"/>
        <v>4</v>
      </c>
      <c r="O79" s="5">
        <f t="shared" ref="O79:Q79" si="80">INDIRECT(ADDRESS($M79,$N79+COLUMN()-15))</f>
        <v>78</v>
      </c>
      <c r="P79" s="5">
        <f t="shared" si="80"/>
        <v>166</v>
      </c>
      <c r="Q79" s="5">
        <f t="shared" si="80"/>
        <v>55</v>
      </c>
    </row>
    <row r="80" ht="14.25" customHeight="1">
      <c r="M80" s="6">
        <f t="shared" si="2"/>
        <v>30</v>
      </c>
      <c r="N80" s="6">
        <f t="shared" si="3"/>
        <v>4</v>
      </c>
      <c r="O80" s="5">
        <f t="shared" ref="O80:Q80" si="81">INDIRECT(ADDRESS($M80,$N80+COLUMN()-15))</f>
        <v>79</v>
      </c>
      <c r="P80" s="5">
        <f t="shared" si="81"/>
        <v>177</v>
      </c>
      <c r="Q80" s="5">
        <f t="shared" si="81"/>
        <v>67</v>
      </c>
    </row>
    <row r="81" ht="14.25" customHeight="1">
      <c r="M81" s="6">
        <f t="shared" si="2"/>
        <v>31</v>
      </c>
      <c r="N81" s="6">
        <f t="shared" si="3"/>
        <v>4</v>
      </c>
      <c r="O81" s="5">
        <f t="shared" ref="O81:Q81" si="82">INDIRECT(ADDRESS($M81,$N81+COLUMN()-15))</f>
        <v>80</v>
      </c>
      <c r="P81" s="5">
        <f t="shared" si="82"/>
        <v>170</v>
      </c>
      <c r="Q81" s="5">
        <f t="shared" si="82"/>
        <v>61</v>
      </c>
    </row>
    <row r="82" ht="14.25" customHeight="1">
      <c r="M82" s="6">
        <f t="shared" si="2"/>
        <v>32</v>
      </c>
      <c r="N82" s="6">
        <f t="shared" si="3"/>
        <v>4</v>
      </c>
      <c r="O82" s="5">
        <f t="shared" ref="O82:Q82" si="83">INDIRECT(ADDRESS($M82,$N82+COLUMN()-15))</f>
        <v>81</v>
      </c>
      <c r="P82" s="5">
        <f t="shared" si="83"/>
        <v>167</v>
      </c>
      <c r="Q82" s="5">
        <f t="shared" si="83"/>
        <v>63</v>
      </c>
    </row>
    <row r="83" ht="14.25" customHeight="1">
      <c r="M83" s="6">
        <f t="shared" si="2"/>
        <v>33</v>
      </c>
      <c r="N83" s="6">
        <f t="shared" si="3"/>
        <v>4</v>
      </c>
      <c r="O83" s="5">
        <f t="shared" ref="O83:Q83" si="84">INDIRECT(ADDRESS($M83,$N83+COLUMN()-15))</f>
        <v>82</v>
      </c>
      <c r="P83" s="5">
        <f t="shared" si="84"/>
        <v>174</v>
      </c>
      <c r="Q83" s="5">
        <f t="shared" si="84"/>
        <v>75</v>
      </c>
    </row>
    <row r="84" ht="14.25" customHeight="1">
      <c r="M84" s="6">
        <f t="shared" si="2"/>
        <v>34</v>
      </c>
      <c r="N84" s="6">
        <f t="shared" si="3"/>
        <v>4</v>
      </c>
      <c r="O84" s="5">
        <f t="shared" ref="O84:Q84" si="85">INDIRECT(ADDRESS($M84,$N84+COLUMN()-15))</f>
        <v>83</v>
      </c>
      <c r="P84" s="5">
        <f t="shared" si="85"/>
        <v>164</v>
      </c>
      <c r="Q84" s="5">
        <f t="shared" si="85"/>
        <v>59</v>
      </c>
    </row>
    <row r="85" ht="14.25" customHeight="1">
      <c r="M85" s="6">
        <f t="shared" si="2"/>
        <v>35</v>
      </c>
      <c r="N85" s="6">
        <f t="shared" si="3"/>
        <v>4</v>
      </c>
      <c r="O85" s="5">
        <f t="shared" ref="O85:Q85" si="86">INDIRECT(ADDRESS($M85,$N85+COLUMN()-15))</f>
        <v>84</v>
      </c>
      <c r="P85" s="5">
        <f t="shared" si="86"/>
        <v>164</v>
      </c>
      <c r="Q85" s="5">
        <f t="shared" si="86"/>
        <v>62</v>
      </c>
    </row>
    <row r="86" ht="14.25" customHeight="1">
      <c r="M86" s="6">
        <f t="shared" si="2"/>
        <v>36</v>
      </c>
      <c r="N86" s="6">
        <f t="shared" si="3"/>
        <v>4</v>
      </c>
      <c r="O86" s="5">
        <f t="shared" ref="O86:Q86" si="87">INDIRECT(ADDRESS($M86,$N86+COLUMN()-15))</f>
        <v>85</v>
      </c>
      <c r="P86" s="5">
        <f t="shared" si="87"/>
        <v>178</v>
      </c>
      <c r="Q86" s="5">
        <f t="shared" si="87"/>
        <v>60</v>
      </c>
    </row>
    <row r="87" ht="14.25" customHeight="1">
      <c r="M87" s="6">
        <f t="shared" si="2"/>
        <v>37</v>
      </c>
      <c r="N87" s="6">
        <f t="shared" si="3"/>
        <v>4</v>
      </c>
      <c r="O87" s="5">
        <f t="shared" ref="O87:Q87" si="88">INDIRECT(ADDRESS($M87,$N87+COLUMN()-15))</f>
        <v>86</v>
      </c>
      <c r="P87" s="5">
        <f t="shared" si="88"/>
        <v>173</v>
      </c>
      <c r="Q87" s="5">
        <f t="shared" si="88"/>
        <v>66</v>
      </c>
    </row>
    <row r="88" ht="14.25" customHeight="1">
      <c r="M88" s="6">
        <f t="shared" si="2"/>
        <v>38</v>
      </c>
      <c r="N88" s="6">
        <f t="shared" si="3"/>
        <v>4</v>
      </c>
      <c r="O88" s="5">
        <f t="shared" ref="O88:Q88" si="89">INDIRECT(ADDRESS($M88,$N88+COLUMN()-15))</f>
        <v>87</v>
      </c>
      <c r="P88" s="5">
        <f t="shared" si="89"/>
        <v>179</v>
      </c>
      <c r="Q88" s="5">
        <f t="shared" si="89"/>
        <v>63</v>
      </c>
    </row>
    <row r="89" ht="14.25" customHeight="1">
      <c r="M89" s="6">
        <f t="shared" si="2"/>
        <v>39</v>
      </c>
      <c r="N89" s="6">
        <f t="shared" si="3"/>
        <v>4</v>
      </c>
      <c r="O89" s="5">
        <f t="shared" ref="O89:Q89" si="90">INDIRECT(ADDRESS($M89,$N89+COLUMN()-15))</f>
        <v>88</v>
      </c>
      <c r="P89" s="5">
        <f t="shared" si="90"/>
        <v>165</v>
      </c>
      <c r="Q89" s="5">
        <f t="shared" si="90"/>
        <v>62</v>
      </c>
    </row>
    <row r="90" ht="14.25" customHeight="1">
      <c r="M90" s="6">
        <f t="shared" si="2"/>
        <v>40</v>
      </c>
      <c r="N90" s="6">
        <f t="shared" si="3"/>
        <v>4</v>
      </c>
      <c r="O90" s="5">
        <f t="shared" ref="O90:Q90" si="91">INDIRECT(ADDRESS($M90,$N90+COLUMN()-15))</f>
        <v>89</v>
      </c>
      <c r="P90" s="5">
        <f t="shared" si="91"/>
        <v>171</v>
      </c>
      <c r="Q90" s="5">
        <f t="shared" si="91"/>
        <v>66</v>
      </c>
    </row>
    <row r="91" ht="14.25" customHeight="1">
      <c r="M91" s="6">
        <f t="shared" si="2"/>
        <v>41</v>
      </c>
      <c r="N91" s="6">
        <f t="shared" si="3"/>
        <v>4</v>
      </c>
      <c r="O91" s="5">
        <f t="shared" ref="O91:Q91" si="92">INDIRECT(ADDRESS($M91,$N91+COLUMN()-15))</f>
        <v>90</v>
      </c>
      <c r="P91" s="5">
        <f t="shared" si="92"/>
        <v>171</v>
      </c>
      <c r="Q91" s="5">
        <f t="shared" si="92"/>
        <v>63</v>
      </c>
    </row>
    <row r="92" ht="14.25" customHeight="1">
      <c r="M92" s="6">
        <f t="shared" si="2"/>
        <v>42</v>
      </c>
      <c r="N92" s="6">
        <f t="shared" si="3"/>
        <v>4</v>
      </c>
      <c r="O92" s="5">
        <f t="shared" ref="O92:Q92" si="93">INDIRECT(ADDRESS($M92,$N92+COLUMN()-15))</f>
        <v>91</v>
      </c>
      <c r="P92" s="5">
        <f t="shared" si="93"/>
        <v>170</v>
      </c>
      <c r="Q92" s="5">
        <f t="shared" si="93"/>
        <v>70</v>
      </c>
    </row>
    <row r="93" ht="14.25" customHeight="1">
      <c r="M93" s="6">
        <f t="shared" si="2"/>
        <v>43</v>
      </c>
      <c r="N93" s="6">
        <f t="shared" si="3"/>
        <v>4</v>
      </c>
      <c r="O93" s="5">
        <f t="shared" ref="O93:Q93" si="94">INDIRECT(ADDRESS($M93,$N93+COLUMN()-15))</f>
        <v>92</v>
      </c>
      <c r="P93" s="5">
        <f t="shared" si="94"/>
        <v>170</v>
      </c>
      <c r="Q93" s="5">
        <f t="shared" si="94"/>
        <v>67</v>
      </c>
    </row>
    <row r="94" ht="14.25" customHeight="1">
      <c r="M94" s="6">
        <f t="shared" si="2"/>
        <v>44</v>
      </c>
      <c r="N94" s="6">
        <f t="shared" si="3"/>
        <v>4</v>
      </c>
      <c r="O94" s="5">
        <f t="shared" ref="O94:Q94" si="95">INDIRECT(ADDRESS($M94,$N94+COLUMN()-15))</f>
        <v>93</v>
      </c>
      <c r="P94" s="5">
        <f t="shared" si="95"/>
        <v>165</v>
      </c>
      <c r="Q94" s="5">
        <f t="shared" si="95"/>
        <v>59</v>
      </c>
    </row>
    <row r="95" ht="14.25" customHeight="1">
      <c r="M95" s="6">
        <f t="shared" si="2"/>
        <v>45</v>
      </c>
      <c r="N95" s="6">
        <f t="shared" si="3"/>
        <v>4</v>
      </c>
      <c r="O95" s="5">
        <f t="shared" ref="O95:Q95" si="96">INDIRECT(ADDRESS($M95,$N95+COLUMN()-15))</f>
        <v>94</v>
      </c>
      <c r="P95" s="5">
        <f t="shared" si="96"/>
        <v>156</v>
      </c>
      <c r="Q95" s="5">
        <f t="shared" si="96"/>
        <v>53</v>
      </c>
    </row>
    <row r="96" ht="14.25" customHeight="1">
      <c r="M96" s="6">
        <f t="shared" si="2"/>
        <v>46</v>
      </c>
      <c r="N96" s="6">
        <f t="shared" si="3"/>
        <v>4</v>
      </c>
      <c r="O96" s="5">
        <f t="shared" ref="O96:Q96" si="97">INDIRECT(ADDRESS($M96,$N96+COLUMN()-15))</f>
        <v>95</v>
      </c>
      <c r="P96" s="5">
        <f t="shared" si="97"/>
        <v>164</v>
      </c>
      <c r="Q96" s="5">
        <f t="shared" si="97"/>
        <v>60</v>
      </c>
    </row>
    <row r="97" ht="14.25" customHeight="1">
      <c r="M97" s="6">
        <f t="shared" si="2"/>
        <v>47</v>
      </c>
      <c r="N97" s="6">
        <f t="shared" si="3"/>
        <v>4</v>
      </c>
      <c r="O97" s="5">
        <f t="shared" ref="O97:Q97" si="98">INDIRECT(ADDRESS($M97,$N97+COLUMN()-15))</f>
        <v>96</v>
      </c>
      <c r="P97" s="5">
        <f t="shared" si="98"/>
        <v>158</v>
      </c>
      <c r="Q97" s="5">
        <f t="shared" si="98"/>
        <v>57</v>
      </c>
    </row>
    <row r="98" ht="14.25" customHeight="1">
      <c r="M98" s="6">
        <f t="shared" si="2"/>
        <v>48</v>
      </c>
      <c r="N98" s="6">
        <f t="shared" si="3"/>
        <v>4</v>
      </c>
      <c r="O98" s="5">
        <f t="shared" ref="O98:Q98" si="99">INDIRECT(ADDRESS($M98,$N98+COLUMN()-15))</f>
        <v>97</v>
      </c>
      <c r="P98" s="5">
        <f t="shared" si="99"/>
        <v>165</v>
      </c>
      <c r="Q98" s="5">
        <f t="shared" si="99"/>
        <v>68</v>
      </c>
    </row>
    <row r="99" ht="14.25" customHeight="1">
      <c r="M99" s="6">
        <f t="shared" si="2"/>
        <v>49</v>
      </c>
      <c r="N99" s="6">
        <f t="shared" si="3"/>
        <v>4</v>
      </c>
      <c r="O99" s="5">
        <f t="shared" ref="O99:Q99" si="100">INDIRECT(ADDRESS($M99,$N99+COLUMN()-15))</f>
        <v>98</v>
      </c>
      <c r="P99" s="5">
        <f t="shared" si="100"/>
        <v>172</v>
      </c>
      <c r="Q99" s="5">
        <f t="shared" si="100"/>
        <v>67</v>
      </c>
    </row>
    <row r="100" ht="14.25" customHeight="1">
      <c r="M100" s="6">
        <f t="shared" si="2"/>
        <v>50</v>
      </c>
      <c r="N100" s="6">
        <f t="shared" si="3"/>
        <v>4</v>
      </c>
      <c r="O100" s="5">
        <f t="shared" ref="O100:Q100" si="101">INDIRECT(ADDRESS($M100,$N100+COLUMN()-15))</f>
        <v>99</v>
      </c>
      <c r="P100" s="5">
        <f t="shared" si="101"/>
        <v>178</v>
      </c>
      <c r="Q100" s="5">
        <f t="shared" si="101"/>
        <v>75</v>
      </c>
    </row>
    <row r="101" ht="14.25" customHeight="1">
      <c r="M101" s="6">
        <f t="shared" si="2"/>
        <v>51</v>
      </c>
      <c r="N101" s="6">
        <f t="shared" si="3"/>
        <v>4</v>
      </c>
      <c r="O101" s="5">
        <f t="shared" ref="O101:Q101" si="102">INDIRECT(ADDRESS($M101,$N101+COLUMN()-15))</f>
        <v>100</v>
      </c>
      <c r="P101" s="5">
        <f t="shared" si="102"/>
        <v>159</v>
      </c>
      <c r="Q101" s="5">
        <f t="shared" si="102"/>
        <v>61</v>
      </c>
    </row>
    <row r="102" ht="14.25" customHeight="1">
      <c r="M102" s="6">
        <f t="shared" si="2"/>
        <v>2</v>
      </c>
      <c r="N102" s="6">
        <f t="shared" si="3"/>
        <v>7</v>
      </c>
      <c r="O102" s="5">
        <f t="shared" ref="O102:Q102" si="103">INDIRECT(ADDRESS($M102,$N102+COLUMN()-15))</f>
        <v>101</v>
      </c>
      <c r="P102" s="5">
        <f t="shared" si="103"/>
        <v>162</v>
      </c>
      <c r="Q102" s="5">
        <f t="shared" si="103"/>
        <v>66</v>
      </c>
    </row>
    <row r="103" ht="14.25" customHeight="1">
      <c r="M103" s="6">
        <f t="shared" si="2"/>
        <v>3</v>
      </c>
      <c r="N103" s="6">
        <f t="shared" si="3"/>
        <v>7</v>
      </c>
      <c r="O103" s="5">
        <f t="shared" ref="O103:Q103" si="104">INDIRECT(ADDRESS($M103,$N103+COLUMN()-15))</f>
        <v>102</v>
      </c>
      <c r="P103" s="5">
        <f t="shared" si="104"/>
        <v>166</v>
      </c>
      <c r="Q103" s="5">
        <f t="shared" si="104"/>
        <v>64</v>
      </c>
    </row>
    <row r="104" ht="14.25" customHeight="1">
      <c r="M104" s="6">
        <f t="shared" si="2"/>
        <v>4</v>
      </c>
      <c r="N104" s="6">
        <f t="shared" si="3"/>
        <v>7</v>
      </c>
      <c r="O104" s="5">
        <f t="shared" ref="O104:Q104" si="105">INDIRECT(ADDRESS($M104,$N104+COLUMN()-15))</f>
        <v>103</v>
      </c>
      <c r="P104" s="5">
        <f t="shared" si="105"/>
        <v>172</v>
      </c>
      <c r="Q104" s="5">
        <f t="shared" si="105"/>
        <v>59</v>
      </c>
    </row>
    <row r="105" ht="14.25" customHeight="1">
      <c r="M105" s="6">
        <f t="shared" si="2"/>
        <v>5</v>
      </c>
      <c r="N105" s="6">
        <f t="shared" si="3"/>
        <v>7</v>
      </c>
      <c r="O105" s="5">
        <f t="shared" ref="O105:Q105" si="106">INDIRECT(ADDRESS($M105,$N105+COLUMN()-15))</f>
        <v>104</v>
      </c>
      <c r="P105" s="5">
        <f t="shared" si="106"/>
        <v>169</v>
      </c>
      <c r="Q105" s="5">
        <f t="shared" si="106"/>
        <v>68</v>
      </c>
    </row>
    <row r="106" ht="14.25" customHeight="1">
      <c r="M106" s="6">
        <f t="shared" si="2"/>
        <v>6</v>
      </c>
      <c r="N106" s="6">
        <f t="shared" si="3"/>
        <v>7</v>
      </c>
      <c r="O106" s="5">
        <f t="shared" ref="O106:Q106" si="107">INDIRECT(ADDRESS($M106,$N106+COLUMN()-15))</f>
        <v>105</v>
      </c>
      <c r="P106" s="5">
        <f t="shared" si="107"/>
        <v>176</v>
      </c>
      <c r="Q106" s="5">
        <f t="shared" si="107"/>
        <v>70</v>
      </c>
    </row>
    <row r="107" ht="14.25" customHeight="1">
      <c r="M107" s="6">
        <f t="shared" si="2"/>
        <v>7</v>
      </c>
      <c r="N107" s="6">
        <f t="shared" si="3"/>
        <v>7</v>
      </c>
      <c r="O107" s="5">
        <f t="shared" ref="O107:Q107" si="108">INDIRECT(ADDRESS($M107,$N107+COLUMN()-15))</f>
        <v>106</v>
      </c>
      <c r="P107" s="5">
        <f t="shared" si="108"/>
        <v>167</v>
      </c>
      <c r="Q107" s="5">
        <f t="shared" si="108"/>
        <v>70</v>
      </c>
    </row>
    <row r="108" ht="14.25" customHeight="1">
      <c r="M108" s="6">
        <f t="shared" si="2"/>
        <v>8</v>
      </c>
      <c r="N108" s="6">
        <f t="shared" si="3"/>
        <v>7</v>
      </c>
      <c r="O108" s="5">
        <f t="shared" ref="O108:Q108" si="109">INDIRECT(ADDRESS($M108,$N108+COLUMN()-15))</f>
        <v>107</v>
      </c>
      <c r="P108" s="5">
        <f t="shared" si="109"/>
        <v>167</v>
      </c>
      <c r="Q108" s="5">
        <f t="shared" si="109"/>
        <v>62</v>
      </c>
    </row>
    <row r="109" ht="14.25" customHeight="1">
      <c r="M109" s="6">
        <f t="shared" si="2"/>
        <v>9</v>
      </c>
      <c r="N109" s="6">
        <f t="shared" si="3"/>
        <v>7</v>
      </c>
      <c r="O109" s="5">
        <f t="shared" ref="O109:Q109" si="110">INDIRECT(ADDRESS($M109,$N109+COLUMN()-15))</f>
        <v>108</v>
      </c>
      <c r="P109" s="5">
        <f t="shared" si="110"/>
        <v>168</v>
      </c>
      <c r="Q109" s="5">
        <f t="shared" si="110"/>
        <v>67</v>
      </c>
    </row>
    <row r="110" ht="14.25" customHeight="1">
      <c r="M110" s="6">
        <f t="shared" si="2"/>
        <v>10</v>
      </c>
      <c r="N110" s="6">
        <f t="shared" si="3"/>
        <v>7</v>
      </c>
      <c r="O110" s="5">
        <f t="shared" ref="O110:Q110" si="111">INDIRECT(ADDRESS($M110,$N110+COLUMN()-15))</f>
        <v>109</v>
      </c>
      <c r="P110" s="5">
        <f t="shared" si="111"/>
        <v>167</v>
      </c>
      <c r="Q110" s="5">
        <f t="shared" si="111"/>
        <v>63</v>
      </c>
    </row>
    <row r="111" ht="14.25" customHeight="1">
      <c r="M111" s="6">
        <f t="shared" si="2"/>
        <v>11</v>
      </c>
      <c r="N111" s="6">
        <f t="shared" si="3"/>
        <v>7</v>
      </c>
      <c r="O111" s="5">
        <f t="shared" ref="O111:Q111" si="112">INDIRECT(ADDRESS($M111,$N111+COLUMN()-15))</f>
        <v>110</v>
      </c>
      <c r="P111" s="5">
        <f t="shared" si="112"/>
        <v>169</v>
      </c>
      <c r="Q111" s="5">
        <f t="shared" si="112"/>
        <v>62</v>
      </c>
    </row>
    <row r="112" ht="14.25" customHeight="1">
      <c r="M112" s="6">
        <f t="shared" si="2"/>
        <v>12</v>
      </c>
      <c r="N112" s="6">
        <f t="shared" si="3"/>
        <v>7</v>
      </c>
      <c r="O112" s="5">
        <f t="shared" ref="O112:Q112" si="113">INDIRECT(ADDRESS($M112,$N112+COLUMN()-15))</f>
        <v>111</v>
      </c>
      <c r="P112" s="5">
        <f t="shared" si="113"/>
        <v>167</v>
      </c>
      <c r="Q112" s="5">
        <f t="shared" si="113"/>
        <v>64</v>
      </c>
    </row>
    <row r="113" ht="14.25" customHeight="1">
      <c r="M113" s="6">
        <f t="shared" si="2"/>
        <v>13</v>
      </c>
      <c r="N113" s="6">
        <f t="shared" si="3"/>
        <v>7</v>
      </c>
      <c r="O113" s="5">
        <f t="shared" ref="O113:Q113" si="114">INDIRECT(ADDRESS($M113,$N113+COLUMN()-15))</f>
        <v>112</v>
      </c>
      <c r="P113" s="5">
        <f t="shared" si="114"/>
        <v>196</v>
      </c>
      <c r="Q113" s="5">
        <f t="shared" si="114"/>
        <v>60</v>
      </c>
      <c r="S113" s="1" t="s">
        <v>11</v>
      </c>
    </row>
    <row r="114" ht="14.25" customHeight="1">
      <c r="M114" s="6">
        <f t="shared" si="2"/>
        <v>14</v>
      </c>
      <c r="N114" s="6">
        <f t="shared" si="3"/>
        <v>7</v>
      </c>
      <c r="O114" s="5">
        <f t="shared" ref="O114:Q114" si="115">INDIRECT(ADDRESS($M114,$N114+COLUMN()-15))</f>
        <v>113</v>
      </c>
      <c r="P114" s="5">
        <f t="shared" si="115"/>
        <v>169</v>
      </c>
      <c r="Q114" s="5">
        <f t="shared" si="115"/>
        <v>63</v>
      </c>
    </row>
    <row r="115" ht="14.25" customHeight="1">
      <c r="M115" s="6">
        <f t="shared" si="2"/>
        <v>15</v>
      </c>
      <c r="N115" s="6">
        <f t="shared" si="3"/>
        <v>7</v>
      </c>
      <c r="O115" s="5">
        <f t="shared" ref="O115:Q115" si="116">INDIRECT(ADDRESS($M115,$N115+COLUMN()-15))</f>
        <v>114</v>
      </c>
      <c r="P115" s="5">
        <f t="shared" si="116"/>
        <v>163</v>
      </c>
      <c r="Q115" s="5">
        <f t="shared" si="116"/>
        <v>65</v>
      </c>
    </row>
    <row r="116" ht="14.25" customHeight="1">
      <c r="M116" s="6">
        <f t="shared" si="2"/>
        <v>16</v>
      </c>
      <c r="N116" s="6">
        <f t="shared" si="3"/>
        <v>7</v>
      </c>
      <c r="O116" s="5">
        <f t="shared" ref="O116:Q116" si="117">INDIRECT(ADDRESS($M116,$N116+COLUMN()-15))</f>
        <v>115</v>
      </c>
      <c r="P116" s="5">
        <f t="shared" si="117"/>
        <v>164</v>
      </c>
      <c r="Q116" s="5">
        <f t="shared" si="117"/>
        <v>65</v>
      </c>
    </row>
    <row r="117" ht="14.25" customHeight="1">
      <c r="M117" s="6">
        <f t="shared" si="2"/>
        <v>17</v>
      </c>
      <c r="N117" s="6">
        <f t="shared" si="3"/>
        <v>7</v>
      </c>
      <c r="O117" s="5">
        <f t="shared" ref="O117:Q117" si="118">INDIRECT(ADDRESS($M117,$N117+COLUMN()-15))</f>
        <v>116</v>
      </c>
      <c r="P117" s="5">
        <f t="shared" si="118"/>
        <v>164</v>
      </c>
      <c r="Q117" s="5">
        <f t="shared" si="118"/>
        <v>62</v>
      </c>
    </row>
    <row r="118" ht="14.25" customHeight="1">
      <c r="M118" s="6">
        <f t="shared" si="2"/>
        <v>18</v>
      </c>
      <c r="N118" s="6">
        <f t="shared" si="3"/>
        <v>7</v>
      </c>
      <c r="O118" s="5">
        <f t="shared" ref="O118:Q118" si="119">INDIRECT(ADDRESS($M118,$N118+COLUMN()-15))</f>
        <v>117</v>
      </c>
      <c r="P118" s="5">
        <f t="shared" si="119"/>
        <v>164</v>
      </c>
      <c r="Q118" s="5">
        <f t="shared" si="119"/>
        <v>57</v>
      </c>
    </row>
    <row r="119" ht="14.25" customHeight="1">
      <c r="M119" s="6">
        <f t="shared" si="2"/>
        <v>19</v>
      </c>
      <c r="N119" s="6">
        <f t="shared" si="3"/>
        <v>7</v>
      </c>
      <c r="O119" s="5">
        <f t="shared" ref="O119:Q119" si="120">INDIRECT(ADDRESS($M119,$N119+COLUMN()-15))</f>
        <v>118</v>
      </c>
      <c r="P119" s="5">
        <f t="shared" si="120"/>
        <v>178</v>
      </c>
      <c r="Q119" s="5">
        <f t="shared" si="120"/>
        <v>71</v>
      </c>
    </row>
    <row r="120" ht="14.25" customHeight="1">
      <c r="M120" s="6">
        <f t="shared" si="2"/>
        <v>20</v>
      </c>
      <c r="N120" s="6">
        <f t="shared" si="3"/>
        <v>7</v>
      </c>
      <c r="O120" s="5">
        <f t="shared" ref="O120:Q120" si="121">INDIRECT(ADDRESS($M120,$N120+COLUMN()-15))</f>
        <v>119</v>
      </c>
      <c r="P120" s="5">
        <f t="shared" si="121"/>
        <v>176</v>
      </c>
      <c r="Q120" s="5">
        <f t="shared" si="121"/>
        <v>65</v>
      </c>
    </row>
    <row r="121" ht="14.25" customHeight="1">
      <c r="M121" s="6">
        <f t="shared" si="2"/>
        <v>21</v>
      </c>
      <c r="N121" s="6">
        <f t="shared" si="3"/>
        <v>7</v>
      </c>
      <c r="O121" s="5">
        <f t="shared" ref="O121:Q121" si="122">INDIRECT(ADDRESS($M121,$N121+COLUMN()-15))</f>
        <v>120</v>
      </c>
      <c r="P121" s="5">
        <f t="shared" si="122"/>
        <v>167</v>
      </c>
      <c r="Q121" s="5">
        <f t="shared" si="122"/>
        <v>57</v>
      </c>
    </row>
    <row r="122" ht="14.25" customHeight="1">
      <c r="M122" s="6">
        <f t="shared" si="2"/>
        <v>22</v>
      </c>
      <c r="N122" s="6">
        <f t="shared" si="3"/>
        <v>7</v>
      </c>
      <c r="O122" s="5">
        <f t="shared" ref="O122:Q122" si="123">INDIRECT(ADDRESS($M122,$N122+COLUMN()-15))</f>
        <v>121</v>
      </c>
      <c r="P122" s="5">
        <f t="shared" si="123"/>
        <v>165</v>
      </c>
      <c r="Q122" s="5">
        <f t="shared" si="123"/>
        <v>66</v>
      </c>
    </row>
    <row r="123" ht="14.25" customHeight="1">
      <c r="M123" s="6">
        <f t="shared" si="2"/>
        <v>23</v>
      </c>
      <c r="N123" s="6">
        <f t="shared" si="3"/>
        <v>7</v>
      </c>
      <c r="O123" s="5">
        <f t="shared" ref="O123:Q123" si="124">INDIRECT(ADDRESS($M123,$N123+COLUMN()-15))</f>
        <v>122</v>
      </c>
      <c r="P123" s="5">
        <f t="shared" si="124"/>
        <v>172</v>
      </c>
      <c r="Q123" s="5">
        <f t="shared" si="124"/>
        <v>64</v>
      </c>
    </row>
    <row r="124" ht="14.25" customHeight="1">
      <c r="M124" s="6">
        <f t="shared" si="2"/>
        <v>24</v>
      </c>
      <c r="N124" s="6">
        <f t="shared" si="3"/>
        <v>7</v>
      </c>
      <c r="O124" s="5">
        <f t="shared" ref="O124:Q124" si="125">INDIRECT(ADDRESS($M124,$N124+COLUMN()-15))</f>
        <v>123</v>
      </c>
      <c r="P124" s="5">
        <f t="shared" si="125"/>
        <v>168</v>
      </c>
      <c r="Q124" s="5">
        <f t="shared" si="125"/>
        <v>68</v>
      </c>
    </row>
    <row r="125" ht="14.25" customHeight="1">
      <c r="M125" s="6">
        <f t="shared" si="2"/>
        <v>25</v>
      </c>
      <c r="N125" s="6">
        <f t="shared" si="3"/>
        <v>7</v>
      </c>
      <c r="O125" s="5">
        <f t="shared" ref="O125:Q125" si="126">INDIRECT(ADDRESS($M125,$N125+COLUMN()-15))</f>
        <v>124</v>
      </c>
      <c r="P125" s="5">
        <f t="shared" si="126"/>
        <v>170</v>
      </c>
      <c r="Q125" s="5">
        <f t="shared" si="126"/>
        <v>68</v>
      </c>
    </row>
    <row r="126" ht="14.25" customHeight="1">
      <c r="M126" s="6">
        <f t="shared" si="2"/>
        <v>26</v>
      </c>
      <c r="N126" s="6">
        <f t="shared" si="3"/>
        <v>7</v>
      </c>
      <c r="O126" s="5">
        <f t="shared" ref="O126:Q126" si="127">INDIRECT(ADDRESS($M126,$N126+COLUMN()-15))</f>
        <v>125</v>
      </c>
      <c r="P126" s="5">
        <f t="shared" si="127"/>
        <v>187</v>
      </c>
      <c r="Q126" s="5">
        <f t="shared" si="127"/>
        <v>63</v>
      </c>
    </row>
    <row r="127" ht="14.25" customHeight="1">
      <c r="M127" s="6">
        <f t="shared" si="2"/>
        <v>27</v>
      </c>
      <c r="N127" s="6">
        <f t="shared" si="3"/>
        <v>7</v>
      </c>
      <c r="O127" s="5">
        <f t="shared" ref="O127:Q127" si="128">INDIRECT(ADDRESS($M127,$N127+COLUMN()-15))</f>
        <v>126</v>
      </c>
      <c r="P127" s="5">
        <f t="shared" si="128"/>
        <v>165</v>
      </c>
      <c r="Q127" s="5">
        <f t="shared" si="128"/>
        <v>61</v>
      </c>
    </row>
    <row r="128" ht="14.25" customHeight="1">
      <c r="M128" s="6">
        <f t="shared" si="2"/>
        <v>28</v>
      </c>
      <c r="N128" s="6">
        <f t="shared" si="3"/>
        <v>7</v>
      </c>
      <c r="O128" s="5">
        <f t="shared" ref="O128:Q128" si="129">INDIRECT(ADDRESS($M128,$N128+COLUMN()-15))</f>
        <v>127</v>
      </c>
      <c r="P128" s="5">
        <f t="shared" si="129"/>
        <v>171</v>
      </c>
      <c r="Q128" s="5">
        <f t="shared" si="129"/>
        <v>73</v>
      </c>
    </row>
    <row r="129" ht="14.25" customHeight="1">
      <c r="M129" s="6">
        <f t="shared" si="2"/>
        <v>29</v>
      </c>
      <c r="N129" s="6">
        <f t="shared" si="3"/>
        <v>7</v>
      </c>
      <c r="O129" s="5">
        <f t="shared" ref="O129:Q129" si="130">INDIRECT(ADDRESS($M129,$N129+COLUMN()-15))</f>
        <v>128</v>
      </c>
      <c r="P129" s="5">
        <f t="shared" si="130"/>
        <v>171</v>
      </c>
      <c r="Q129" s="5">
        <f t="shared" si="130"/>
        <v>66</v>
      </c>
    </row>
    <row r="130" ht="14.25" customHeight="1">
      <c r="M130" s="6">
        <f t="shared" si="2"/>
        <v>30</v>
      </c>
      <c r="N130" s="6">
        <f t="shared" si="3"/>
        <v>7</v>
      </c>
      <c r="O130" s="5">
        <f t="shared" ref="O130:Q130" si="131">INDIRECT(ADDRESS($M130,$N130+COLUMN()-15))</f>
        <v>129</v>
      </c>
      <c r="P130" s="5">
        <f t="shared" si="131"/>
        <v>169</v>
      </c>
      <c r="Q130" s="5">
        <f t="shared" si="131"/>
        <v>56</v>
      </c>
    </row>
    <row r="131" ht="14.25" customHeight="1">
      <c r="M131" s="6">
        <f t="shared" si="2"/>
        <v>31</v>
      </c>
      <c r="N131" s="6">
        <f t="shared" si="3"/>
        <v>7</v>
      </c>
      <c r="O131" s="5">
        <f t="shared" ref="O131:Q131" si="132">INDIRECT(ADDRESS($M131,$N131+COLUMN()-15))</f>
        <v>130</v>
      </c>
      <c r="P131" s="5">
        <f t="shared" si="132"/>
        <v>163</v>
      </c>
      <c r="Q131" s="5">
        <f t="shared" si="132"/>
        <v>58</v>
      </c>
    </row>
    <row r="132" ht="14.25" customHeight="1">
      <c r="M132" s="6">
        <f t="shared" si="2"/>
        <v>32</v>
      </c>
      <c r="N132" s="6">
        <f t="shared" si="3"/>
        <v>7</v>
      </c>
      <c r="O132" s="5">
        <f t="shared" ref="O132:Q132" si="133">INDIRECT(ADDRESS($M132,$N132+COLUMN()-15))</f>
        <v>131</v>
      </c>
      <c r="P132" s="5">
        <f t="shared" si="133"/>
        <v>161</v>
      </c>
      <c r="Q132" s="5">
        <f t="shared" si="133"/>
        <v>60</v>
      </c>
    </row>
    <row r="133" ht="14.25" customHeight="1">
      <c r="M133" s="6">
        <f t="shared" si="2"/>
        <v>33</v>
      </c>
      <c r="N133" s="6">
        <f t="shared" si="3"/>
        <v>7</v>
      </c>
      <c r="O133" s="5">
        <f t="shared" ref="O133:Q133" si="134">INDIRECT(ADDRESS($M133,$N133+COLUMN()-15))</f>
        <v>132</v>
      </c>
      <c r="P133" s="5">
        <f t="shared" si="134"/>
        <v>175</v>
      </c>
      <c r="Q133" s="5">
        <f t="shared" si="134"/>
        <v>77</v>
      </c>
    </row>
    <row r="134" ht="14.25" customHeight="1">
      <c r="M134" s="6">
        <f t="shared" si="2"/>
        <v>34</v>
      </c>
      <c r="N134" s="6">
        <f t="shared" si="3"/>
        <v>7</v>
      </c>
      <c r="O134" s="5">
        <f t="shared" ref="O134:Q134" si="135">INDIRECT(ADDRESS($M134,$N134+COLUMN()-15))</f>
        <v>133</v>
      </c>
      <c r="P134" s="5">
        <f t="shared" si="135"/>
        <v>172</v>
      </c>
      <c r="Q134" s="5">
        <f t="shared" si="135"/>
        <v>67</v>
      </c>
    </row>
    <row r="135" ht="14.25" customHeight="1">
      <c r="M135" s="6">
        <f t="shared" si="2"/>
        <v>35</v>
      </c>
      <c r="N135" s="6">
        <f t="shared" si="3"/>
        <v>7</v>
      </c>
      <c r="O135" s="5">
        <f t="shared" ref="O135:Q135" si="136">INDIRECT(ADDRESS($M135,$N135+COLUMN()-15))</f>
        <v>134</v>
      </c>
      <c r="P135" s="5">
        <f t="shared" si="136"/>
        <v>176</v>
      </c>
      <c r="Q135" s="5">
        <f t="shared" si="136"/>
        <v>65</v>
      </c>
    </row>
    <row r="136" ht="14.25" customHeight="1">
      <c r="M136" s="6">
        <f t="shared" si="2"/>
        <v>36</v>
      </c>
      <c r="N136" s="6">
        <f t="shared" si="3"/>
        <v>7</v>
      </c>
      <c r="O136" s="5">
        <f t="shared" ref="O136:Q136" si="137">INDIRECT(ADDRESS($M136,$N136+COLUMN()-15))</f>
        <v>135</v>
      </c>
      <c r="P136" s="5">
        <f t="shared" si="137"/>
        <v>180</v>
      </c>
      <c r="Q136" s="5">
        <f t="shared" si="137"/>
        <v>76</v>
      </c>
    </row>
    <row r="137" ht="14.25" customHeight="1">
      <c r="M137" s="6">
        <f t="shared" si="2"/>
        <v>37</v>
      </c>
      <c r="N137" s="6">
        <f t="shared" si="3"/>
        <v>7</v>
      </c>
      <c r="O137" s="5">
        <f t="shared" ref="O137:Q137" si="138">INDIRECT(ADDRESS($M137,$N137+COLUMN()-15))</f>
        <v>136</v>
      </c>
      <c r="P137" s="5">
        <f t="shared" si="138"/>
        <v>172</v>
      </c>
      <c r="Q137" s="5">
        <f t="shared" si="138"/>
        <v>70</v>
      </c>
    </row>
    <row r="138" ht="14.25" customHeight="1">
      <c r="M138" s="6">
        <f t="shared" si="2"/>
        <v>38</v>
      </c>
      <c r="N138" s="6">
        <f t="shared" si="3"/>
        <v>7</v>
      </c>
      <c r="O138" s="5">
        <f t="shared" ref="O138:Q138" si="139">INDIRECT(ADDRESS($M138,$N138+COLUMN()-15))</f>
        <v>137</v>
      </c>
      <c r="P138" s="5">
        <f t="shared" si="139"/>
        <v>174</v>
      </c>
      <c r="Q138" s="5">
        <f t="shared" si="139"/>
        <v>73</v>
      </c>
    </row>
    <row r="139" ht="14.25" customHeight="1">
      <c r="M139" s="6">
        <f t="shared" si="2"/>
        <v>39</v>
      </c>
      <c r="N139" s="6">
        <f t="shared" si="3"/>
        <v>7</v>
      </c>
      <c r="O139" s="5">
        <f t="shared" ref="O139:Q139" si="140">INDIRECT(ADDRESS($M139,$N139+COLUMN()-15))</f>
        <v>138</v>
      </c>
      <c r="P139" s="5">
        <f t="shared" si="140"/>
        <v>164</v>
      </c>
      <c r="Q139" s="5">
        <f t="shared" si="140"/>
        <v>60</v>
      </c>
    </row>
    <row r="140" ht="14.25" customHeight="1">
      <c r="M140" s="6">
        <f t="shared" si="2"/>
        <v>40</v>
      </c>
      <c r="N140" s="6">
        <f t="shared" si="3"/>
        <v>7</v>
      </c>
      <c r="O140" s="5">
        <f t="shared" ref="O140:Q140" si="141">INDIRECT(ADDRESS($M140,$N140+COLUMN()-15))</f>
        <v>139</v>
      </c>
      <c r="P140" s="5">
        <f t="shared" si="141"/>
        <v>169</v>
      </c>
      <c r="Q140" s="5">
        <f t="shared" si="141"/>
        <v>75</v>
      </c>
    </row>
    <row r="141" ht="14.25" customHeight="1">
      <c r="M141" s="6">
        <f t="shared" si="2"/>
        <v>41</v>
      </c>
      <c r="N141" s="6">
        <f t="shared" si="3"/>
        <v>7</v>
      </c>
      <c r="O141" s="5">
        <f t="shared" ref="O141:Q141" si="142">INDIRECT(ADDRESS($M141,$N141+COLUMN()-15))</f>
        <v>140</v>
      </c>
      <c r="P141" s="5">
        <f t="shared" si="142"/>
        <v>157</v>
      </c>
      <c r="Q141" s="5">
        <f t="shared" si="142"/>
        <v>60</v>
      </c>
    </row>
    <row r="142" ht="14.25" customHeight="1">
      <c r="M142" s="6">
        <f t="shared" si="2"/>
        <v>42</v>
      </c>
      <c r="N142" s="6">
        <f t="shared" si="3"/>
        <v>7</v>
      </c>
      <c r="O142" s="5">
        <f t="shared" ref="O142:Q142" si="143">INDIRECT(ADDRESS($M142,$N142+COLUMN()-15))</f>
        <v>141</v>
      </c>
      <c r="P142" s="5">
        <f t="shared" si="143"/>
        <v>178</v>
      </c>
      <c r="Q142" s="5">
        <f t="shared" si="143"/>
        <v>60</v>
      </c>
    </row>
    <row r="143" ht="14.25" customHeight="1">
      <c r="M143" s="6">
        <f t="shared" si="2"/>
        <v>43</v>
      </c>
      <c r="N143" s="6">
        <f t="shared" si="3"/>
        <v>7</v>
      </c>
      <c r="O143" s="5">
        <f t="shared" ref="O143:Q143" si="144">INDIRECT(ADDRESS($M143,$N143+COLUMN()-15))</f>
        <v>142</v>
      </c>
      <c r="P143" s="5">
        <f t="shared" si="144"/>
        <v>176</v>
      </c>
      <c r="Q143" s="5">
        <f t="shared" si="144"/>
        <v>77</v>
      </c>
    </row>
    <row r="144" ht="14.25" customHeight="1">
      <c r="M144" s="6">
        <f t="shared" si="2"/>
        <v>44</v>
      </c>
      <c r="N144" s="6">
        <f t="shared" si="3"/>
        <v>7</v>
      </c>
      <c r="O144" s="5">
        <f t="shared" ref="O144:Q144" si="145">INDIRECT(ADDRESS($M144,$N144+COLUMN()-15))</f>
        <v>143</v>
      </c>
      <c r="P144" s="5">
        <f t="shared" si="145"/>
        <v>161</v>
      </c>
      <c r="Q144" s="5">
        <f t="shared" si="145"/>
        <v>66</v>
      </c>
    </row>
    <row r="145" ht="14.25" customHeight="1">
      <c r="M145" s="6">
        <f t="shared" si="2"/>
        <v>45</v>
      </c>
      <c r="N145" s="6">
        <f t="shared" si="3"/>
        <v>7</v>
      </c>
      <c r="O145" s="5">
        <f t="shared" ref="O145:Q145" si="146">INDIRECT(ADDRESS($M145,$N145+COLUMN()-15))</f>
        <v>144</v>
      </c>
      <c r="P145" s="5">
        <f t="shared" si="146"/>
        <v>176</v>
      </c>
      <c r="Q145" s="5">
        <f t="shared" si="146"/>
        <v>70</v>
      </c>
    </row>
    <row r="146" ht="14.25" customHeight="1">
      <c r="M146" s="6">
        <f t="shared" si="2"/>
        <v>46</v>
      </c>
      <c r="N146" s="6">
        <f t="shared" si="3"/>
        <v>7</v>
      </c>
      <c r="O146" s="5">
        <f t="shared" ref="O146:Q146" si="147">INDIRECT(ADDRESS($M146,$N146+COLUMN()-15))</f>
        <v>145</v>
      </c>
      <c r="P146" s="5">
        <f t="shared" si="147"/>
        <v>165</v>
      </c>
      <c r="Q146" s="5">
        <f t="shared" si="147"/>
        <v>61</v>
      </c>
    </row>
    <row r="147" ht="14.25" customHeight="1">
      <c r="M147" s="6">
        <f t="shared" si="2"/>
        <v>47</v>
      </c>
      <c r="N147" s="6">
        <f t="shared" si="3"/>
        <v>7</v>
      </c>
      <c r="O147" s="5">
        <f t="shared" ref="O147:Q147" si="148">INDIRECT(ADDRESS($M147,$N147+COLUMN()-15))</f>
        <v>146</v>
      </c>
      <c r="P147" s="5">
        <f t="shared" si="148"/>
        <v>161</v>
      </c>
      <c r="Q147" s="5">
        <f t="shared" si="148"/>
        <v>55</v>
      </c>
    </row>
    <row r="148" ht="14.25" customHeight="1">
      <c r="M148" s="6">
        <f t="shared" si="2"/>
        <v>48</v>
      </c>
      <c r="N148" s="6">
        <f t="shared" si="3"/>
        <v>7</v>
      </c>
      <c r="O148" s="5">
        <f t="shared" ref="O148:Q148" si="149">INDIRECT(ADDRESS($M148,$N148+COLUMN()-15))</f>
        <v>147</v>
      </c>
      <c r="P148" s="5">
        <f t="shared" si="149"/>
        <v>182</v>
      </c>
      <c r="Q148" s="5">
        <f t="shared" si="149"/>
        <v>76</v>
      </c>
    </row>
    <row r="149" ht="14.25" customHeight="1">
      <c r="M149" s="6">
        <f t="shared" si="2"/>
        <v>49</v>
      </c>
      <c r="N149" s="6">
        <f t="shared" si="3"/>
        <v>7</v>
      </c>
      <c r="O149" s="5">
        <f t="shared" ref="O149:Q149" si="150">INDIRECT(ADDRESS($M149,$N149+COLUMN()-15))</f>
        <v>148</v>
      </c>
      <c r="P149" s="5">
        <f t="shared" si="150"/>
        <v>176</v>
      </c>
      <c r="Q149" s="5">
        <f t="shared" si="150"/>
        <v>72</v>
      </c>
    </row>
    <row r="150" ht="14.25" customHeight="1">
      <c r="M150" s="6">
        <f t="shared" si="2"/>
        <v>50</v>
      </c>
      <c r="N150" s="6">
        <f t="shared" si="3"/>
        <v>7</v>
      </c>
      <c r="O150" s="5">
        <f t="shared" ref="O150:Q150" si="151">INDIRECT(ADDRESS($M150,$N150+COLUMN()-15))</f>
        <v>149</v>
      </c>
      <c r="P150" s="5">
        <f t="shared" si="151"/>
        <v>168</v>
      </c>
      <c r="Q150" s="5">
        <f t="shared" si="151"/>
        <v>63</v>
      </c>
    </row>
    <row r="151" ht="14.25" customHeight="1">
      <c r="M151" s="6">
        <f t="shared" si="2"/>
        <v>51</v>
      </c>
      <c r="N151" s="6">
        <f t="shared" si="3"/>
        <v>7</v>
      </c>
      <c r="O151" s="5">
        <f t="shared" ref="O151:Q151" si="152">INDIRECT(ADDRESS($M151,$N151+COLUMN()-15))</f>
        <v>150</v>
      </c>
      <c r="P151" s="5">
        <f t="shared" si="152"/>
        <v>164</v>
      </c>
      <c r="Q151" s="5">
        <f t="shared" si="152"/>
        <v>59</v>
      </c>
    </row>
    <row r="152" ht="14.25" customHeight="1">
      <c r="M152" s="6">
        <f t="shared" si="2"/>
        <v>2</v>
      </c>
      <c r="N152" s="6">
        <f t="shared" si="3"/>
        <v>10</v>
      </c>
      <c r="O152" s="5">
        <f t="shared" ref="O152:Q152" si="153">INDIRECT(ADDRESS($M152,$N152+COLUMN()-15))</f>
        <v>151</v>
      </c>
      <c r="P152" s="5">
        <f t="shared" si="153"/>
        <v>165</v>
      </c>
      <c r="Q152" s="5">
        <f t="shared" si="153"/>
        <v>60</v>
      </c>
    </row>
    <row r="153" ht="14.25" customHeight="1">
      <c r="M153" s="6">
        <f t="shared" si="2"/>
        <v>3</v>
      </c>
      <c r="N153" s="6">
        <f t="shared" si="3"/>
        <v>10</v>
      </c>
      <c r="O153" s="5">
        <f t="shared" ref="O153:Q153" si="154">INDIRECT(ADDRESS($M153,$N153+COLUMN()-15))</f>
        <v>152</v>
      </c>
      <c r="P153" s="5">
        <f t="shared" si="154"/>
        <v>163</v>
      </c>
      <c r="Q153" s="5">
        <f t="shared" si="154"/>
        <v>63</v>
      </c>
    </row>
    <row r="154" ht="14.25" customHeight="1">
      <c r="M154" s="6">
        <f t="shared" si="2"/>
        <v>4</v>
      </c>
      <c r="N154" s="6">
        <f t="shared" si="3"/>
        <v>10</v>
      </c>
      <c r="O154" s="5">
        <f t="shared" ref="O154:Q154" si="155">INDIRECT(ADDRESS($M154,$N154+COLUMN()-15))</f>
        <v>153</v>
      </c>
      <c r="P154" s="5">
        <f t="shared" si="155"/>
        <v>171</v>
      </c>
      <c r="Q154" s="5">
        <f t="shared" si="155"/>
        <v>57</v>
      </c>
    </row>
    <row r="155" ht="14.25" customHeight="1">
      <c r="M155" s="6">
        <f t="shared" si="2"/>
        <v>5</v>
      </c>
      <c r="N155" s="6">
        <f t="shared" si="3"/>
        <v>10</v>
      </c>
      <c r="O155" s="5">
        <f t="shared" ref="O155:Q155" si="156">INDIRECT(ADDRESS($M155,$N155+COLUMN()-15))</f>
        <v>154</v>
      </c>
      <c r="P155" s="5">
        <f t="shared" si="156"/>
        <v>172</v>
      </c>
      <c r="Q155" s="5">
        <f t="shared" si="156"/>
        <v>67</v>
      </c>
    </row>
    <row r="156" ht="14.25" customHeight="1">
      <c r="M156" s="6">
        <f t="shared" si="2"/>
        <v>6</v>
      </c>
      <c r="N156" s="6">
        <f t="shared" si="3"/>
        <v>10</v>
      </c>
      <c r="O156" s="5">
        <f t="shared" ref="O156:Q156" si="157">INDIRECT(ADDRESS($M156,$N156+COLUMN()-15))</f>
        <v>155</v>
      </c>
      <c r="P156" s="5">
        <f t="shared" si="157"/>
        <v>175</v>
      </c>
      <c r="Q156" s="5">
        <f t="shared" si="157"/>
        <v>67</v>
      </c>
    </row>
    <row r="157" ht="14.25" customHeight="1">
      <c r="M157" s="6">
        <f t="shared" si="2"/>
        <v>7</v>
      </c>
      <c r="N157" s="6">
        <f t="shared" si="3"/>
        <v>10</v>
      </c>
      <c r="O157" s="5">
        <f t="shared" ref="O157:Q157" si="158">INDIRECT(ADDRESS($M157,$N157+COLUMN()-15))</f>
        <v>156</v>
      </c>
      <c r="P157" s="5">
        <f t="shared" si="158"/>
        <v>172</v>
      </c>
      <c r="Q157" s="5">
        <f t="shared" si="158"/>
        <v>70</v>
      </c>
    </row>
    <row r="158" ht="14.25" customHeight="1">
      <c r="M158" s="6">
        <f t="shared" si="2"/>
        <v>8</v>
      </c>
      <c r="N158" s="6">
        <f t="shared" si="3"/>
        <v>10</v>
      </c>
      <c r="O158" s="5">
        <f t="shared" ref="O158:Q158" si="159">INDIRECT(ADDRESS($M158,$N158+COLUMN()-15))</f>
        <v>157</v>
      </c>
      <c r="P158" s="5">
        <f t="shared" si="159"/>
        <v>162</v>
      </c>
      <c r="Q158" s="5">
        <f t="shared" si="159"/>
        <v>54</v>
      </c>
    </row>
    <row r="159" ht="14.25" customHeight="1">
      <c r="M159" s="6">
        <f t="shared" si="2"/>
        <v>9</v>
      </c>
      <c r="N159" s="6">
        <f t="shared" si="3"/>
        <v>10</v>
      </c>
      <c r="O159" s="5">
        <f t="shared" ref="O159:Q159" si="160">INDIRECT(ADDRESS($M159,$N159+COLUMN()-15))</f>
        <v>158</v>
      </c>
      <c r="P159" s="5">
        <f t="shared" si="160"/>
        <v>163</v>
      </c>
      <c r="Q159" s="5">
        <f t="shared" si="160"/>
        <v>60</v>
      </c>
    </row>
    <row r="160" ht="14.25" customHeight="1">
      <c r="M160" s="6">
        <f t="shared" si="2"/>
        <v>10</v>
      </c>
      <c r="N160" s="6">
        <f t="shared" si="3"/>
        <v>10</v>
      </c>
      <c r="O160" s="5">
        <f t="shared" ref="O160:Q160" si="161">INDIRECT(ADDRESS($M160,$N160+COLUMN()-15))</f>
        <v>159</v>
      </c>
      <c r="P160" s="5">
        <f t="shared" si="161"/>
        <v>173</v>
      </c>
      <c r="Q160" s="5">
        <f t="shared" si="161"/>
        <v>66</v>
      </c>
    </row>
    <row r="161" ht="14.25" customHeight="1">
      <c r="M161" s="6">
        <f t="shared" si="2"/>
        <v>11</v>
      </c>
      <c r="N161" s="6">
        <f t="shared" si="3"/>
        <v>10</v>
      </c>
      <c r="O161" s="5">
        <f t="shared" ref="O161:Q161" si="162">INDIRECT(ADDRESS($M161,$N161+COLUMN()-15))</f>
        <v>160</v>
      </c>
      <c r="P161" s="5">
        <f t="shared" si="162"/>
        <v>174</v>
      </c>
      <c r="Q161" s="5">
        <f t="shared" si="162"/>
        <v>79</v>
      </c>
    </row>
    <row r="162" ht="14.25" customHeight="1">
      <c r="M162" s="6">
        <f t="shared" si="2"/>
        <v>12</v>
      </c>
      <c r="N162" s="6">
        <f t="shared" si="3"/>
        <v>10</v>
      </c>
      <c r="O162" s="5">
        <f t="shared" ref="O162:Q162" si="163">INDIRECT(ADDRESS($M162,$N162+COLUMN()-15))</f>
        <v>161</v>
      </c>
      <c r="P162" s="5">
        <f t="shared" si="163"/>
        <v>164</v>
      </c>
      <c r="Q162" s="5">
        <f t="shared" si="163"/>
        <v>61</v>
      </c>
    </row>
    <row r="163" ht="14.25" customHeight="1">
      <c r="M163" s="6">
        <f t="shared" si="2"/>
        <v>13</v>
      </c>
      <c r="N163" s="6">
        <f t="shared" si="3"/>
        <v>10</v>
      </c>
      <c r="O163" s="5">
        <f t="shared" ref="O163:Q163" si="164">INDIRECT(ADDRESS($M163,$N163+COLUMN()-15))</f>
        <v>162</v>
      </c>
      <c r="P163" s="5">
        <f t="shared" si="164"/>
        <v>176</v>
      </c>
      <c r="Q163" s="5">
        <f t="shared" si="164"/>
        <v>71</v>
      </c>
    </row>
    <row r="164" ht="14.25" customHeight="1">
      <c r="M164" s="6">
        <f t="shared" si="2"/>
        <v>14</v>
      </c>
      <c r="N164" s="6">
        <f t="shared" si="3"/>
        <v>10</v>
      </c>
      <c r="O164" s="5">
        <f t="shared" ref="O164:Q164" si="165">INDIRECT(ADDRESS($M164,$N164+COLUMN()-15))</f>
        <v>163</v>
      </c>
      <c r="P164" s="5">
        <f t="shared" si="165"/>
        <v>171</v>
      </c>
      <c r="Q164" s="5">
        <f t="shared" si="165"/>
        <v>66</v>
      </c>
    </row>
    <row r="165" ht="14.25" customHeight="1">
      <c r="M165" s="6">
        <f t="shared" si="2"/>
        <v>15</v>
      </c>
      <c r="N165" s="6">
        <f t="shared" si="3"/>
        <v>10</v>
      </c>
      <c r="O165" s="5">
        <f t="shared" ref="O165:Q165" si="166">INDIRECT(ADDRESS($M165,$N165+COLUMN()-15))</f>
        <v>164</v>
      </c>
      <c r="P165" s="5">
        <f t="shared" si="166"/>
        <v>173</v>
      </c>
      <c r="Q165" s="5">
        <f t="shared" si="166"/>
        <v>69</v>
      </c>
    </row>
    <row r="166" ht="14.25" customHeight="1">
      <c r="M166" s="6">
        <f t="shared" si="2"/>
        <v>16</v>
      </c>
      <c r="N166" s="6">
        <f t="shared" si="3"/>
        <v>10</v>
      </c>
      <c r="O166" s="5">
        <f t="shared" ref="O166:Q166" si="167">INDIRECT(ADDRESS($M166,$N166+COLUMN()-15))</f>
        <v>165</v>
      </c>
      <c r="P166" s="5">
        <f t="shared" si="167"/>
        <v>169</v>
      </c>
      <c r="Q166" s="5">
        <f t="shared" si="167"/>
        <v>68</v>
      </c>
    </row>
    <row r="167" ht="14.25" customHeight="1">
      <c r="M167" s="6">
        <f t="shared" si="2"/>
        <v>17</v>
      </c>
      <c r="N167" s="6">
        <f t="shared" si="3"/>
        <v>10</v>
      </c>
      <c r="O167" s="5">
        <f t="shared" ref="O167:Q167" si="168">INDIRECT(ADDRESS($M167,$N167+COLUMN()-15))</f>
        <v>166</v>
      </c>
      <c r="P167" s="5">
        <f t="shared" si="168"/>
        <v>166</v>
      </c>
      <c r="Q167" s="5">
        <f t="shared" si="168"/>
        <v>61</v>
      </c>
    </row>
    <row r="168" ht="14.25" customHeight="1">
      <c r="M168" s="6">
        <f t="shared" si="2"/>
        <v>18</v>
      </c>
      <c r="N168" s="6">
        <f t="shared" si="3"/>
        <v>10</v>
      </c>
      <c r="O168" s="5">
        <f t="shared" ref="O168:Q168" si="169">INDIRECT(ADDRESS($M168,$N168+COLUMN()-15))</f>
        <v>167</v>
      </c>
      <c r="P168" s="5">
        <f t="shared" si="169"/>
        <v>173</v>
      </c>
      <c r="Q168" s="5">
        <f t="shared" si="169"/>
        <v>69</v>
      </c>
    </row>
    <row r="169" ht="14.25" customHeight="1">
      <c r="M169" s="6">
        <f t="shared" si="2"/>
        <v>19</v>
      </c>
      <c r="N169" s="6">
        <f t="shared" si="3"/>
        <v>10</v>
      </c>
      <c r="O169" s="5">
        <f t="shared" ref="O169:Q169" si="170">INDIRECT(ADDRESS($M169,$N169+COLUMN()-15))</f>
        <v>168</v>
      </c>
      <c r="P169" s="5">
        <f t="shared" si="170"/>
        <v>172</v>
      </c>
      <c r="Q169" s="5">
        <f t="shared" si="170"/>
        <v>74</v>
      </c>
    </row>
    <row r="170" ht="14.25" customHeight="1">
      <c r="M170" s="6">
        <f t="shared" si="2"/>
        <v>20</v>
      </c>
      <c r="N170" s="6">
        <f t="shared" si="3"/>
        <v>10</v>
      </c>
      <c r="O170" s="5">
        <f t="shared" ref="O170:Q170" si="171">INDIRECT(ADDRESS($M170,$N170+COLUMN()-15))</f>
        <v>169</v>
      </c>
      <c r="P170" s="5">
        <f t="shared" si="171"/>
        <v>173</v>
      </c>
      <c r="Q170" s="5">
        <f t="shared" si="171"/>
        <v>69</v>
      </c>
    </row>
    <row r="171" ht="14.25" customHeight="1">
      <c r="M171" s="6">
        <f t="shared" si="2"/>
        <v>21</v>
      </c>
      <c r="N171" s="6">
        <f t="shared" si="3"/>
        <v>10</v>
      </c>
      <c r="O171" s="5">
        <f t="shared" ref="O171:Q171" si="172">INDIRECT(ADDRESS($M171,$N171+COLUMN()-15))</f>
        <v>170</v>
      </c>
      <c r="P171" s="5">
        <f t="shared" si="172"/>
        <v>161</v>
      </c>
      <c r="Q171" s="5">
        <f t="shared" si="172"/>
        <v>55</v>
      </c>
    </row>
    <row r="172" ht="14.25" customHeight="1">
      <c r="M172" s="6">
        <f t="shared" si="2"/>
        <v>22</v>
      </c>
      <c r="N172" s="6">
        <f t="shared" si="3"/>
        <v>10</v>
      </c>
      <c r="O172" s="5">
        <f t="shared" ref="O172:Q172" si="173">INDIRECT(ADDRESS($M172,$N172+COLUMN()-15))</f>
        <v>171</v>
      </c>
      <c r="P172" s="5">
        <f t="shared" si="173"/>
        <v>169</v>
      </c>
      <c r="Q172" s="5">
        <f t="shared" si="173"/>
        <v>61</v>
      </c>
    </row>
    <row r="173" ht="14.25" customHeight="1">
      <c r="M173" s="6">
        <f t="shared" si="2"/>
        <v>23</v>
      </c>
      <c r="N173" s="6">
        <f t="shared" si="3"/>
        <v>10</v>
      </c>
      <c r="O173" s="5">
        <f t="shared" ref="O173:Q173" si="174">INDIRECT(ADDRESS($M173,$N173+COLUMN()-15))</f>
        <v>172</v>
      </c>
      <c r="P173" s="5">
        <f t="shared" si="174"/>
        <v>172</v>
      </c>
      <c r="Q173" s="5">
        <f t="shared" si="174"/>
        <v>63</v>
      </c>
    </row>
    <row r="174" ht="14.25" customHeight="1">
      <c r="M174" s="6">
        <f t="shared" si="2"/>
        <v>24</v>
      </c>
      <c r="N174" s="6">
        <f t="shared" si="3"/>
        <v>10</v>
      </c>
      <c r="O174" s="5">
        <f t="shared" ref="O174:Q174" si="175">INDIRECT(ADDRESS($M174,$N174+COLUMN()-15))</f>
        <v>173</v>
      </c>
      <c r="P174" s="5">
        <f t="shared" si="175"/>
        <v>168</v>
      </c>
      <c r="Q174" s="5">
        <f t="shared" si="175"/>
        <v>70</v>
      </c>
    </row>
    <row r="175" ht="14.25" customHeight="1">
      <c r="M175" s="6">
        <f t="shared" si="2"/>
        <v>25</v>
      </c>
      <c r="N175" s="6">
        <f t="shared" si="3"/>
        <v>10</v>
      </c>
      <c r="O175" s="5">
        <f t="shared" ref="O175:Q175" si="176">INDIRECT(ADDRESS($M175,$N175+COLUMN()-15))</f>
        <v>174</v>
      </c>
      <c r="P175" s="5">
        <f t="shared" si="176"/>
        <v>171</v>
      </c>
      <c r="Q175" s="5">
        <f t="shared" si="176"/>
        <v>66</v>
      </c>
    </row>
    <row r="176" ht="14.25" customHeight="1">
      <c r="M176" s="6">
        <f t="shared" si="2"/>
        <v>26</v>
      </c>
      <c r="N176" s="6">
        <f t="shared" si="3"/>
        <v>10</v>
      </c>
      <c r="O176" s="5">
        <f t="shared" ref="O176:Q176" si="177">INDIRECT(ADDRESS($M176,$N176+COLUMN()-15))</f>
        <v>175</v>
      </c>
      <c r="P176" s="5">
        <f t="shared" si="177"/>
        <v>173</v>
      </c>
      <c r="Q176" s="5">
        <f t="shared" si="177"/>
        <v>65</v>
      </c>
    </row>
    <row r="177" ht="14.25" customHeight="1">
      <c r="M177" s="6">
        <f t="shared" si="2"/>
        <v>27</v>
      </c>
      <c r="N177" s="6">
        <f t="shared" si="3"/>
        <v>10</v>
      </c>
      <c r="O177" s="5">
        <f t="shared" ref="O177:Q177" si="178">INDIRECT(ADDRESS($M177,$N177+COLUMN()-15))</f>
        <v>176</v>
      </c>
      <c r="P177" s="5">
        <f t="shared" si="178"/>
        <v>170</v>
      </c>
      <c r="Q177" s="5">
        <f t="shared" si="178"/>
        <v>61</v>
      </c>
    </row>
    <row r="178" ht="14.25" customHeight="1">
      <c r="M178" s="6">
        <f t="shared" si="2"/>
        <v>28</v>
      </c>
      <c r="N178" s="6">
        <f t="shared" si="3"/>
        <v>10</v>
      </c>
      <c r="O178" s="5">
        <f t="shared" ref="O178:Q178" si="179">INDIRECT(ADDRESS($M178,$N178+COLUMN()-15))</f>
        <v>177</v>
      </c>
      <c r="P178" s="5">
        <f t="shared" si="179"/>
        <v>163</v>
      </c>
      <c r="Q178" s="5">
        <f t="shared" si="179"/>
        <v>65</v>
      </c>
    </row>
    <row r="179" ht="14.25" customHeight="1">
      <c r="M179" s="6">
        <f t="shared" si="2"/>
        <v>29</v>
      </c>
      <c r="N179" s="6">
        <f t="shared" si="3"/>
        <v>10</v>
      </c>
      <c r="O179" s="5">
        <f t="shared" ref="O179:Q179" si="180">INDIRECT(ADDRESS($M179,$N179+COLUMN()-15))</f>
        <v>178</v>
      </c>
      <c r="P179" s="5">
        <f t="shared" si="180"/>
        <v>167</v>
      </c>
      <c r="Q179" s="5">
        <f t="shared" si="180"/>
        <v>55</v>
      </c>
    </row>
    <row r="180" ht="14.25" customHeight="1">
      <c r="M180" s="6">
        <f t="shared" si="2"/>
        <v>30</v>
      </c>
      <c r="N180" s="6">
        <f t="shared" si="3"/>
        <v>10</v>
      </c>
      <c r="O180" s="5">
        <f t="shared" ref="O180:Q180" si="181">INDIRECT(ADDRESS($M180,$N180+COLUMN()-15))</f>
        <v>179</v>
      </c>
      <c r="P180" s="5">
        <f t="shared" si="181"/>
        <v>171</v>
      </c>
      <c r="Q180" s="5">
        <f t="shared" si="181"/>
        <v>70</v>
      </c>
    </row>
    <row r="181" ht="14.25" customHeight="1">
      <c r="M181" s="6">
        <f t="shared" si="2"/>
        <v>31</v>
      </c>
      <c r="N181" s="6">
        <f t="shared" si="3"/>
        <v>10</v>
      </c>
      <c r="O181" s="5">
        <f t="shared" ref="O181:Q181" si="182">INDIRECT(ADDRESS($M181,$N181+COLUMN()-15))</f>
        <v>180</v>
      </c>
      <c r="P181" s="5">
        <f t="shared" si="182"/>
        <v>169</v>
      </c>
      <c r="Q181" s="5">
        <f t="shared" si="182"/>
        <v>70</v>
      </c>
    </row>
    <row r="182" ht="14.25" customHeight="1">
      <c r="M182" s="6">
        <f t="shared" si="2"/>
        <v>32</v>
      </c>
      <c r="N182" s="6">
        <f t="shared" si="3"/>
        <v>10</v>
      </c>
      <c r="O182" s="5">
        <f t="shared" ref="O182:Q182" si="183">INDIRECT(ADDRESS($M182,$N182+COLUMN()-15))</f>
        <v>181</v>
      </c>
      <c r="P182" s="5">
        <f t="shared" si="183"/>
        <v>170</v>
      </c>
      <c r="Q182" s="5">
        <f t="shared" si="183"/>
        <v>63</v>
      </c>
    </row>
    <row r="183" ht="14.25" customHeight="1">
      <c r="M183" s="6">
        <f t="shared" si="2"/>
        <v>33</v>
      </c>
      <c r="N183" s="6">
        <f t="shared" si="3"/>
        <v>10</v>
      </c>
      <c r="O183" s="5">
        <f t="shared" ref="O183:Q183" si="184">INDIRECT(ADDRESS($M183,$N183+COLUMN()-15))</f>
        <v>182</v>
      </c>
      <c r="P183" s="5">
        <f t="shared" si="184"/>
        <v>166</v>
      </c>
      <c r="Q183" s="5">
        <f t="shared" si="184"/>
        <v>63</v>
      </c>
    </row>
    <row r="184" ht="14.25" customHeight="1">
      <c r="M184" s="6">
        <f t="shared" si="2"/>
        <v>34</v>
      </c>
      <c r="N184" s="6">
        <f t="shared" si="3"/>
        <v>10</v>
      </c>
      <c r="O184" s="5">
        <f t="shared" ref="O184:Q184" si="185">INDIRECT(ADDRESS($M184,$N184+COLUMN()-15))</f>
        <v>183</v>
      </c>
      <c r="P184" s="5">
        <f t="shared" si="185"/>
        <v>172</v>
      </c>
      <c r="Q184" s="5">
        <f t="shared" si="185"/>
        <v>65</v>
      </c>
    </row>
    <row r="185" ht="14.25" customHeight="1">
      <c r="M185" s="6">
        <f t="shared" si="2"/>
        <v>35</v>
      </c>
      <c r="N185" s="6">
        <f t="shared" si="3"/>
        <v>10</v>
      </c>
      <c r="O185" s="5">
        <f t="shared" ref="O185:Q185" si="186">INDIRECT(ADDRESS($M185,$N185+COLUMN()-15))</f>
        <v>184</v>
      </c>
      <c r="P185" s="5">
        <f t="shared" si="186"/>
        <v>171</v>
      </c>
      <c r="Q185" s="5">
        <f t="shared" si="186"/>
        <v>64</v>
      </c>
    </row>
    <row r="186" ht="14.25" customHeight="1">
      <c r="M186" s="6">
        <f t="shared" si="2"/>
        <v>36</v>
      </c>
      <c r="N186" s="6">
        <f t="shared" si="3"/>
        <v>10</v>
      </c>
      <c r="O186" s="5">
        <f t="shared" ref="O186:Q186" si="187">INDIRECT(ADDRESS($M186,$N186+COLUMN()-15))</f>
        <v>185</v>
      </c>
      <c r="P186" s="5">
        <f t="shared" si="187"/>
        <v>166</v>
      </c>
      <c r="Q186" s="5">
        <f t="shared" si="187"/>
        <v>78</v>
      </c>
    </row>
    <row r="187" ht="14.25" customHeight="1">
      <c r="M187" s="6">
        <f t="shared" si="2"/>
        <v>37</v>
      </c>
      <c r="N187" s="6">
        <f t="shared" si="3"/>
        <v>10</v>
      </c>
      <c r="O187" s="5">
        <f t="shared" ref="O187:Q187" si="188">INDIRECT(ADDRESS($M187,$N187+COLUMN()-15))</f>
        <v>186</v>
      </c>
      <c r="P187" s="5">
        <f t="shared" si="188"/>
        <v>177</v>
      </c>
      <c r="Q187" s="5">
        <f t="shared" si="188"/>
        <v>72</v>
      </c>
    </row>
    <row r="188" ht="14.25" customHeight="1">
      <c r="M188" s="6">
        <f t="shared" si="2"/>
        <v>38</v>
      </c>
      <c r="N188" s="6">
        <f t="shared" si="3"/>
        <v>10</v>
      </c>
      <c r="O188" s="5">
        <f t="shared" ref="O188:Q188" si="189">INDIRECT(ADDRESS($M188,$N188+COLUMN()-15))</f>
        <v>187</v>
      </c>
      <c r="P188" s="5">
        <f t="shared" si="189"/>
        <v>171</v>
      </c>
      <c r="Q188" s="5">
        <f t="shared" si="189"/>
        <v>66</v>
      </c>
    </row>
    <row r="189" ht="14.25" customHeight="1">
      <c r="M189" s="6">
        <f t="shared" si="2"/>
        <v>39</v>
      </c>
      <c r="N189" s="6">
        <f t="shared" si="3"/>
        <v>10</v>
      </c>
      <c r="O189" s="5">
        <f t="shared" ref="O189:Q189" si="190">INDIRECT(ADDRESS($M189,$N189+COLUMN()-15))</f>
        <v>188</v>
      </c>
      <c r="P189" s="5">
        <f t="shared" si="190"/>
        <v>164</v>
      </c>
      <c r="Q189" s="5">
        <f t="shared" si="190"/>
        <v>62</v>
      </c>
    </row>
    <row r="190" ht="14.25" customHeight="1">
      <c r="M190" s="6">
        <f t="shared" si="2"/>
        <v>40</v>
      </c>
      <c r="N190" s="6">
        <f t="shared" si="3"/>
        <v>10</v>
      </c>
      <c r="O190" s="5">
        <f t="shared" ref="O190:Q190" si="191">INDIRECT(ADDRESS($M190,$N190+COLUMN()-15))</f>
        <v>189</v>
      </c>
      <c r="P190" s="5">
        <f t="shared" si="191"/>
        <v>169</v>
      </c>
      <c r="Q190" s="5">
        <f t="shared" si="191"/>
        <v>66</v>
      </c>
    </row>
    <row r="191" ht="14.25" customHeight="1">
      <c r="M191" s="6">
        <f t="shared" si="2"/>
        <v>41</v>
      </c>
      <c r="N191" s="6">
        <f t="shared" si="3"/>
        <v>10</v>
      </c>
      <c r="O191" s="5">
        <f t="shared" ref="O191:Q191" si="192">INDIRECT(ADDRESS($M191,$N191+COLUMN()-15))</f>
        <v>190</v>
      </c>
      <c r="P191" s="5">
        <f t="shared" si="192"/>
        <v>167</v>
      </c>
      <c r="Q191" s="5">
        <f t="shared" si="192"/>
        <v>67</v>
      </c>
    </row>
    <row r="192" ht="14.25" customHeight="1">
      <c r="M192" s="6">
        <f t="shared" si="2"/>
        <v>42</v>
      </c>
      <c r="N192" s="6">
        <f t="shared" si="3"/>
        <v>10</v>
      </c>
      <c r="O192" s="5">
        <f t="shared" ref="O192:Q192" si="193">INDIRECT(ADDRESS($M192,$N192+COLUMN()-15))</f>
        <v>191</v>
      </c>
      <c r="P192" s="5">
        <f t="shared" si="193"/>
        <v>168</v>
      </c>
      <c r="Q192" s="5">
        <f t="shared" si="193"/>
        <v>67</v>
      </c>
    </row>
    <row r="193" ht="14.25" customHeight="1">
      <c r="M193" s="6">
        <f t="shared" si="2"/>
        <v>43</v>
      </c>
      <c r="N193" s="6">
        <f t="shared" si="3"/>
        <v>10</v>
      </c>
      <c r="O193" s="5">
        <f t="shared" ref="O193:Q193" si="194">INDIRECT(ADDRESS($M193,$N193+COLUMN()-15))</f>
        <v>192</v>
      </c>
      <c r="P193" s="5">
        <f t="shared" si="194"/>
        <v>169</v>
      </c>
      <c r="Q193" s="5">
        <f t="shared" si="194"/>
        <v>66</v>
      </c>
    </row>
    <row r="194" ht="14.25" customHeight="1">
      <c r="M194" s="6">
        <f t="shared" si="2"/>
        <v>44</v>
      </c>
      <c r="N194" s="6">
        <f t="shared" si="3"/>
        <v>10</v>
      </c>
      <c r="O194" s="5">
        <f t="shared" ref="O194:Q194" si="195">INDIRECT(ADDRESS($M194,$N194+COLUMN()-15))</f>
        <v>193</v>
      </c>
      <c r="P194" s="5">
        <f t="shared" si="195"/>
        <v>165</v>
      </c>
      <c r="Q194" s="5">
        <f t="shared" si="195"/>
        <v>63</v>
      </c>
    </row>
    <row r="195" ht="14.25" customHeight="1">
      <c r="M195" s="6">
        <f t="shared" si="2"/>
        <v>45</v>
      </c>
      <c r="N195" s="6">
        <f t="shared" si="3"/>
        <v>10</v>
      </c>
      <c r="O195" s="5">
        <f t="shared" ref="O195:Q195" si="196">INDIRECT(ADDRESS($M195,$N195+COLUMN()-15))</f>
        <v>194</v>
      </c>
      <c r="P195" s="5">
        <f t="shared" si="196"/>
        <v>174</v>
      </c>
      <c r="Q195" s="5">
        <f t="shared" si="196"/>
        <v>74</v>
      </c>
    </row>
    <row r="196" ht="14.25" customHeight="1">
      <c r="M196" s="6">
        <f t="shared" si="2"/>
        <v>46</v>
      </c>
      <c r="N196" s="6">
        <f t="shared" si="3"/>
        <v>10</v>
      </c>
      <c r="O196" s="5">
        <f t="shared" ref="O196:Q196" si="197">INDIRECT(ADDRESS($M196,$N196+COLUMN()-15))</f>
        <v>195</v>
      </c>
      <c r="P196" s="5">
        <f t="shared" si="197"/>
        <v>171</v>
      </c>
      <c r="Q196" s="5">
        <f t="shared" si="197"/>
        <v>69</v>
      </c>
    </row>
    <row r="197" ht="14.25" customHeight="1">
      <c r="M197" s="6">
        <f t="shared" si="2"/>
        <v>47</v>
      </c>
      <c r="N197" s="6">
        <f t="shared" si="3"/>
        <v>10</v>
      </c>
      <c r="O197" s="5">
        <f t="shared" ref="O197:Q197" si="198">INDIRECT(ADDRESS($M197,$N197+COLUMN()-15))</f>
        <v>196</v>
      </c>
      <c r="P197" s="5">
        <f t="shared" si="198"/>
        <v>168</v>
      </c>
      <c r="Q197" s="5">
        <f t="shared" si="198"/>
        <v>70</v>
      </c>
    </row>
    <row r="198" ht="14.25" customHeight="1">
      <c r="M198" s="6">
        <f t="shared" si="2"/>
        <v>48</v>
      </c>
      <c r="N198" s="6">
        <f t="shared" si="3"/>
        <v>10</v>
      </c>
      <c r="O198" s="5">
        <f t="shared" ref="O198:Q198" si="199">INDIRECT(ADDRESS($M198,$N198+COLUMN()-15))</f>
        <v>197</v>
      </c>
      <c r="P198" s="5">
        <f t="shared" si="199"/>
        <v>171</v>
      </c>
      <c r="Q198" s="5">
        <f t="shared" si="199"/>
        <v>65</v>
      </c>
    </row>
    <row r="199" ht="14.25" customHeight="1">
      <c r="M199" s="6">
        <f t="shared" si="2"/>
        <v>49</v>
      </c>
      <c r="N199" s="6">
        <f t="shared" si="3"/>
        <v>10</v>
      </c>
      <c r="O199" s="5">
        <f t="shared" ref="O199:Q199" si="200">INDIRECT(ADDRESS($M199,$N199+COLUMN()-15))</f>
        <v>198</v>
      </c>
      <c r="P199" s="5">
        <f t="shared" si="200"/>
        <v>171</v>
      </c>
      <c r="Q199" s="5">
        <f t="shared" si="200"/>
        <v>69</v>
      </c>
    </row>
    <row r="200" ht="14.25" customHeight="1">
      <c r="M200" s="6">
        <f t="shared" si="2"/>
        <v>50</v>
      </c>
      <c r="N200" s="6">
        <f t="shared" si="3"/>
        <v>10</v>
      </c>
      <c r="O200" s="5">
        <f t="shared" ref="O200:Q200" si="201">INDIRECT(ADDRESS($M200,$N200+COLUMN()-15))</f>
        <v>199</v>
      </c>
      <c r="P200" s="5">
        <f t="shared" si="201"/>
        <v>172</v>
      </c>
      <c r="Q200" s="5">
        <f t="shared" si="201"/>
        <v>69</v>
      </c>
    </row>
    <row r="201" ht="14.25" customHeight="1">
      <c r="M201" s="6">
        <f t="shared" si="2"/>
        <v>51</v>
      </c>
      <c r="N201" s="6">
        <f t="shared" si="3"/>
        <v>10</v>
      </c>
      <c r="O201" s="5">
        <f t="shared" ref="O201:Q201" si="202">INDIRECT(ADDRESS($M201,$N201+COLUMN()-15))</f>
        <v>200</v>
      </c>
      <c r="P201" s="5">
        <f t="shared" si="202"/>
        <v>167</v>
      </c>
      <c r="Q201" s="5">
        <f t="shared" si="202"/>
        <v>63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 t="s">
        <v>12</v>
      </c>
      <c r="B1" s="6" t="s">
        <v>13</v>
      </c>
    </row>
    <row r="2" ht="14.25" customHeight="1">
      <c r="A2" s="6">
        <f t="array" ref="A2:A201">SORT(data!P$2:P$201)</f>
        <v>156</v>
      </c>
      <c r="B2" s="6">
        <f t="array" ref="B2:B201">SORT(data!Q$2:Q$201)</f>
        <v>48</v>
      </c>
    </row>
    <row r="3" ht="14.25" customHeight="1">
      <c r="A3" s="6">
        <v>157.0</v>
      </c>
      <c r="B3" s="6">
        <v>50.0</v>
      </c>
    </row>
    <row r="4" ht="14.25" customHeight="1">
      <c r="A4" s="6">
        <v>158.0</v>
      </c>
      <c r="B4" s="6">
        <v>51.0</v>
      </c>
    </row>
    <row r="5" ht="14.25" customHeight="1">
      <c r="A5" s="6">
        <v>159.0</v>
      </c>
      <c r="B5" s="6">
        <v>53.0</v>
      </c>
    </row>
    <row r="6" ht="14.25" customHeight="1">
      <c r="A6" s="6">
        <v>159.0</v>
      </c>
      <c r="B6" s="6">
        <v>54.0</v>
      </c>
    </row>
    <row r="7" ht="14.25" customHeight="1">
      <c r="A7" s="6">
        <v>159.0</v>
      </c>
      <c r="B7" s="6">
        <v>55.0</v>
      </c>
    </row>
    <row r="8" ht="14.25" customHeight="1">
      <c r="A8" s="6">
        <v>159.0</v>
      </c>
      <c r="B8" s="6">
        <v>55.0</v>
      </c>
    </row>
    <row r="9" ht="14.25" customHeight="1">
      <c r="A9" s="6">
        <v>160.0</v>
      </c>
      <c r="B9" s="6">
        <v>55.0</v>
      </c>
    </row>
    <row r="10" ht="14.25" customHeight="1">
      <c r="A10" s="6">
        <v>161.0</v>
      </c>
      <c r="B10" s="6">
        <v>55.0</v>
      </c>
    </row>
    <row r="11" ht="14.25" customHeight="1">
      <c r="A11" s="6">
        <v>161.0</v>
      </c>
      <c r="B11" s="6">
        <v>55.0</v>
      </c>
    </row>
    <row r="12" ht="14.25" customHeight="1">
      <c r="A12" s="6">
        <v>161.0</v>
      </c>
      <c r="B12" s="6">
        <v>55.0</v>
      </c>
    </row>
    <row r="13" ht="14.25" customHeight="1">
      <c r="A13" s="6">
        <v>161.0</v>
      </c>
      <c r="B13" s="6">
        <v>56.0</v>
      </c>
    </row>
    <row r="14" ht="14.25" customHeight="1">
      <c r="A14" s="6">
        <v>161.0</v>
      </c>
      <c r="B14" s="6">
        <v>56.0</v>
      </c>
    </row>
    <row r="15" ht="14.25" customHeight="1">
      <c r="A15" s="6">
        <v>161.0</v>
      </c>
      <c r="B15" s="6">
        <v>57.0</v>
      </c>
    </row>
    <row r="16" ht="14.25" customHeight="1">
      <c r="A16" s="6">
        <v>161.0</v>
      </c>
      <c r="B16" s="6">
        <v>57.0</v>
      </c>
    </row>
    <row r="17" ht="14.25" customHeight="1">
      <c r="A17" s="6">
        <v>162.0</v>
      </c>
      <c r="B17" s="6">
        <v>57.0</v>
      </c>
    </row>
    <row r="18" ht="14.25" customHeight="1">
      <c r="A18" s="6">
        <v>162.0</v>
      </c>
      <c r="B18" s="6">
        <v>57.0</v>
      </c>
    </row>
    <row r="19" ht="14.25" customHeight="1">
      <c r="A19" s="6">
        <v>162.0</v>
      </c>
      <c r="B19" s="6">
        <v>57.0</v>
      </c>
    </row>
    <row r="20" ht="14.25" customHeight="1">
      <c r="A20" s="6">
        <v>163.0</v>
      </c>
      <c r="B20" s="6">
        <v>58.0</v>
      </c>
    </row>
    <row r="21" ht="14.25" customHeight="1">
      <c r="A21" s="6">
        <v>163.0</v>
      </c>
      <c r="B21" s="6">
        <v>58.0</v>
      </c>
    </row>
    <row r="22" ht="14.25" customHeight="1">
      <c r="A22" s="6">
        <v>163.0</v>
      </c>
      <c r="B22" s="6">
        <v>59.0</v>
      </c>
    </row>
    <row r="23" ht="14.25" customHeight="1">
      <c r="A23" s="6">
        <v>163.0</v>
      </c>
      <c r="B23" s="6">
        <v>59.0</v>
      </c>
    </row>
    <row r="24" ht="14.25" customHeight="1">
      <c r="A24" s="6">
        <v>163.0</v>
      </c>
      <c r="B24" s="6">
        <v>59.0</v>
      </c>
    </row>
    <row r="25" ht="14.25" customHeight="1">
      <c r="A25" s="6">
        <v>163.0</v>
      </c>
      <c r="B25" s="6">
        <v>59.0</v>
      </c>
    </row>
    <row r="26" ht="14.25" customHeight="1">
      <c r="A26" s="6">
        <v>164.0</v>
      </c>
      <c r="B26" s="6">
        <v>59.0</v>
      </c>
    </row>
    <row r="27" ht="14.25" customHeight="1">
      <c r="A27" s="6">
        <v>164.0</v>
      </c>
      <c r="B27" s="6">
        <v>59.0</v>
      </c>
    </row>
    <row r="28" ht="14.25" customHeight="1">
      <c r="A28" s="6">
        <v>164.0</v>
      </c>
      <c r="B28" s="6">
        <v>59.0</v>
      </c>
    </row>
    <row r="29" ht="14.25" customHeight="1">
      <c r="A29" s="6">
        <v>164.0</v>
      </c>
      <c r="B29" s="6">
        <v>59.0</v>
      </c>
    </row>
    <row r="30" ht="14.25" customHeight="1">
      <c r="A30" s="6">
        <v>164.0</v>
      </c>
      <c r="B30" s="6">
        <v>59.0</v>
      </c>
    </row>
    <row r="31" ht="14.25" customHeight="1">
      <c r="A31" s="6">
        <v>164.0</v>
      </c>
      <c r="B31" s="6">
        <v>60.0</v>
      </c>
    </row>
    <row r="32" ht="14.25" customHeight="1">
      <c r="A32" s="6">
        <v>164.0</v>
      </c>
      <c r="B32" s="6">
        <v>60.0</v>
      </c>
    </row>
    <row r="33" ht="14.25" customHeight="1">
      <c r="A33" s="6">
        <v>164.0</v>
      </c>
      <c r="B33" s="6">
        <v>60.0</v>
      </c>
    </row>
    <row r="34" ht="14.25" customHeight="1">
      <c r="A34" s="6">
        <v>164.0</v>
      </c>
      <c r="B34" s="6">
        <v>60.0</v>
      </c>
    </row>
    <row r="35" ht="14.25" customHeight="1">
      <c r="A35" s="6">
        <v>164.0</v>
      </c>
      <c r="B35" s="6">
        <v>60.0</v>
      </c>
    </row>
    <row r="36" ht="14.25" customHeight="1">
      <c r="A36" s="6">
        <v>164.0</v>
      </c>
      <c r="B36" s="6">
        <v>60.0</v>
      </c>
    </row>
    <row r="37" ht="14.25" customHeight="1">
      <c r="A37" s="6">
        <v>164.0</v>
      </c>
      <c r="B37" s="6">
        <v>60.0</v>
      </c>
    </row>
    <row r="38" ht="14.25" customHeight="1">
      <c r="A38" s="6">
        <v>164.0</v>
      </c>
      <c r="B38" s="6">
        <v>60.0</v>
      </c>
    </row>
    <row r="39" ht="14.25" customHeight="1">
      <c r="A39" s="6">
        <v>164.0</v>
      </c>
      <c r="B39" s="6">
        <v>60.0</v>
      </c>
    </row>
    <row r="40" ht="14.25" customHeight="1">
      <c r="A40" s="6">
        <v>164.0</v>
      </c>
      <c r="B40" s="6">
        <v>60.0</v>
      </c>
    </row>
    <row r="41" ht="14.25" customHeight="1">
      <c r="A41" s="6">
        <v>165.0</v>
      </c>
      <c r="B41" s="6">
        <v>60.0</v>
      </c>
    </row>
    <row r="42" ht="14.25" customHeight="1">
      <c r="A42" s="6">
        <v>165.0</v>
      </c>
      <c r="B42" s="6">
        <v>60.0</v>
      </c>
    </row>
    <row r="43" ht="14.25" customHeight="1">
      <c r="A43" s="6">
        <v>165.0</v>
      </c>
      <c r="B43" s="6">
        <v>60.0</v>
      </c>
    </row>
    <row r="44" ht="14.25" customHeight="1">
      <c r="A44" s="6">
        <v>165.0</v>
      </c>
      <c r="B44" s="6">
        <v>60.0</v>
      </c>
    </row>
    <row r="45" ht="14.25" customHeight="1">
      <c r="A45" s="6">
        <v>165.0</v>
      </c>
      <c r="B45" s="6">
        <v>60.0</v>
      </c>
    </row>
    <row r="46" ht="14.25" customHeight="1">
      <c r="A46" s="6">
        <v>165.0</v>
      </c>
      <c r="B46" s="6">
        <v>60.0</v>
      </c>
    </row>
    <row r="47" ht="14.25" customHeight="1">
      <c r="A47" s="6">
        <v>165.0</v>
      </c>
      <c r="B47" s="6">
        <v>61.0</v>
      </c>
    </row>
    <row r="48" ht="14.25" customHeight="1">
      <c r="A48" s="6">
        <v>165.0</v>
      </c>
      <c r="B48" s="6">
        <v>61.0</v>
      </c>
    </row>
    <row r="49" ht="14.25" customHeight="1">
      <c r="A49" s="6">
        <v>165.0</v>
      </c>
      <c r="B49" s="6">
        <v>61.0</v>
      </c>
    </row>
    <row r="50" ht="14.25" customHeight="1">
      <c r="A50" s="6">
        <v>165.0</v>
      </c>
      <c r="B50" s="6">
        <v>61.0</v>
      </c>
    </row>
    <row r="51" ht="14.25" customHeight="1">
      <c r="A51" s="6">
        <v>165.0</v>
      </c>
      <c r="B51" s="6">
        <v>61.0</v>
      </c>
    </row>
    <row r="52" ht="14.25" customHeight="1">
      <c r="A52" s="6">
        <v>166.0</v>
      </c>
      <c r="B52" s="6">
        <v>61.0</v>
      </c>
    </row>
    <row r="53" ht="14.25" customHeight="1">
      <c r="A53" s="6">
        <v>166.0</v>
      </c>
      <c r="B53" s="6">
        <v>61.0</v>
      </c>
    </row>
    <row r="54" ht="14.25" customHeight="1">
      <c r="A54" s="6">
        <v>166.0</v>
      </c>
      <c r="B54" s="6">
        <v>61.0</v>
      </c>
    </row>
    <row r="55" ht="14.25" customHeight="1">
      <c r="A55" s="6">
        <v>166.0</v>
      </c>
      <c r="B55" s="6">
        <v>61.0</v>
      </c>
    </row>
    <row r="56" ht="14.25" customHeight="1">
      <c r="A56" s="6">
        <v>166.0</v>
      </c>
      <c r="B56" s="6">
        <v>61.0</v>
      </c>
    </row>
    <row r="57" ht="14.25" customHeight="1">
      <c r="A57" s="6">
        <v>166.0</v>
      </c>
      <c r="B57" s="6">
        <v>61.0</v>
      </c>
    </row>
    <row r="58" ht="14.25" customHeight="1">
      <c r="A58" s="6">
        <v>166.0</v>
      </c>
      <c r="B58" s="6">
        <v>61.0</v>
      </c>
    </row>
    <row r="59" ht="14.25" customHeight="1">
      <c r="A59" s="6">
        <v>166.0</v>
      </c>
      <c r="B59" s="6">
        <v>62.0</v>
      </c>
    </row>
    <row r="60" ht="14.25" customHeight="1">
      <c r="A60" s="6">
        <v>167.0</v>
      </c>
      <c r="B60" s="6">
        <v>62.0</v>
      </c>
    </row>
    <row r="61" ht="14.25" customHeight="1">
      <c r="A61" s="6">
        <v>167.0</v>
      </c>
      <c r="B61" s="6">
        <v>62.0</v>
      </c>
    </row>
    <row r="62" ht="14.25" customHeight="1">
      <c r="A62" s="6">
        <v>167.0</v>
      </c>
      <c r="B62" s="6">
        <v>62.0</v>
      </c>
    </row>
    <row r="63" ht="14.25" customHeight="1">
      <c r="A63" s="6">
        <v>167.0</v>
      </c>
      <c r="B63" s="6">
        <v>62.0</v>
      </c>
    </row>
    <row r="64" ht="14.25" customHeight="1">
      <c r="A64" s="6">
        <v>167.0</v>
      </c>
      <c r="B64" s="6">
        <v>62.0</v>
      </c>
    </row>
    <row r="65" ht="14.25" customHeight="1">
      <c r="A65" s="6">
        <v>167.0</v>
      </c>
      <c r="B65" s="6">
        <v>62.0</v>
      </c>
    </row>
    <row r="66" ht="14.25" customHeight="1">
      <c r="A66" s="6">
        <v>167.0</v>
      </c>
      <c r="B66" s="6">
        <v>62.0</v>
      </c>
    </row>
    <row r="67" ht="14.25" customHeight="1">
      <c r="A67" s="6">
        <v>167.0</v>
      </c>
      <c r="B67" s="6">
        <v>62.0</v>
      </c>
    </row>
    <row r="68" ht="14.25" customHeight="1">
      <c r="A68" s="6">
        <v>167.0</v>
      </c>
      <c r="B68" s="6">
        <v>63.0</v>
      </c>
    </row>
    <row r="69" ht="14.25" customHeight="1">
      <c r="A69" s="6">
        <v>167.0</v>
      </c>
      <c r="B69" s="6">
        <v>63.0</v>
      </c>
    </row>
    <row r="70" ht="14.25" customHeight="1">
      <c r="A70" s="6">
        <v>167.0</v>
      </c>
      <c r="B70" s="6">
        <v>63.0</v>
      </c>
    </row>
    <row r="71" ht="14.25" customHeight="1">
      <c r="A71" s="6">
        <v>168.0</v>
      </c>
      <c r="B71" s="6">
        <v>63.0</v>
      </c>
    </row>
    <row r="72" ht="14.25" customHeight="1">
      <c r="A72" s="6">
        <v>168.0</v>
      </c>
      <c r="B72" s="6">
        <v>63.0</v>
      </c>
    </row>
    <row r="73" ht="14.25" customHeight="1">
      <c r="A73" s="6">
        <v>168.0</v>
      </c>
      <c r="B73" s="6">
        <v>63.0</v>
      </c>
    </row>
    <row r="74" ht="14.25" customHeight="1">
      <c r="A74" s="6">
        <v>168.0</v>
      </c>
      <c r="B74" s="6">
        <v>63.0</v>
      </c>
    </row>
    <row r="75" ht="14.25" customHeight="1">
      <c r="A75" s="6">
        <v>168.0</v>
      </c>
      <c r="B75" s="6">
        <v>63.0</v>
      </c>
    </row>
    <row r="76" ht="14.25" customHeight="1">
      <c r="A76" s="6">
        <v>168.0</v>
      </c>
      <c r="B76" s="6">
        <v>63.0</v>
      </c>
    </row>
    <row r="77" ht="14.25" customHeight="1">
      <c r="A77" s="6">
        <v>168.0</v>
      </c>
      <c r="B77" s="6">
        <v>63.0</v>
      </c>
    </row>
    <row r="78" ht="14.25" customHeight="1">
      <c r="A78" s="6">
        <v>168.0</v>
      </c>
      <c r="B78" s="6">
        <v>63.0</v>
      </c>
    </row>
    <row r="79" ht="14.25" customHeight="1">
      <c r="A79" s="6">
        <v>168.0</v>
      </c>
      <c r="B79" s="6">
        <v>63.0</v>
      </c>
    </row>
    <row r="80" ht="14.25" customHeight="1">
      <c r="A80" s="6">
        <v>168.0</v>
      </c>
      <c r="B80" s="6">
        <v>63.0</v>
      </c>
    </row>
    <row r="81" ht="14.25" customHeight="1">
      <c r="A81" s="6">
        <v>168.0</v>
      </c>
      <c r="B81" s="6">
        <v>63.0</v>
      </c>
    </row>
    <row r="82" ht="14.25" customHeight="1">
      <c r="A82" s="6">
        <v>168.0</v>
      </c>
      <c r="B82" s="6">
        <v>63.0</v>
      </c>
    </row>
    <row r="83" ht="14.25" customHeight="1">
      <c r="A83" s="6">
        <v>168.0</v>
      </c>
      <c r="B83" s="6">
        <v>63.0</v>
      </c>
    </row>
    <row r="84" ht="14.25" customHeight="1">
      <c r="A84" s="6">
        <v>168.0</v>
      </c>
      <c r="B84" s="6">
        <v>63.0</v>
      </c>
    </row>
    <row r="85" ht="14.25" customHeight="1">
      <c r="A85" s="6">
        <v>168.0</v>
      </c>
      <c r="B85" s="6">
        <v>64.0</v>
      </c>
    </row>
    <row r="86" ht="14.25" customHeight="1">
      <c r="A86" s="6">
        <v>169.0</v>
      </c>
      <c r="B86" s="6">
        <v>64.0</v>
      </c>
    </row>
    <row r="87" ht="14.25" customHeight="1">
      <c r="A87" s="6">
        <v>169.0</v>
      </c>
      <c r="B87" s="6">
        <v>64.0</v>
      </c>
    </row>
    <row r="88" ht="14.25" customHeight="1">
      <c r="A88" s="6">
        <v>169.0</v>
      </c>
      <c r="B88" s="6">
        <v>64.0</v>
      </c>
    </row>
    <row r="89" ht="14.25" customHeight="1">
      <c r="A89" s="6">
        <v>169.0</v>
      </c>
      <c r="B89" s="6">
        <v>64.0</v>
      </c>
    </row>
    <row r="90" ht="14.25" customHeight="1">
      <c r="A90" s="6">
        <v>169.0</v>
      </c>
      <c r="B90" s="6">
        <v>64.0</v>
      </c>
    </row>
    <row r="91" ht="14.25" customHeight="1">
      <c r="A91" s="6">
        <v>169.0</v>
      </c>
      <c r="B91" s="6">
        <v>64.0</v>
      </c>
    </row>
    <row r="92" ht="14.25" customHeight="1">
      <c r="A92" s="6">
        <v>169.0</v>
      </c>
      <c r="B92" s="6">
        <v>64.0</v>
      </c>
    </row>
    <row r="93" ht="14.25" customHeight="1">
      <c r="A93" s="6">
        <v>169.0</v>
      </c>
      <c r="B93" s="6">
        <v>64.0</v>
      </c>
    </row>
    <row r="94" ht="14.25" customHeight="1">
      <c r="A94" s="6">
        <v>169.0</v>
      </c>
      <c r="B94" s="6">
        <v>64.0</v>
      </c>
    </row>
    <row r="95" ht="14.25" customHeight="1">
      <c r="A95" s="6">
        <v>169.0</v>
      </c>
      <c r="B95" s="6">
        <v>64.0</v>
      </c>
    </row>
    <row r="96" ht="14.25" customHeight="1">
      <c r="A96" s="6">
        <v>169.0</v>
      </c>
      <c r="B96" s="6">
        <v>65.0</v>
      </c>
    </row>
    <row r="97" ht="14.25" customHeight="1">
      <c r="A97" s="6">
        <v>169.0</v>
      </c>
      <c r="B97" s="6">
        <v>65.0</v>
      </c>
    </row>
    <row r="98" ht="14.25" customHeight="1">
      <c r="A98" s="6">
        <v>169.0</v>
      </c>
      <c r="B98" s="6">
        <v>65.0</v>
      </c>
    </row>
    <row r="99" ht="14.25" customHeight="1">
      <c r="A99" s="6">
        <v>170.0</v>
      </c>
      <c r="B99" s="6">
        <v>65.0</v>
      </c>
    </row>
    <row r="100" ht="14.25" customHeight="1">
      <c r="A100" s="6">
        <v>170.0</v>
      </c>
      <c r="B100" s="6">
        <v>65.0</v>
      </c>
    </row>
    <row r="101" ht="14.25" customHeight="1">
      <c r="A101" s="6">
        <v>170.0</v>
      </c>
      <c r="B101" s="6">
        <v>65.0</v>
      </c>
    </row>
    <row r="102" ht="14.25" customHeight="1">
      <c r="A102" s="6">
        <v>170.0</v>
      </c>
      <c r="B102" s="6">
        <v>65.0</v>
      </c>
    </row>
    <row r="103" ht="14.25" customHeight="1">
      <c r="A103" s="6">
        <v>170.0</v>
      </c>
      <c r="B103" s="6">
        <v>65.0</v>
      </c>
    </row>
    <row r="104" ht="14.25" customHeight="1">
      <c r="A104" s="6">
        <v>170.0</v>
      </c>
      <c r="B104" s="6">
        <v>65.0</v>
      </c>
    </row>
    <row r="105" ht="14.25" customHeight="1">
      <c r="A105" s="6">
        <v>170.0</v>
      </c>
      <c r="B105" s="6">
        <v>65.0</v>
      </c>
    </row>
    <row r="106" ht="14.25" customHeight="1">
      <c r="A106" s="6">
        <v>170.0</v>
      </c>
      <c r="B106" s="6">
        <v>66.0</v>
      </c>
    </row>
    <row r="107" ht="14.25" customHeight="1">
      <c r="A107" s="6">
        <v>170.0</v>
      </c>
      <c r="B107" s="6">
        <v>66.0</v>
      </c>
    </row>
    <row r="108" ht="14.25" customHeight="1">
      <c r="A108" s="6">
        <v>170.0</v>
      </c>
      <c r="B108" s="6">
        <v>66.0</v>
      </c>
    </row>
    <row r="109" ht="14.25" customHeight="1">
      <c r="A109" s="6">
        <v>170.0</v>
      </c>
      <c r="B109" s="6">
        <v>66.0</v>
      </c>
    </row>
    <row r="110" ht="14.25" customHeight="1">
      <c r="A110" s="6">
        <v>170.0</v>
      </c>
      <c r="B110" s="6">
        <v>66.0</v>
      </c>
    </row>
    <row r="111" ht="14.25" customHeight="1">
      <c r="A111" s="6">
        <v>170.0</v>
      </c>
      <c r="B111" s="6">
        <v>66.0</v>
      </c>
    </row>
    <row r="112" ht="14.25" customHeight="1">
      <c r="A112" s="6">
        <v>171.0</v>
      </c>
      <c r="B112" s="6">
        <v>66.0</v>
      </c>
    </row>
    <row r="113" ht="14.25" customHeight="1">
      <c r="A113" s="6">
        <v>171.0</v>
      </c>
      <c r="B113" s="6">
        <v>66.0</v>
      </c>
    </row>
    <row r="114" ht="14.25" customHeight="1">
      <c r="A114" s="6">
        <v>171.0</v>
      </c>
      <c r="B114" s="6">
        <v>66.0</v>
      </c>
    </row>
    <row r="115" ht="14.25" customHeight="1">
      <c r="A115" s="6">
        <v>171.0</v>
      </c>
      <c r="B115" s="6">
        <v>66.0</v>
      </c>
    </row>
    <row r="116" ht="14.25" customHeight="1">
      <c r="A116" s="6">
        <v>171.0</v>
      </c>
      <c r="B116" s="6">
        <v>66.0</v>
      </c>
    </row>
    <row r="117" ht="14.25" customHeight="1">
      <c r="A117" s="6">
        <v>171.0</v>
      </c>
      <c r="B117" s="6">
        <v>66.0</v>
      </c>
    </row>
    <row r="118" ht="14.25" customHeight="1">
      <c r="A118" s="6">
        <v>171.0</v>
      </c>
      <c r="B118" s="6">
        <v>66.0</v>
      </c>
    </row>
    <row r="119" ht="14.25" customHeight="1">
      <c r="A119" s="6">
        <v>171.0</v>
      </c>
      <c r="B119" s="6">
        <v>66.0</v>
      </c>
    </row>
    <row r="120" ht="14.25" customHeight="1">
      <c r="A120" s="6">
        <v>171.0</v>
      </c>
      <c r="B120" s="6">
        <v>66.0</v>
      </c>
    </row>
    <row r="121" ht="14.25" customHeight="1">
      <c r="A121" s="6">
        <v>171.0</v>
      </c>
      <c r="B121" s="6">
        <v>66.0</v>
      </c>
    </row>
    <row r="122" ht="14.25" customHeight="1">
      <c r="A122" s="6">
        <v>171.0</v>
      </c>
      <c r="B122" s="6">
        <v>66.0</v>
      </c>
    </row>
    <row r="123" ht="14.25" customHeight="1">
      <c r="A123" s="6">
        <v>171.0</v>
      </c>
      <c r="B123" s="6">
        <v>66.0</v>
      </c>
    </row>
    <row r="124" ht="14.25" customHeight="1">
      <c r="A124" s="6">
        <v>171.0</v>
      </c>
      <c r="B124" s="6">
        <v>67.0</v>
      </c>
    </row>
    <row r="125" ht="14.25" customHeight="1">
      <c r="A125" s="6">
        <v>171.0</v>
      </c>
      <c r="B125" s="6">
        <v>67.0</v>
      </c>
    </row>
    <row r="126" ht="14.25" customHeight="1">
      <c r="A126" s="6">
        <v>171.0</v>
      </c>
      <c r="B126" s="6">
        <v>67.0</v>
      </c>
    </row>
    <row r="127" ht="14.25" customHeight="1">
      <c r="A127" s="6">
        <v>171.0</v>
      </c>
      <c r="B127" s="6">
        <v>67.0</v>
      </c>
    </row>
    <row r="128" ht="14.25" customHeight="1">
      <c r="A128" s="6">
        <v>171.0</v>
      </c>
      <c r="B128" s="6">
        <v>67.0</v>
      </c>
    </row>
    <row r="129" ht="14.25" customHeight="1">
      <c r="A129" s="6">
        <v>171.0</v>
      </c>
      <c r="B129" s="6">
        <v>67.0</v>
      </c>
    </row>
    <row r="130" ht="14.25" customHeight="1">
      <c r="A130" s="6">
        <v>171.0</v>
      </c>
      <c r="B130" s="6">
        <v>67.0</v>
      </c>
    </row>
    <row r="131" ht="14.25" customHeight="1">
      <c r="A131" s="6">
        <v>172.0</v>
      </c>
      <c r="B131" s="6">
        <v>67.0</v>
      </c>
    </row>
    <row r="132" ht="14.25" customHeight="1">
      <c r="A132" s="6">
        <v>172.0</v>
      </c>
      <c r="B132" s="6">
        <v>67.0</v>
      </c>
    </row>
    <row r="133" ht="14.25" customHeight="1">
      <c r="A133" s="6">
        <v>172.0</v>
      </c>
      <c r="B133" s="6">
        <v>67.0</v>
      </c>
    </row>
    <row r="134" ht="14.25" customHeight="1">
      <c r="A134" s="6">
        <v>172.0</v>
      </c>
      <c r="B134" s="6">
        <v>67.0</v>
      </c>
    </row>
    <row r="135" ht="14.25" customHeight="1">
      <c r="A135" s="6">
        <v>172.0</v>
      </c>
      <c r="B135" s="6">
        <v>67.0</v>
      </c>
    </row>
    <row r="136" ht="14.25" customHeight="1">
      <c r="A136" s="6">
        <v>172.0</v>
      </c>
      <c r="B136" s="6">
        <v>67.0</v>
      </c>
    </row>
    <row r="137" ht="14.25" customHeight="1">
      <c r="A137" s="6">
        <v>172.0</v>
      </c>
      <c r="B137" s="6">
        <v>67.0</v>
      </c>
    </row>
    <row r="138" ht="14.25" customHeight="1">
      <c r="A138" s="6">
        <v>172.0</v>
      </c>
      <c r="B138" s="6">
        <v>68.0</v>
      </c>
    </row>
    <row r="139" ht="14.25" customHeight="1">
      <c r="A139" s="6">
        <v>172.0</v>
      </c>
      <c r="B139" s="6">
        <v>68.0</v>
      </c>
    </row>
    <row r="140" ht="14.25" customHeight="1">
      <c r="A140" s="6">
        <v>172.0</v>
      </c>
      <c r="B140" s="6">
        <v>68.0</v>
      </c>
    </row>
    <row r="141" ht="14.25" customHeight="1">
      <c r="A141" s="6">
        <v>172.0</v>
      </c>
      <c r="B141" s="6">
        <v>68.0</v>
      </c>
    </row>
    <row r="142" ht="14.25" customHeight="1">
      <c r="A142" s="6">
        <v>172.0</v>
      </c>
      <c r="B142" s="6">
        <v>68.0</v>
      </c>
    </row>
    <row r="143" ht="14.25" customHeight="1">
      <c r="A143" s="6">
        <v>172.0</v>
      </c>
      <c r="B143" s="6">
        <v>68.0</v>
      </c>
    </row>
    <row r="144" ht="14.25" customHeight="1">
      <c r="A144" s="6">
        <v>173.0</v>
      </c>
      <c r="B144" s="6">
        <v>68.0</v>
      </c>
    </row>
    <row r="145" ht="14.25" customHeight="1">
      <c r="A145" s="6">
        <v>173.0</v>
      </c>
      <c r="B145" s="6">
        <v>68.0</v>
      </c>
    </row>
    <row r="146" ht="14.25" customHeight="1">
      <c r="A146" s="6">
        <v>173.0</v>
      </c>
      <c r="B146" s="6">
        <v>69.0</v>
      </c>
    </row>
    <row r="147" ht="14.25" customHeight="1">
      <c r="A147" s="6">
        <v>173.0</v>
      </c>
      <c r="B147" s="6">
        <v>69.0</v>
      </c>
    </row>
    <row r="148" ht="14.25" customHeight="1">
      <c r="A148" s="6">
        <v>173.0</v>
      </c>
      <c r="B148" s="6">
        <v>69.0</v>
      </c>
    </row>
    <row r="149" ht="14.25" customHeight="1">
      <c r="A149" s="6">
        <v>173.0</v>
      </c>
      <c r="B149" s="6">
        <v>69.0</v>
      </c>
    </row>
    <row r="150" ht="14.25" customHeight="1">
      <c r="A150" s="6">
        <v>173.0</v>
      </c>
      <c r="B150" s="6">
        <v>69.0</v>
      </c>
    </row>
    <row r="151" ht="14.25" customHeight="1">
      <c r="A151" s="6">
        <v>173.0</v>
      </c>
      <c r="B151" s="6">
        <v>69.0</v>
      </c>
    </row>
    <row r="152" ht="14.25" customHeight="1">
      <c r="A152" s="6">
        <v>173.0</v>
      </c>
      <c r="B152" s="6">
        <v>69.0</v>
      </c>
    </row>
    <row r="153" ht="14.25" customHeight="1">
      <c r="A153" s="6">
        <v>173.0</v>
      </c>
      <c r="B153" s="6">
        <v>69.0</v>
      </c>
    </row>
    <row r="154" ht="14.25" customHeight="1">
      <c r="A154" s="6">
        <v>173.0</v>
      </c>
      <c r="B154" s="6">
        <v>69.0</v>
      </c>
    </row>
    <row r="155" ht="14.25" customHeight="1">
      <c r="A155" s="6">
        <v>173.0</v>
      </c>
      <c r="B155" s="6">
        <v>70.0</v>
      </c>
    </row>
    <row r="156" ht="14.25" customHeight="1">
      <c r="A156" s="6">
        <v>173.0</v>
      </c>
      <c r="B156" s="6">
        <v>70.0</v>
      </c>
    </row>
    <row r="157" ht="14.25" customHeight="1">
      <c r="A157" s="6">
        <v>173.0</v>
      </c>
      <c r="B157" s="6">
        <v>70.0</v>
      </c>
    </row>
    <row r="158" ht="14.25" customHeight="1">
      <c r="A158" s="6">
        <v>174.0</v>
      </c>
      <c r="B158" s="6">
        <v>70.0</v>
      </c>
    </row>
    <row r="159" ht="14.25" customHeight="1">
      <c r="A159" s="6">
        <v>174.0</v>
      </c>
      <c r="B159" s="6">
        <v>70.0</v>
      </c>
    </row>
    <row r="160" ht="14.25" customHeight="1">
      <c r="A160" s="6">
        <v>174.0</v>
      </c>
      <c r="B160" s="6">
        <v>70.0</v>
      </c>
    </row>
    <row r="161" ht="14.25" customHeight="1">
      <c r="A161" s="6">
        <v>174.0</v>
      </c>
      <c r="B161" s="6">
        <v>70.0</v>
      </c>
    </row>
    <row r="162" ht="14.25" customHeight="1">
      <c r="A162" s="6">
        <v>174.0</v>
      </c>
      <c r="B162" s="6">
        <v>70.0</v>
      </c>
    </row>
    <row r="163" ht="14.25" customHeight="1">
      <c r="A163" s="6">
        <v>174.0</v>
      </c>
      <c r="B163" s="6">
        <v>70.0</v>
      </c>
    </row>
    <row r="164" ht="14.25" customHeight="1">
      <c r="A164" s="6">
        <v>174.0</v>
      </c>
      <c r="B164" s="6">
        <v>70.0</v>
      </c>
    </row>
    <row r="165" ht="14.25" customHeight="1">
      <c r="A165" s="6">
        <v>175.0</v>
      </c>
      <c r="B165" s="6">
        <v>70.0</v>
      </c>
    </row>
    <row r="166" ht="14.25" customHeight="1">
      <c r="A166" s="6">
        <v>175.0</v>
      </c>
      <c r="B166" s="6">
        <v>70.0</v>
      </c>
    </row>
    <row r="167" ht="14.25" customHeight="1">
      <c r="A167" s="6">
        <v>175.0</v>
      </c>
      <c r="B167" s="6">
        <v>70.0</v>
      </c>
    </row>
    <row r="168" ht="14.25" customHeight="1">
      <c r="A168" s="6">
        <v>175.0</v>
      </c>
      <c r="B168" s="6">
        <v>70.0</v>
      </c>
    </row>
    <row r="169" ht="14.25" customHeight="1">
      <c r="A169" s="6">
        <v>175.0</v>
      </c>
      <c r="B169" s="6">
        <v>71.0</v>
      </c>
    </row>
    <row r="170" ht="14.25" customHeight="1">
      <c r="A170" s="6">
        <v>175.0</v>
      </c>
      <c r="B170" s="6">
        <v>71.0</v>
      </c>
    </row>
    <row r="171" ht="14.25" customHeight="1">
      <c r="A171" s="6">
        <v>176.0</v>
      </c>
      <c r="B171" s="6">
        <v>71.0</v>
      </c>
    </row>
    <row r="172" ht="14.25" customHeight="1">
      <c r="A172" s="6">
        <v>176.0</v>
      </c>
      <c r="B172" s="6">
        <v>71.0</v>
      </c>
    </row>
    <row r="173" ht="14.25" customHeight="1">
      <c r="A173" s="6">
        <v>176.0</v>
      </c>
      <c r="B173" s="6">
        <v>72.0</v>
      </c>
    </row>
    <row r="174" ht="14.25" customHeight="1">
      <c r="A174" s="6">
        <v>176.0</v>
      </c>
      <c r="B174" s="6">
        <v>72.0</v>
      </c>
    </row>
    <row r="175" ht="14.25" customHeight="1">
      <c r="A175" s="6">
        <v>176.0</v>
      </c>
      <c r="B175" s="6">
        <v>72.0</v>
      </c>
    </row>
    <row r="176" ht="14.25" customHeight="1">
      <c r="A176" s="6">
        <v>176.0</v>
      </c>
      <c r="B176" s="6">
        <v>72.0</v>
      </c>
    </row>
    <row r="177" ht="14.25" customHeight="1">
      <c r="A177" s="6">
        <v>176.0</v>
      </c>
      <c r="B177" s="6">
        <v>73.0</v>
      </c>
    </row>
    <row r="178" ht="14.25" customHeight="1">
      <c r="A178" s="6">
        <v>176.0</v>
      </c>
      <c r="B178" s="6">
        <v>73.0</v>
      </c>
    </row>
    <row r="179" ht="14.25" customHeight="1">
      <c r="A179" s="6">
        <v>176.0</v>
      </c>
      <c r="B179" s="6">
        <v>73.0</v>
      </c>
    </row>
    <row r="180" ht="14.25" customHeight="1">
      <c r="A180" s="6">
        <v>176.0</v>
      </c>
      <c r="B180" s="6">
        <v>73.0</v>
      </c>
    </row>
    <row r="181" ht="14.25" customHeight="1">
      <c r="A181" s="6">
        <v>177.0</v>
      </c>
      <c r="B181" s="6">
        <v>73.0</v>
      </c>
    </row>
    <row r="182" ht="14.25" customHeight="1">
      <c r="A182" s="6">
        <v>177.0</v>
      </c>
      <c r="B182" s="6">
        <v>74.0</v>
      </c>
    </row>
    <row r="183" ht="14.25" customHeight="1">
      <c r="A183" s="6">
        <v>177.0</v>
      </c>
      <c r="B183" s="6">
        <v>74.0</v>
      </c>
    </row>
    <row r="184" ht="14.25" customHeight="1">
      <c r="A184" s="6">
        <v>178.0</v>
      </c>
      <c r="B184" s="6">
        <v>74.0</v>
      </c>
    </row>
    <row r="185" ht="14.25" customHeight="1">
      <c r="A185" s="6">
        <v>178.0</v>
      </c>
      <c r="B185" s="6">
        <v>74.0</v>
      </c>
    </row>
    <row r="186" ht="14.25" customHeight="1">
      <c r="A186" s="6">
        <v>178.0</v>
      </c>
      <c r="B186" s="6">
        <v>74.0</v>
      </c>
    </row>
    <row r="187" ht="14.25" customHeight="1">
      <c r="A187" s="6">
        <v>178.0</v>
      </c>
      <c r="B187" s="6">
        <v>75.0</v>
      </c>
    </row>
    <row r="188" ht="14.25" customHeight="1">
      <c r="A188" s="6">
        <v>178.0</v>
      </c>
      <c r="B188" s="6">
        <v>75.0</v>
      </c>
    </row>
    <row r="189" ht="14.25" customHeight="1">
      <c r="A189" s="6">
        <v>178.0</v>
      </c>
      <c r="B189" s="6">
        <v>75.0</v>
      </c>
    </row>
    <row r="190" ht="14.25" customHeight="1">
      <c r="A190" s="6">
        <v>178.0</v>
      </c>
      <c r="B190" s="6">
        <v>75.0</v>
      </c>
    </row>
    <row r="191" ht="14.25" customHeight="1">
      <c r="A191" s="6">
        <v>179.0</v>
      </c>
      <c r="B191" s="6">
        <v>75.0</v>
      </c>
    </row>
    <row r="192" ht="14.25" customHeight="1">
      <c r="A192" s="6">
        <v>179.0</v>
      </c>
      <c r="B192" s="6">
        <v>75.0</v>
      </c>
    </row>
    <row r="193" ht="14.25" customHeight="1">
      <c r="A193" s="6">
        <v>180.0</v>
      </c>
      <c r="B193" s="6">
        <v>75.0</v>
      </c>
    </row>
    <row r="194" ht="14.25" customHeight="1">
      <c r="A194" s="6">
        <v>181.0</v>
      </c>
      <c r="B194" s="6">
        <v>76.0</v>
      </c>
    </row>
    <row r="195" ht="14.25" customHeight="1">
      <c r="A195" s="6">
        <v>182.0</v>
      </c>
      <c r="B195" s="6">
        <v>76.0</v>
      </c>
    </row>
    <row r="196" ht="14.25" customHeight="1">
      <c r="A196" s="6">
        <v>184.0</v>
      </c>
      <c r="B196" s="6">
        <v>76.0</v>
      </c>
    </row>
    <row r="197" ht="14.25" customHeight="1">
      <c r="A197" s="6">
        <v>184.0</v>
      </c>
      <c r="B197" s="6">
        <v>77.0</v>
      </c>
    </row>
    <row r="198" ht="14.25" customHeight="1">
      <c r="A198" s="6">
        <v>187.0</v>
      </c>
      <c r="B198" s="6">
        <v>77.0</v>
      </c>
    </row>
    <row r="199" ht="14.25" customHeight="1">
      <c r="A199" s="6">
        <v>187.0</v>
      </c>
      <c r="B199" s="6">
        <v>78.0</v>
      </c>
    </row>
    <row r="200" ht="14.25" customHeight="1">
      <c r="A200" s="6">
        <v>188.0</v>
      </c>
      <c r="B200" s="6">
        <v>79.0</v>
      </c>
    </row>
    <row r="201" ht="14.25" customHeight="1">
      <c r="A201" s="6">
        <v>196.0</v>
      </c>
      <c r="B201" s="6">
        <v>84.0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12</v>
      </c>
      <c r="B1" s="1" t="s">
        <v>13</v>
      </c>
      <c r="C1" s="1" t="s">
        <v>12</v>
      </c>
      <c r="D1" s="1" t="s">
        <v>13</v>
      </c>
      <c r="E1" s="1" t="s">
        <v>12</v>
      </c>
      <c r="F1" s="1" t="s">
        <v>13</v>
      </c>
      <c r="H1" s="1" t="s">
        <v>12</v>
      </c>
      <c r="I1" s="6">
        <f>IFERROR(__xludf.DUMMYFUNCTION("FILTER('1'!$A$2:$A$201,('1'!$A$2:$A$201&gt;=$A$3+$E$3*(COLUMN() - 9))*('1'!$A$2:$A$201&lt;$A$3+$E$3*(COLUMN() - 9 + 1)))"),156.0)</f>
        <v>156</v>
      </c>
      <c r="J1" s="6">
        <f>IFERROR(__xludf.DUMMYFUNCTION("FILTER('1'!$A$2:$A$201,('1'!$A$2:$A$201&gt;=$A$3+$E$3*(COLUMN() - 9))*('1'!$A$2:$A$201&lt;$A$3+$E$3*(COLUMN() - 9 + 1)))"),160.0)</f>
        <v>160</v>
      </c>
      <c r="K1" s="6">
        <f>IFERROR(__xludf.DUMMYFUNCTION("FILTER('1'!$A$2:$A$201,('1'!$A$2:$A$201&gt;=$A$3+$E$3*(COLUMN() - 9))*('1'!$A$2:$A$201&lt;$A$3+$E$3*(COLUMN() - 9 + 1)))"),164.0)</f>
        <v>164</v>
      </c>
      <c r="L1" s="6">
        <f>IFERROR(__xludf.DUMMYFUNCTION("FILTER('1'!$A$2:$A$201,('1'!$A$2:$A$201&gt;=$A$3+$E$3*(COLUMN() - 9))*('1'!$A$2:$A$201&lt;$A$3+$E$3*(COLUMN() - 9 + 1)))"),168.0)</f>
        <v>168</v>
      </c>
      <c r="M1" s="6">
        <f>IFERROR(__xludf.DUMMYFUNCTION("FILTER('1'!$A$2:$A$201,('1'!$A$2:$A$201&gt;=$A$3+$E$3*(COLUMN() - 9))*('1'!$A$2:$A$201&lt;$A$3+$E$3*(COLUMN() - 9 + 1)))"),172.0)</f>
        <v>172</v>
      </c>
      <c r="N1" s="6">
        <f>IFERROR(__xludf.DUMMYFUNCTION("FILTER('1'!$A$2:$A$201,('1'!$A$2:$A$201&gt;=$A$3+$E$3*(COLUMN() - 9))*('1'!$A$2:$A$201&lt;$A$3+$E$3*(COLUMN() - 9 + 1)))"),176.0)</f>
        <v>176</v>
      </c>
      <c r="O1" s="6">
        <f>IFERROR(__xludf.DUMMYFUNCTION("FILTER('1'!$A$2:$A$201,('1'!$A$2:$A$201&gt;=$A$3+$E$3*(COLUMN() - 9))*('1'!$A$2:$A$201&lt;$A$3+$E$3*(COLUMN() - 9 + 1)))"),180.0)</f>
        <v>180</v>
      </c>
      <c r="P1" s="6">
        <f>IFERROR(__xludf.DUMMYFUNCTION("FILTER('1'!$A$2:$A$201,('1'!$A$2:$A$201&gt;=$A$3+$E$3*(COLUMN() - 9))*('1'!$A$2:$A$201&lt;$A$3+$E$3*(COLUMN() - 9 + 1)))"),184.0)</f>
        <v>184</v>
      </c>
      <c r="Q1" s="6">
        <f>IFERROR(__xludf.DUMMYFUNCTION("FILTER('1'!$A$2:$A$201,('1'!$A$2:$A$201&gt;=$A$3+$E$3*(COLUMN() - 9))*('1'!$A$2:$A$201&lt;$A$3+$E$3*(COLUMN() - 9 + 1)))"),188.0)</f>
        <v>188</v>
      </c>
      <c r="R1" s="6">
        <f>IFERROR(__xludf.DUMMYFUNCTION("FILTER('1'!$A$2:$A$201,('1'!$A$2:$A$201&gt;=$A$3+$E$3*(COLUMN() - 9))*('1'!$A$2:$A$201&lt;=$A$3+$E$3*(COLUMN() - 9 + 1)))"),196.0)</f>
        <v>196</v>
      </c>
      <c r="S1" s="1" t="s">
        <v>13</v>
      </c>
      <c r="T1" s="6">
        <f>IFERROR(__xludf.DUMMYFUNCTION("FILTER('1'!$B$2:$B$201,('1'!$B$2:$B$201&gt;=$B$3+$F$3*(COLUMN() - 20))*('1'!$B$2:$B$201&lt;$B$3+$F$3*(COLUMN() - 20 + 1)))"),48.0)</f>
        <v>48</v>
      </c>
      <c r="U1" s="6">
        <f>IFERROR(__xludf.DUMMYFUNCTION("FILTER('1'!$B$2:$B$201,('1'!$B$2:$B$201&gt;=$B$3+$F$3*(COLUMN() - 20))*('1'!$B$2:$B$201&lt;$B$3+$F$3*(COLUMN() - 20 + 1)))"),53.0)</f>
        <v>53</v>
      </c>
      <c r="V1" s="6">
        <f>IFERROR(__xludf.DUMMYFUNCTION("FILTER('1'!$B$2:$B$201,('1'!$B$2:$B$201&gt;=$B$3+$F$3*(COLUMN() - 20))*('1'!$B$2:$B$201&lt;$B$3+$F$3*(COLUMN() - 20 + 1)))"),56.0)</f>
        <v>56</v>
      </c>
      <c r="W1" s="6">
        <f>IFERROR(__xludf.DUMMYFUNCTION("FILTER('1'!$B$2:$B$201,('1'!$B$2:$B$201&gt;=$B$3+$F$3*(COLUMN() - 20))*('1'!$B$2:$B$201&lt;$B$3+$F$3*(COLUMN() - 20 + 1)))"),59.0)</f>
        <v>59</v>
      </c>
      <c r="X1" s="6">
        <f>IFERROR(__xludf.DUMMYFUNCTION("FILTER('1'!$B$2:$B$201,('1'!$B$2:$B$201&gt;=$B$3+$F$3*(COLUMN() - 20))*('1'!$B$2:$B$201&lt;$B$3+$F$3*(COLUMN() - 20 + 1)))"),63.0)</f>
        <v>63</v>
      </c>
      <c r="Y1" s="6">
        <f>IFERROR(__xludf.DUMMYFUNCTION("FILTER('1'!$B$2:$B$201,('1'!$B$2:$B$201&gt;=$B$3+$F$3*(COLUMN() - 20))*('1'!$B$2:$B$201&lt;$B$3+$F$3*(COLUMN() - 20 + 1)))"),66.0)</f>
        <v>66</v>
      </c>
      <c r="Z1" s="6">
        <f>IFERROR(__xludf.DUMMYFUNCTION("FILTER('1'!$B$2:$B$201,('1'!$B$2:$B$201&gt;=$B$3+$F$3*(COLUMN() - 20))*('1'!$B$2:$B$201&lt;$B$3+$F$3*(COLUMN() - 20 + 1)))"),70.0)</f>
        <v>70</v>
      </c>
      <c r="AA1" s="6">
        <f>IFERROR(__xludf.DUMMYFUNCTION("FILTER('1'!$B$2:$B$201,('1'!$B$2:$B$201&gt;=$B$3+$F$3*(COLUMN() - 20))*('1'!$B$2:$B$201&lt;$B$3+$F$3*(COLUMN() - 20 + 1)))"),74.0)</f>
        <v>74</v>
      </c>
      <c r="AB1" s="6">
        <f>IFERROR(__xludf.DUMMYFUNCTION("FILTER('1'!$B$2:$B$201,('1'!$B$2:$B$201&gt;=$B$3+$F$3*(COLUMN() - 20))*('1'!$B$2:$B$201&lt;$B$3+$F$3*(COLUMN() - 20 + 1)))"),77.0)</f>
        <v>77</v>
      </c>
      <c r="AC1" s="6">
        <f>IFERROR(__xludf.DUMMYFUNCTION("FILTER('1'!$B$2:$B$201,('1'!$B$2:$B$201&gt;=$B$3+$F$3*(COLUMN() - 20))*('1'!$B$2:$B$201&lt;=$B$3+$F$3*(COLUMN() - 20 + 1)))"),84.0)</f>
        <v>84</v>
      </c>
      <c r="AE1" s="1" t="s">
        <v>12</v>
      </c>
      <c r="AF1" s="1" t="s">
        <v>14</v>
      </c>
      <c r="AG1" s="1" t="s">
        <v>15</v>
      </c>
      <c r="AI1" s="1" t="s">
        <v>13</v>
      </c>
      <c r="AJ1" s="1" t="s">
        <v>14</v>
      </c>
      <c r="AK1" s="1" t="s">
        <v>15</v>
      </c>
    </row>
    <row r="2">
      <c r="A2" s="1" t="s">
        <v>16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18</v>
      </c>
      <c r="I2" s="6">
        <f>IFERROR(__xludf.DUMMYFUNCTION("""COMPUTED_VALUE"""),157.0)</f>
        <v>157</v>
      </c>
      <c r="J2" s="6">
        <f>IFERROR(__xludf.DUMMYFUNCTION("""COMPUTED_VALUE"""),161.0)</f>
        <v>161</v>
      </c>
      <c r="K2" s="6">
        <f>IFERROR(__xludf.DUMMYFUNCTION("""COMPUTED_VALUE"""),164.0)</f>
        <v>164</v>
      </c>
      <c r="L2" s="6">
        <f>IFERROR(__xludf.DUMMYFUNCTION("""COMPUTED_VALUE"""),168.0)</f>
        <v>168</v>
      </c>
      <c r="M2" s="6">
        <f>IFERROR(__xludf.DUMMYFUNCTION("""COMPUTED_VALUE"""),172.0)</f>
        <v>172</v>
      </c>
      <c r="N2" s="6">
        <f>IFERROR(__xludf.DUMMYFUNCTION("""COMPUTED_VALUE"""),176.0)</f>
        <v>176</v>
      </c>
      <c r="O2" s="6">
        <f>IFERROR(__xludf.DUMMYFUNCTION("""COMPUTED_VALUE"""),181.0)</f>
        <v>181</v>
      </c>
      <c r="P2" s="6">
        <f>IFERROR(__xludf.DUMMYFUNCTION("""COMPUTED_VALUE"""),184.0)</f>
        <v>184</v>
      </c>
      <c r="T2" s="6">
        <f>IFERROR(__xludf.DUMMYFUNCTION("""COMPUTED_VALUE"""),50.0)</f>
        <v>50</v>
      </c>
      <c r="U2" s="6">
        <f>IFERROR(__xludf.DUMMYFUNCTION("""COMPUTED_VALUE"""),54.0)</f>
        <v>54</v>
      </c>
      <c r="V2" s="6">
        <f>IFERROR(__xludf.DUMMYFUNCTION("""COMPUTED_VALUE"""),56.0)</f>
        <v>56</v>
      </c>
      <c r="W2" s="6">
        <f>IFERROR(__xludf.DUMMYFUNCTION("""COMPUTED_VALUE"""),59.0)</f>
        <v>59</v>
      </c>
      <c r="X2" s="6">
        <f>IFERROR(__xludf.DUMMYFUNCTION("""COMPUTED_VALUE"""),63.0)</f>
        <v>63</v>
      </c>
      <c r="Y2" s="6">
        <f>IFERROR(__xludf.DUMMYFUNCTION("""COMPUTED_VALUE"""),66.0)</f>
        <v>66</v>
      </c>
      <c r="Z2" s="6">
        <f>IFERROR(__xludf.DUMMYFUNCTION("""COMPUTED_VALUE"""),70.0)</f>
        <v>70</v>
      </c>
      <c r="AA2" s="6">
        <f>IFERROR(__xludf.DUMMYFUNCTION("""COMPUTED_VALUE"""),74.0)</f>
        <v>74</v>
      </c>
      <c r="AB2" s="6">
        <f>IFERROR(__xludf.DUMMYFUNCTION("""COMPUTED_VALUE"""),77.0)</f>
        <v>77</v>
      </c>
      <c r="AF2" s="6">
        <f t="shared" ref="AF2:AF11" si="2">$A$3+$E$3*(ROW()-2 + 0.5)</f>
        <v>158</v>
      </c>
      <c r="AG2" s="6">
        <f t="shared" ref="AG2:AG11" si="3">COUNT(INDIRECT(ADDRESS(1, 9 + ROW() - 2)):INDIRECT(ADDRESS(200, 9 + ROW() - 2)))</f>
        <v>7</v>
      </c>
      <c r="AJ2" s="6">
        <f t="shared" ref="AJ2:AJ11" si="4">$B$3+$F$3*(ROW()-2 + 0.5)</f>
        <v>49.8</v>
      </c>
      <c r="AK2" s="6">
        <f t="shared" ref="AK2:AK11" si="5">COUNT(INDIRECT(ADDRESS(1, 20 + ROW() - 2)):INDIRECT(ADDRESS(200, 20 + ROW() - 2)))</f>
        <v>3</v>
      </c>
    </row>
    <row r="3">
      <c r="A3" s="6">
        <f>MIN(data!P$2:P$201)</f>
        <v>156</v>
      </c>
      <c r="B3" s="6">
        <f>MIN(data!Q$2:Q$201)</f>
        <v>48</v>
      </c>
      <c r="C3" s="6">
        <f>MAX(data!P$2:P$201)</f>
        <v>196</v>
      </c>
      <c r="D3" s="6">
        <f>MAX(data!Q$2:Q$201)</f>
        <v>84</v>
      </c>
      <c r="E3" s="6">
        <f t="shared" ref="E3:F3" si="1">(C3-A3)/10</f>
        <v>4</v>
      </c>
      <c r="F3" s="6">
        <f t="shared" si="1"/>
        <v>3.6</v>
      </c>
      <c r="I3" s="6">
        <f>IFERROR(__xludf.DUMMYFUNCTION("""COMPUTED_VALUE"""),158.0)</f>
        <v>158</v>
      </c>
      <c r="J3" s="6">
        <f>IFERROR(__xludf.DUMMYFUNCTION("""COMPUTED_VALUE"""),161.0)</f>
        <v>161</v>
      </c>
      <c r="K3" s="6">
        <f>IFERROR(__xludf.DUMMYFUNCTION("""COMPUTED_VALUE"""),164.0)</f>
        <v>164</v>
      </c>
      <c r="L3" s="6">
        <f>IFERROR(__xludf.DUMMYFUNCTION("""COMPUTED_VALUE"""),168.0)</f>
        <v>168</v>
      </c>
      <c r="M3" s="6">
        <f>IFERROR(__xludf.DUMMYFUNCTION("""COMPUTED_VALUE"""),172.0)</f>
        <v>172</v>
      </c>
      <c r="N3" s="6">
        <f>IFERROR(__xludf.DUMMYFUNCTION("""COMPUTED_VALUE"""),176.0)</f>
        <v>176</v>
      </c>
      <c r="O3" s="6">
        <f>IFERROR(__xludf.DUMMYFUNCTION("""COMPUTED_VALUE"""),182.0)</f>
        <v>182</v>
      </c>
      <c r="P3" s="6">
        <f>IFERROR(__xludf.DUMMYFUNCTION("""COMPUTED_VALUE"""),187.0)</f>
        <v>187</v>
      </c>
      <c r="T3" s="6">
        <f>IFERROR(__xludf.DUMMYFUNCTION("""COMPUTED_VALUE"""),51.0)</f>
        <v>51</v>
      </c>
      <c r="U3" s="6">
        <f>IFERROR(__xludf.DUMMYFUNCTION("""COMPUTED_VALUE"""),55.0)</f>
        <v>55</v>
      </c>
      <c r="V3" s="6">
        <f>IFERROR(__xludf.DUMMYFUNCTION("""COMPUTED_VALUE"""),57.0)</f>
        <v>57</v>
      </c>
      <c r="W3" s="6">
        <f>IFERROR(__xludf.DUMMYFUNCTION("""COMPUTED_VALUE"""),59.0)</f>
        <v>59</v>
      </c>
      <c r="X3" s="6">
        <f>IFERROR(__xludf.DUMMYFUNCTION("""COMPUTED_VALUE"""),63.0)</f>
        <v>63</v>
      </c>
      <c r="Y3" s="6">
        <f>IFERROR(__xludf.DUMMYFUNCTION("""COMPUTED_VALUE"""),66.0)</f>
        <v>66</v>
      </c>
      <c r="Z3" s="6">
        <f>IFERROR(__xludf.DUMMYFUNCTION("""COMPUTED_VALUE"""),70.0)</f>
        <v>70</v>
      </c>
      <c r="AA3" s="6">
        <f>IFERROR(__xludf.DUMMYFUNCTION("""COMPUTED_VALUE"""),74.0)</f>
        <v>74</v>
      </c>
      <c r="AB3" s="6">
        <f>IFERROR(__xludf.DUMMYFUNCTION("""COMPUTED_VALUE"""),78.0)</f>
        <v>78</v>
      </c>
      <c r="AE3" s="1"/>
      <c r="AF3" s="6">
        <f t="shared" si="2"/>
        <v>162</v>
      </c>
      <c r="AG3" s="6">
        <f t="shared" si="3"/>
        <v>17</v>
      </c>
      <c r="AI3" s="1"/>
      <c r="AJ3" s="6">
        <f t="shared" si="4"/>
        <v>53.4</v>
      </c>
      <c r="AK3" s="6">
        <f t="shared" si="5"/>
        <v>8</v>
      </c>
    </row>
    <row r="4">
      <c r="I4" s="6">
        <f>IFERROR(__xludf.DUMMYFUNCTION("""COMPUTED_VALUE"""),159.0)</f>
        <v>159</v>
      </c>
      <c r="J4" s="6">
        <f>IFERROR(__xludf.DUMMYFUNCTION("""COMPUTED_VALUE"""),161.0)</f>
        <v>161</v>
      </c>
      <c r="K4" s="6">
        <f>IFERROR(__xludf.DUMMYFUNCTION("""COMPUTED_VALUE"""),164.0)</f>
        <v>164</v>
      </c>
      <c r="L4" s="6">
        <f>IFERROR(__xludf.DUMMYFUNCTION("""COMPUTED_VALUE"""),168.0)</f>
        <v>168</v>
      </c>
      <c r="M4" s="6">
        <f>IFERROR(__xludf.DUMMYFUNCTION("""COMPUTED_VALUE"""),172.0)</f>
        <v>172</v>
      </c>
      <c r="N4" s="6">
        <f>IFERROR(__xludf.DUMMYFUNCTION("""COMPUTED_VALUE"""),176.0)</f>
        <v>176</v>
      </c>
      <c r="P4" s="6">
        <f>IFERROR(__xludf.DUMMYFUNCTION("""COMPUTED_VALUE"""),187.0)</f>
        <v>187</v>
      </c>
      <c r="U4" s="6">
        <f>IFERROR(__xludf.DUMMYFUNCTION("""COMPUTED_VALUE"""),55.0)</f>
        <v>55</v>
      </c>
      <c r="V4" s="6">
        <f>IFERROR(__xludf.DUMMYFUNCTION("""COMPUTED_VALUE"""),57.0)</f>
        <v>57</v>
      </c>
      <c r="W4" s="6">
        <f>IFERROR(__xludf.DUMMYFUNCTION("""COMPUTED_VALUE"""),59.0)</f>
        <v>59</v>
      </c>
      <c r="X4" s="6">
        <f>IFERROR(__xludf.DUMMYFUNCTION("""COMPUTED_VALUE"""),63.0)</f>
        <v>63</v>
      </c>
      <c r="Y4" s="6">
        <f>IFERROR(__xludf.DUMMYFUNCTION("""COMPUTED_VALUE"""),66.0)</f>
        <v>66</v>
      </c>
      <c r="Z4" s="6">
        <f>IFERROR(__xludf.DUMMYFUNCTION("""COMPUTED_VALUE"""),70.0)</f>
        <v>70</v>
      </c>
      <c r="AA4" s="6">
        <f>IFERROR(__xludf.DUMMYFUNCTION("""COMPUTED_VALUE"""),74.0)</f>
        <v>74</v>
      </c>
      <c r="AB4" s="6">
        <f>IFERROR(__xludf.DUMMYFUNCTION("""COMPUTED_VALUE"""),79.0)</f>
        <v>79</v>
      </c>
      <c r="AF4" s="6">
        <f t="shared" si="2"/>
        <v>166</v>
      </c>
      <c r="AG4" s="6">
        <f t="shared" si="3"/>
        <v>45</v>
      </c>
      <c r="AJ4" s="6">
        <f t="shared" si="4"/>
        <v>57</v>
      </c>
      <c r="AK4" s="6">
        <f t="shared" si="5"/>
        <v>9</v>
      </c>
    </row>
    <row r="5">
      <c r="I5" s="6">
        <f>IFERROR(__xludf.DUMMYFUNCTION("""COMPUTED_VALUE"""),159.0)</f>
        <v>159</v>
      </c>
      <c r="J5" s="6">
        <f>IFERROR(__xludf.DUMMYFUNCTION("""COMPUTED_VALUE"""),161.0)</f>
        <v>161</v>
      </c>
      <c r="K5" s="6">
        <f>IFERROR(__xludf.DUMMYFUNCTION("""COMPUTED_VALUE"""),164.0)</f>
        <v>164</v>
      </c>
      <c r="L5" s="6">
        <f>IFERROR(__xludf.DUMMYFUNCTION("""COMPUTED_VALUE"""),168.0)</f>
        <v>168</v>
      </c>
      <c r="M5" s="6">
        <f>IFERROR(__xludf.DUMMYFUNCTION("""COMPUTED_VALUE"""),172.0)</f>
        <v>172</v>
      </c>
      <c r="N5" s="6">
        <f>IFERROR(__xludf.DUMMYFUNCTION("""COMPUTED_VALUE"""),176.0)</f>
        <v>176</v>
      </c>
      <c r="U5" s="6">
        <f>IFERROR(__xludf.DUMMYFUNCTION("""COMPUTED_VALUE"""),55.0)</f>
        <v>55</v>
      </c>
      <c r="V5" s="6">
        <f>IFERROR(__xludf.DUMMYFUNCTION("""COMPUTED_VALUE"""),57.0)</f>
        <v>57</v>
      </c>
      <c r="W5" s="6">
        <f>IFERROR(__xludf.DUMMYFUNCTION("""COMPUTED_VALUE"""),59.0)</f>
        <v>59</v>
      </c>
      <c r="X5" s="6">
        <f>IFERROR(__xludf.DUMMYFUNCTION("""COMPUTED_VALUE"""),63.0)</f>
        <v>63</v>
      </c>
      <c r="Y5" s="6">
        <f>IFERROR(__xludf.DUMMYFUNCTION("""COMPUTED_VALUE"""),66.0)</f>
        <v>66</v>
      </c>
      <c r="Z5" s="6">
        <f>IFERROR(__xludf.DUMMYFUNCTION("""COMPUTED_VALUE"""),70.0)</f>
        <v>70</v>
      </c>
      <c r="AA5" s="6">
        <f>IFERROR(__xludf.DUMMYFUNCTION("""COMPUTED_VALUE"""),74.0)</f>
        <v>74</v>
      </c>
      <c r="AF5" s="6">
        <f t="shared" si="2"/>
        <v>170</v>
      </c>
      <c r="AG5" s="6">
        <f t="shared" si="3"/>
        <v>60</v>
      </c>
      <c r="AJ5" s="6">
        <f t="shared" si="4"/>
        <v>60.6</v>
      </c>
      <c r="AK5" s="6">
        <f t="shared" si="5"/>
        <v>46</v>
      </c>
    </row>
    <row r="6">
      <c r="I6" s="6">
        <f>IFERROR(__xludf.DUMMYFUNCTION("""COMPUTED_VALUE"""),159.0)</f>
        <v>159</v>
      </c>
      <c r="J6" s="6">
        <f>IFERROR(__xludf.DUMMYFUNCTION("""COMPUTED_VALUE"""),161.0)</f>
        <v>161</v>
      </c>
      <c r="K6" s="6">
        <f>IFERROR(__xludf.DUMMYFUNCTION("""COMPUTED_VALUE"""),164.0)</f>
        <v>164</v>
      </c>
      <c r="L6" s="6">
        <f>IFERROR(__xludf.DUMMYFUNCTION("""COMPUTED_VALUE"""),168.0)</f>
        <v>168</v>
      </c>
      <c r="M6" s="6">
        <f>IFERROR(__xludf.DUMMYFUNCTION("""COMPUTED_VALUE"""),172.0)</f>
        <v>172</v>
      </c>
      <c r="N6" s="6">
        <f>IFERROR(__xludf.DUMMYFUNCTION("""COMPUTED_VALUE"""),176.0)</f>
        <v>176</v>
      </c>
      <c r="U6" s="6">
        <f>IFERROR(__xludf.DUMMYFUNCTION("""COMPUTED_VALUE"""),55.0)</f>
        <v>55</v>
      </c>
      <c r="V6" s="6">
        <f>IFERROR(__xludf.DUMMYFUNCTION("""COMPUTED_VALUE"""),57.0)</f>
        <v>57</v>
      </c>
      <c r="W6" s="6">
        <f>IFERROR(__xludf.DUMMYFUNCTION("""COMPUTED_VALUE"""),59.0)</f>
        <v>59</v>
      </c>
      <c r="X6" s="6">
        <f>IFERROR(__xludf.DUMMYFUNCTION("""COMPUTED_VALUE"""),63.0)</f>
        <v>63</v>
      </c>
      <c r="Y6" s="6">
        <f>IFERROR(__xludf.DUMMYFUNCTION("""COMPUTED_VALUE"""),66.0)</f>
        <v>66</v>
      </c>
      <c r="Z6" s="6">
        <f>IFERROR(__xludf.DUMMYFUNCTION("""COMPUTED_VALUE"""),70.0)</f>
        <v>70</v>
      </c>
      <c r="AA6" s="6">
        <f>IFERROR(__xludf.DUMMYFUNCTION("""COMPUTED_VALUE"""),75.0)</f>
        <v>75</v>
      </c>
      <c r="AF6" s="6">
        <f t="shared" si="2"/>
        <v>174</v>
      </c>
      <c r="AG6" s="6">
        <f t="shared" si="3"/>
        <v>40</v>
      </c>
      <c r="AJ6" s="6">
        <f t="shared" si="4"/>
        <v>64.2</v>
      </c>
      <c r="AK6" s="6">
        <f t="shared" si="5"/>
        <v>38</v>
      </c>
    </row>
    <row r="7">
      <c r="I7" s="6">
        <f>IFERROR(__xludf.DUMMYFUNCTION("""COMPUTED_VALUE"""),159.0)</f>
        <v>159</v>
      </c>
      <c r="J7" s="6">
        <f>IFERROR(__xludf.DUMMYFUNCTION("""COMPUTED_VALUE"""),161.0)</f>
        <v>161</v>
      </c>
      <c r="K7" s="6">
        <f>IFERROR(__xludf.DUMMYFUNCTION("""COMPUTED_VALUE"""),164.0)</f>
        <v>164</v>
      </c>
      <c r="L7" s="6">
        <f>IFERROR(__xludf.DUMMYFUNCTION("""COMPUTED_VALUE"""),168.0)</f>
        <v>168</v>
      </c>
      <c r="M7" s="6">
        <f>IFERROR(__xludf.DUMMYFUNCTION("""COMPUTED_VALUE"""),172.0)</f>
        <v>172</v>
      </c>
      <c r="N7" s="6">
        <f>IFERROR(__xludf.DUMMYFUNCTION("""COMPUTED_VALUE"""),176.0)</f>
        <v>176</v>
      </c>
      <c r="U7" s="6">
        <f>IFERROR(__xludf.DUMMYFUNCTION("""COMPUTED_VALUE"""),55.0)</f>
        <v>55</v>
      </c>
      <c r="V7" s="6">
        <f>IFERROR(__xludf.DUMMYFUNCTION("""COMPUTED_VALUE"""),57.0)</f>
        <v>57</v>
      </c>
      <c r="W7" s="6">
        <f>IFERROR(__xludf.DUMMYFUNCTION("""COMPUTED_VALUE"""),59.0)</f>
        <v>59</v>
      </c>
      <c r="X7" s="6">
        <f>IFERROR(__xludf.DUMMYFUNCTION("""COMPUTED_VALUE"""),63.0)</f>
        <v>63</v>
      </c>
      <c r="Y7" s="6">
        <f>IFERROR(__xludf.DUMMYFUNCTION("""COMPUTED_VALUE"""),66.0)</f>
        <v>66</v>
      </c>
      <c r="Z7" s="6">
        <f>IFERROR(__xludf.DUMMYFUNCTION("""COMPUTED_VALUE"""),70.0)</f>
        <v>70</v>
      </c>
      <c r="AA7" s="6">
        <f>IFERROR(__xludf.DUMMYFUNCTION("""COMPUTED_VALUE"""),75.0)</f>
        <v>75</v>
      </c>
      <c r="AF7" s="6">
        <f t="shared" si="2"/>
        <v>178</v>
      </c>
      <c r="AG7" s="6">
        <f t="shared" si="3"/>
        <v>22</v>
      </c>
      <c r="AJ7" s="6">
        <f t="shared" si="4"/>
        <v>67.8</v>
      </c>
      <c r="AK7" s="6">
        <f t="shared" si="5"/>
        <v>49</v>
      </c>
    </row>
    <row r="8">
      <c r="J8" s="6">
        <f>IFERROR(__xludf.DUMMYFUNCTION("""COMPUTED_VALUE"""),161.0)</f>
        <v>161</v>
      </c>
      <c r="K8" s="6">
        <f>IFERROR(__xludf.DUMMYFUNCTION("""COMPUTED_VALUE"""),164.0)</f>
        <v>164</v>
      </c>
      <c r="L8" s="6">
        <f>IFERROR(__xludf.DUMMYFUNCTION("""COMPUTED_VALUE"""),168.0)</f>
        <v>168</v>
      </c>
      <c r="M8" s="6">
        <f>IFERROR(__xludf.DUMMYFUNCTION("""COMPUTED_VALUE"""),172.0)</f>
        <v>172</v>
      </c>
      <c r="N8" s="6">
        <f>IFERROR(__xludf.DUMMYFUNCTION("""COMPUTED_VALUE"""),176.0)</f>
        <v>176</v>
      </c>
      <c r="U8" s="6">
        <f>IFERROR(__xludf.DUMMYFUNCTION("""COMPUTED_VALUE"""),55.0)</f>
        <v>55</v>
      </c>
      <c r="V8" s="6">
        <f>IFERROR(__xludf.DUMMYFUNCTION("""COMPUTED_VALUE"""),58.0)</f>
        <v>58</v>
      </c>
      <c r="W8" s="6">
        <f>IFERROR(__xludf.DUMMYFUNCTION("""COMPUTED_VALUE"""),59.0)</f>
        <v>59</v>
      </c>
      <c r="X8" s="6">
        <f>IFERROR(__xludf.DUMMYFUNCTION("""COMPUTED_VALUE"""),63.0)</f>
        <v>63</v>
      </c>
      <c r="Y8" s="6">
        <f>IFERROR(__xludf.DUMMYFUNCTION("""COMPUTED_VALUE"""),66.0)</f>
        <v>66</v>
      </c>
      <c r="Z8" s="6">
        <f>IFERROR(__xludf.DUMMYFUNCTION("""COMPUTED_VALUE"""),70.0)</f>
        <v>70</v>
      </c>
      <c r="AA8" s="6">
        <f>IFERROR(__xludf.DUMMYFUNCTION("""COMPUTED_VALUE"""),75.0)</f>
        <v>75</v>
      </c>
      <c r="AF8" s="6">
        <f t="shared" si="2"/>
        <v>182</v>
      </c>
      <c r="AG8" s="6">
        <f t="shared" si="3"/>
        <v>3</v>
      </c>
      <c r="AJ8" s="6">
        <f t="shared" si="4"/>
        <v>71.4</v>
      </c>
      <c r="AK8" s="6">
        <f t="shared" si="5"/>
        <v>27</v>
      </c>
    </row>
    <row r="9">
      <c r="J9" s="6">
        <f>IFERROR(__xludf.DUMMYFUNCTION("""COMPUTED_VALUE"""),162.0)</f>
        <v>162</v>
      </c>
      <c r="K9" s="6">
        <f>IFERROR(__xludf.DUMMYFUNCTION("""COMPUTED_VALUE"""),164.0)</f>
        <v>164</v>
      </c>
      <c r="L9" s="6">
        <f>IFERROR(__xludf.DUMMYFUNCTION("""COMPUTED_VALUE"""),168.0)</f>
        <v>168</v>
      </c>
      <c r="M9" s="6">
        <f>IFERROR(__xludf.DUMMYFUNCTION("""COMPUTED_VALUE"""),172.0)</f>
        <v>172</v>
      </c>
      <c r="N9" s="6">
        <f>IFERROR(__xludf.DUMMYFUNCTION("""COMPUTED_VALUE"""),176.0)</f>
        <v>176</v>
      </c>
      <c r="V9" s="6">
        <f>IFERROR(__xludf.DUMMYFUNCTION("""COMPUTED_VALUE"""),58.0)</f>
        <v>58</v>
      </c>
      <c r="W9" s="6">
        <f>IFERROR(__xludf.DUMMYFUNCTION("""COMPUTED_VALUE"""),59.0)</f>
        <v>59</v>
      </c>
      <c r="X9" s="6">
        <f>IFERROR(__xludf.DUMMYFUNCTION("""COMPUTED_VALUE"""),63.0)</f>
        <v>63</v>
      </c>
      <c r="Y9" s="6">
        <f>IFERROR(__xludf.DUMMYFUNCTION("""COMPUTED_VALUE"""),66.0)</f>
        <v>66</v>
      </c>
      <c r="Z9" s="6">
        <f>IFERROR(__xludf.DUMMYFUNCTION("""COMPUTED_VALUE"""),70.0)</f>
        <v>70</v>
      </c>
      <c r="AA9" s="6">
        <f>IFERROR(__xludf.DUMMYFUNCTION("""COMPUTED_VALUE"""),75.0)</f>
        <v>75</v>
      </c>
      <c r="AF9" s="6">
        <f t="shared" si="2"/>
        <v>186</v>
      </c>
      <c r="AG9" s="6">
        <f t="shared" si="3"/>
        <v>4</v>
      </c>
      <c r="AJ9" s="6">
        <f t="shared" si="4"/>
        <v>75</v>
      </c>
      <c r="AK9" s="6">
        <f t="shared" si="5"/>
        <v>15</v>
      </c>
    </row>
    <row r="10">
      <c r="J10" s="6">
        <f>IFERROR(__xludf.DUMMYFUNCTION("""COMPUTED_VALUE"""),162.0)</f>
        <v>162</v>
      </c>
      <c r="K10" s="6">
        <f>IFERROR(__xludf.DUMMYFUNCTION("""COMPUTED_VALUE"""),164.0)</f>
        <v>164</v>
      </c>
      <c r="L10" s="6">
        <f>IFERROR(__xludf.DUMMYFUNCTION("""COMPUTED_VALUE"""),168.0)</f>
        <v>168</v>
      </c>
      <c r="M10" s="6">
        <f>IFERROR(__xludf.DUMMYFUNCTION("""COMPUTED_VALUE"""),172.0)</f>
        <v>172</v>
      </c>
      <c r="N10" s="6">
        <f>IFERROR(__xludf.DUMMYFUNCTION("""COMPUTED_VALUE"""),176.0)</f>
        <v>176</v>
      </c>
      <c r="W10" s="6">
        <f>IFERROR(__xludf.DUMMYFUNCTION("""COMPUTED_VALUE"""),60.0)</f>
        <v>60</v>
      </c>
      <c r="X10" s="6">
        <f>IFERROR(__xludf.DUMMYFUNCTION("""COMPUTED_VALUE"""),63.0)</f>
        <v>63</v>
      </c>
      <c r="Y10" s="6">
        <f>IFERROR(__xludf.DUMMYFUNCTION("""COMPUTED_VALUE"""),66.0)</f>
        <v>66</v>
      </c>
      <c r="Z10" s="6">
        <f>IFERROR(__xludf.DUMMYFUNCTION("""COMPUTED_VALUE"""),70.0)</f>
        <v>70</v>
      </c>
      <c r="AA10" s="6">
        <f>IFERROR(__xludf.DUMMYFUNCTION("""COMPUTED_VALUE"""),75.0)</f>
        <v>75</v>
      </c>
      <c r="AF10" s="6">
        <f t="shared" si="2"/>
        <v>190</v>
      </c>
      <c r="AG10" s="6">
        <f t="shared" si="3"/>
        <v>1</v>
      </c>
      <c r="AJ10" s="6">
        <f t="shared" si="4"/>
        <v>78.6</v>
      </c>
      <c r="AK10" s="6">
        <f t="shared" si="5"/>
        <v>4</v>
      </c>
    </row>
    <row r="11">
      <c r="J11" s="6">
        <f>IFERROR(__xludf.DUMMYFUNCTION("""COMPUTED_VALUE"""),162.0)</f>
        <v>162</v>
      </c>
      <c r="K11" s="6">
        <f>IFERROR(__xludf.DUMMYFUNCTION("""COMPUTED_VALUE"""),164.0)</f>
        <v>164</v>
      </c>
      <c r="L11" s="6">
        <f>IFERROR(__xludf.DUMMYFUNCTION("""COMPUTED_VALUE"""),168.0)</f>
        <v>168</v>
      </c>
      <c r="M11" s="6">
        <f>IFERROR(__xludf.DUMMYFUNCTION("""COMPUTED_VALUE"""),172.0)</f>
        <v>172</v>
      </c>
      <c r="N11" s="6">
        <f>IFERROR(__xludf.DUMMYFUNCTION("""COMPUTED_VALUE"""),177.0)</f>
        <v>177</v>
      </c>
      <c r="W11" s="6">
        <f>IFERROR(__xludf.DUMMYFUNCTION("""COMPUTED_VALUE"""),60.0)</f>
        <v>60</v>
      </c>
      <c r="X11" s="6">
        <f>IFERROR(__xludf.DUMMYFUNCTION("""COMPUTED_VALUE"""),63.0)</f>
        <v>63</v>
      </c>
      <c r="Y11" s="6">
        <f>IFERROR(__xludf.DUMMYFUNCTION("""COMPUTED_VALUE"""),66.0)</f>
        <v>66</v>
      </c>
      <c r="Z11" s="6">
        <f>IFERROR(__xludf.DUMMYFUNCTION("""COMPUTED_VALUE"""),70.0)</f>
        <v>70</v>
      </c>
      <c r="AA11" s="6">
        <f>IFERROR(__xludf.DUMMYFUNCTION("""COMPUTED_VALUE"""),75.0)</f>
        <v>75</v>
      </c>
      <c r="AF11" s="6">
        <f t="shared" si="2"/>
        <v>194</v>
      </c>
      <c r="AG11" s="6">
        <f t="shared" si="3"/>
        <v>1</v>
      </c>
      <c r="AJ11" s="6">
        <f t="shared" si="4"/>
        <v>82.2</v>
      </c>
      <c r="AK11" s="6">
        <f t="shared" si="5"/>
        <v>1</v>
      </c>
    </row>
    <row r="12">
      <c r="J12" s="6">
        <f>IFERROR(__xludf.DUMMYFUNCTION("""COMPUTED_VALUE"""),163.0)</f>
        <v>163</v>
      </c>
      <c r="K12" s="6">
        <f>IFERROR(__xludf.DUMMYFUNCTION("""COMPUTED_VALUE"""),164.0)</f>
        <v>164</v>
      </c>
      <c r="L12" s="6">
        <f>IFERROR(__xludf.DUMMYFUNCTION("""COMPUTED_VALUE"""),168.0)</f>
        <v>168</v>
      </c>
      <c r="M12" s="6">
        <f>IFERROR(__xludf.DUMMYFUNCTION("""COMPUTED_VALUE"""),172.0)</f>
        <v>172</v>
      </c>
      <c r="N12" s="6">
        <f>IFERROR(__xludf.DUMMYFUNCTION("""COMPUTED_VALUE"""),177.0)</f>
        <v>177</v>
      </c>
      <c r="W12" s="6">
        <f>IFERROR(__xludf.DUMMYFUNCTION("""COMPUTED_VALUE"""),60.0)</f>
        <v>60</v>
      </c>
      <c r="X12" s="6">
        <f>IFERROR(__xludf.DUMMYFUNCTION("""COMPUTED_VALUE"""),63.0)</f>
        <v>63</v>
      </c>
      <c r="Y12" s="6">
        <f>IFERROR(__xludf.DUMMYFUNCTION("""COMPUTED_VALUE"""),66.0)</f>
        <v>66</v>
      </c>
      <c r="Z12" s="6">
        <f>IFERROR(__xludf.DUMMYFUNCTION("""COMPUTED_VALUE"""),70.0)</f>
        <v>70</v>
      </c>
      <c r="AA12" s="6">
        <f>IFERROR(__xludf.DUMMYFUNCTION("""COMPUTED_VALUE"""),75.0)</f>
        <v>75</v>
      </c>
    </row>
    <row r="13">
      <c r="A13" s="6" t="str">
        <f t="array" ref="A13:G23">INDEX(AE1:AK11,0)</f>
        <v>рост</v>
      </c>
      <c r="B13" s="6" t="s">
        <v>14</v>
      </c>
      <c r="C13" s="6" t="s">
        <v>15</v>
      </c>
      <c r="D13" s="6"/>
      <c r="E13" s="6" t="s">
        <v>13</v>
      </c>
      <c r="F13" s="6" t="s">
        <v>14</v>
      </c>
      <c r="G13" s="6" t="s">
        <v>15</v>
      </c>
      <c r="J13" s="6">
        <f>IFERROR(__xludf.DUMMYFUNCTION("""COMPUTED_VALUE"""),163.0)</f>
        <v>163</v>
      </c>
      <c r="K13" s="6">
        <f>IFERROR(__xludf.DUMMYFUNCTION("""COMPUTED_VALUE"""),164.0)</f>
        <v>164</v>
      </c>
      <c r="L13" s="6">
        <f>IFERROR(__xludf.DUMMYFUNCTION("""COMPUTED_VALUE"""),168.0)</f>
        <v>168</v>
      </c>
      <c r="M13" s="6">
        <f>IFERROR(__xludf.DUMMYFUNCTION("""COMPUTED_VALUE"""),172.0)</f>
        <v>172</v>
      </c>
      <c r="N13" s="6">
        <f>IFERROR(__xludf.DUMMYFUNCTION("""COMPUTED_VALUE"""),177.0)</f>
        <v>177</v>
      </c>
      <c r="W13" s="6">
        <f>IFERROR(__xludf.DUMMYFUNCTION("""COMPUTED_VALUE"""),60.0)</f>
        <v>60</v>
      </c>
      <c r="X13" s="6">
        <f>IFERROR(__xludf.DUMMYFUNCTION("""COMPUTED_VALUE"""),63.0)</f>
        <v>63</v>
      </c>
      <c r="Y13" s="6">
        <f>IFERROR(__xludf.DUMMYFUNCTION("""COMPUTED_VALUE"""),66.0)</f>
        <v>66</v>
      </c>
      <c r="Z13" s="6">
        <f>IFERROR(__xludf.DUMMYFUNCTION("""COMPUTED_VALUE"""),70.0)</f>
        <v>70</v>
      </c>
      <c r="AA13" s="6">
        <f>IFERROR(__xludf.DUMMYFUNCTION("""COMPUTED_VALUE"""),76.0)</f>
        <v>76</v>
      </c>
    </row>
    <row r="14">
      <c r="A14" s="6"/>
      <c r="B14" s="6">
        <v>158.0</v>
      </c>
      <c r="C14" s="6">
        <v>7.0</v>
      </c>
      <c r="D14" s="6"/>
      <c r="E14" s="6"/>
      <c r="F14" s="6">
        <v>49.8</v>
      </c>
      <c r="G14" s="6">
        <v>3.0</v>
      </c>
      <c r="J14" s="6">
        <f>IFERROR(__xludf.DUMMYFUNCTION("""COMPUTED_VALUE"""),163.0)</f>
        <v>163</v>
      </c>
      <c r="K14" s="6">
        <f>IFERROR(__xludf.DUMMYFUNCTION("""COMPUTED_VALUE"""),164.0)</f>
        <v>164</v>
      </c>
      <c r="L14" s="6">
        <f>IFERROR(__xludf.DUMMYFUNCTION("""COMPUTED_VALUE"""),168.0)</f>
        <v>168</v>
      </c>
      <c r="M14" s="6">
        <f>IFERROR(__xludf.DUMMYFUNCTION("""COMPUTED_VALUE"""),173.0)</f>
        <v>173</v>
      </c>
      <c r="N14" s="6">
        <f>IFERROR(__xludf.DUMMYFUNCTION("""COMPUTED_VALUE"""),178.0)</f>
        <v>178</v>
      </c>
      <c r="W14" s="6">
        <f>IFERROR(__xludf.DUMMYFUNCTION("""COMPUTED_VALUE"""),60.0)</f>
        <v>60</v>
      </c>
      <c r="X14" s="6">
        <f>IFERROR(__xludf.DUMMYFUNCTION("""COMPUTED_VALUE"""),63.0)</f>
        <v>63</v>
      </c>
      <c r="Y14" s="6">
        <f>IFERROR(__xludf.DUMMYFUNCTION("""COMPUTED_VALUE"""),66.0)</f>
        <v>66</v>
      </c>
      <c r="Z14" s="6">
        <f>IFERROR(__xludf.DUMMYFUNCTION("""COMPUTED_VALUE"""),70.0)</f>
        <v>70</v>
      </c>
      <c r="AA14" s="6">
        <f>IFERROR(__xludf.DUMMYFUNCTION("""COMPUTED_VALUE"""),76.0)</f>
        <v>76</v>
      </c>
    </row>
    <row r="15">
      <c r="A15" s="6"/>
      <c r="B15" s="6">
        <v>162.0</v>
      </c>
      <c r="C15" s="6">
        <v>17.0</v>
      </c>
      <c r="D15" s="6"/>
      <c r="E15" s="6"/>
      <c r="F15" s="6">
        <v>53.4</v>
      </c>
      <c r="G15" s="6">
        <v>8.0</v>
      </c>
      <c r="J15" s="6">
        <f>IFERROR(__xludf.DUMMYFUNCTION("""COMPUTED_VALUE"""),163.0)</f>
        <v>163</v>
      </c>
      <c r="K15" s="6">
        <f>IFERROR(__xludf.DUMMYFUNCTION("""COMPUTED_VALUE"""),164.0)</f>
        <v>164</v>
      </c>
      <c r="L15" s="6">
        <f>IFERROR(__xludf.DUMMYFUNCTION("""COMPUTED_VALUE"""),168.0)</f>
        <v>168</v>
      </c>
      <c r="M15" s="6">
        <f>IFERROR(__xludf.DUMMYFUNCTION("""COMPUTED_VALUE"""),173.0)</f>
        <v>173</v>
      </c>
      <c r="N15" s="6">
        <f>IFERROR(__xludf.DUMMYFUNCTION("""COMPUTED_VALUE"""),178.0)</f>
        <v>178</v>
      </c>
      <c r="W15" s="6">
        <f>IFERROR(__xludf.DUMMYFUNCTION("""COMPUTED_VALUE"""),60.0)</f>
        <v>60</v>
      </c>
      <c r="X15" s="6">
        <f>IFERROR(__xludf.DUMMYFUNCTION("""COMPUTED_VALUE"""),63.0)</f>
        <v>63</v>
      </c>
      <c r="Y15" s="6">
        <f>IFERROR(__xludf.DUMMYFUNCTION("""COMPUTED_VALUE"""),66.0)</f>
        <v>66</v>
      </c>
      <c r="Z15" s="6">
        <f>IFERROR(__xludf.DUMMYFUNCTION("""COMPUTED_VALUE"""),71.0)</f>
        <v>71</v>
      </c>
      <c r="AA15" s="6">
        <f>IFERROR(__xludf.DUMMYFUNCTION("""COMPUTED_VALUE"""),76.0)</f>
        <v>76</v>
      </c>
    </row>
    <row r="16">
      <c r="A16" s="6"/>
      <c r="B16" s="6">
        <v>166.0</v>
      </c>
      <c r="C16" s="6">
        <v>45.0</v>
      </c>
      <c r="D16" s="6"/>
      <c r="E16" s="6"/>
      <c r="F16" s="6">
        <v>57.0</v>
      </c>
      <c r="G16" s="6">
        <v>9.0</v>
      </c>
      <c r="J16" s="6">
        <f>IFERROR(__xludf.DUMMYFUNCTION("""COMPUTED_VALUE"""),163.0)</f>
        <v>163</v>
      </c>
      <c r="K16" s="6">
        <f>IFERROR(__xludf.DUMMYFUNCTION("""COMPUTED_VALUE"""),165.0)</f>
        <v>165</v>
      </c>
      <c r="L16" s="6">
        <f>IFERROR(__xludf.DUMMYFUNCTION("""COMPUTED_VALUE"""),169.0)</f>
        <v>169</v>
      </c>
      <c r="M16" s="6">
        <f>IFERROR(__xludf.DUMMYFUNCTION("""COMPUTED_VALUE"""),173.0)</f>
        <v>173</v>
      </c>
      <c r="N16" s="6">
        <f>IFERROR(__xludf.DUMMYFUNCTION("""COMPUTED_VALUE"""),178.0)</f>
        <v>178</v>
      </c>
      <c r="W16" s="6">
        <f>IFERROR(__xludf.DUMMYFUNCTION("""COMPUTED_VALUE"""),60.0)</f>
        <v>60</v>
      </c>
      <c r="X16" s="6">
        <f>IFERROR(__xludf.DUMMYFUNCTION("""COMPUTED_VALUE"""),63.0)</f>
        <v>63</v>
      </c>
      <c r="Y16" s="6">
        <f>IFERROR(__xludf.DUMMYFUNCTION("""COMPUTED_VALUE"""),66.0)</f>
        <v>66</v>
      </c>
      <c r="Z16" s="6">
        <f>IFERROR(__xludf.DUMMYFUNCTION("""COMPUTED_VALUE"""),71.0)</f>
        <v>71</v>
      </c>
    </row>
    <row r="17">
      <c r="A17" s="6"/>
      <c r="B17" s="6">
        <v>170.0</v>
      </c>
      <c r="C17" s="6">
        <v>60.0</v>
      </c>
      <c r="D17" s="6"/>
      <c r="E17" s="6"/>
      <c r="F17" s="6">
        <v>60.6</v>
      </c>
      <c r="G17" s="6">
        <v>46.0</v>
      </c>
      <c r="J17" s="6">
        <f>IFERROR(__xludf.DUMMYFUNCTION("""COMPUTED_VALUE"""),163.0)</f>
        <v>163</v>
      </c>
      <c r="K17" s="6">
        <f>IFERROR(__xludf.DUMMYFUNCTION("""COMPUTED_VALUE"""),165.0)</f>
        <v>165</v>
      </c>
      <c r="L17" s="6">
        <f>IFERROR(__xludf.DUMMYFUNCTION("""COMPUTED_VALUE"""),169.0)</f>
        <v>169</v>
      </c>
      <c r="M17" s="6">
        <f>IFERROR(__xludf.DUMMYFUNCTION("""COMPUTED_VALUE"""),173.0)</f>
        <v>173</v>
      </c>
      <c r="N17" s="6">
        <f>IFERROR(__xludf.DUMMYFUNCTION("""COMPUTED_VALUE"""),178.0)</f>
        <v>178</v>
      </c>
      <c r="W17" s="6">
        <f>IFERROR(__xludf.DUMMYFUNCTION("""COMPUTED_VALUE"""),60.0)</f>
        <v>60</v>
      </c>
      <c r="X17" s="6">
        <f>IFERROR(__xludf.DUMMYFUNCTION("""COMPUTED_VALUE"""),63.0)</f>
        <v>63</v>
      </c>
      <c r="Y17" s="6">
        <f>IFERROR(__xludf.DUMMYFUNCTION("""COMPUTED_VALUE"""),66.0)</f>
        <v>66</v>
      </c>
      <c r="Z17" s="6">
        <f>IFERROR(__xludf.DUMMYFUNCTION("""COMPUTED_VALUE"""),71.0)</f>
        <v>71</v>
      </c>
    </row>
    <row r="18">
      <c r="A18" s="6"/>
      <c r="B18" s="6">
        <v>174.0</v>
      </c>
      <c r="C18" s="6">
        <v>40.0</v>
      </c>
      <c r="D18" s="6"/>
      <c r="E18" s="6"/>
      <c r="F18" s="6">
        <v>64.2</v>
      </c>
      <c r="G18" s="6">
        <v>38.0</v>
      </c>
      <c r="K18" s="6">
        <f>IFERROR(__xludf.DUMMYFUNCTION("""COMPUTED_VALUE"""),165.0)</f>
        <v>165</v>
      </c>
      <c r="L18" s="6">
        <f>IFERROR(__xludf.DUMMYFUNCTION("""COMPUTED_VALUE"""),169.0)</f>
        <v>169</v>
      </c>
      <c r="M18" s="6">
        <f>IFERROR(__xludf.DUMMYFUNCTION("""COMPUTED_VALUE"""),173.0)</f>
        <v>173</v>
      </c>
      <c r="N18" s="6">
        <f>IFERROR(__xludf.DUMMYFUNCTION("""COMPUTED_VALUE"""),178.0)</f>
        <v>178</v>
      </c>
      <c r="W18" s="6">
        <f>IFERROR(__xludf.DUMMYFUNCTION("""COMPUTED_VALUE"""),60.0)</f>
        <v>60</v>
      </c>
      <c r="X18" s="6">
        <f>IFERROR(__xludf.DUMMYFUNCTION("""COMPUTED_VALUE"""),64.0)</f>
        <v>64</v>
      </c>
      <c r="Y18" s="6">
        <f>IFERROR(__xludf.DUMMYFUNCTION("""COMPUTED_VALUE"""),66.0)</f>
        <v>66</v>
      </c>
      <c r="Z18" s="6">
        <f>IFERROR(__xludf.DUMMYFUNCTION("""COMPUTED_VALUE"""),71.0)</f>
        <v>71</v>
      </c>
    </row>
    <row r="19">
      <c r="A19" s="6"/>
      <c r="B19" s="6">
        <v>178.0</v>
      </c>
      <c r="C19" s="6">
        <v>22.0</v>
      </c>
      <c r="D19" s="6"/>
      <c r="E19" s="6"/>
      <c r="F19" s="6">
        <v>67.8</v>
      </c>
      <c r="G19" s="6">
        <v>49.0</v>
      </c>
      <c r="K19" s="6">
        <f>IFERROR(__xludf.DUMMYFUNCTION("""COMPUTED_VALUE"""),165.0)</f>
        <v>165</v>
      </c>
      <c r="L19" s="6">
        <f>IFERROR(__xludf.DUMMYFUNCTION("""COMPUTED_VALUE"""),169.0)</f>
        <v>169</v>
      </c>
      <c r="M19" s="6">
        <f>IFERROR(__xludf.DUMMYFUNCTION("""COMPUTED_VALUE"""),173.0)</f>
        <v>173</v>
      </c>
      <c r="N19" s="6">
        <f>IFERROR(__xludf.DUMMYFUNCTION("""COMPUTED_VALUE"""),178.0)</f>
        <v>178</v>
      </c>
      <c r="W19" s="6">
        <f>IFERROR(__xludf.DUMMYFUNCTION("""COMPUTED_VALUE"""),60.0)</f>
        <v>60</v>
      </c>
      <c r="X19" s="6">
        <f>IFERROR(__xludf.DUMMYFUNCTION("""COMPUTED_VALUE"""),64.0)</f>
        <v>64</v>
      </c>
      <c r="Y19" s="6">
        <f>IFERROR(__xludf.DUMMYFUNCTION("""COMPUTED_VALUE"""),67.0)</f>
        <v>67</v>
      </c>
      <c r="Z19" s="6">
        <f>IFERROR(__xludf.DUMMYFUNCTION("""COMPUTED_VALUE"""),72.0)</f>
        <v>72</v>
      </c>
    </row>
    <row r="20">
      <c r="A20" s="6"/>
      <c r="B20" s="6">
        <v>182.0</v>
      </c>
      <c r="C20" s="6">
        <v>3.0</v>
      </c>
      <c r="D20" s="6"/>
      <c r="E20" s="6"/>
      <c r="F20" s="6">
        <v>71.4</v>
      </c>
      <c r="G20" s="6">
        <v>27.0</v>
      </c>
      <c r="K20" s="6">
        <f>IFERROR(__xludf.DUMMYFUNCTION("""COMPUTED_VALUE"""),165.0)</f>
        <v>165</v>
      </c>
      <c r="L20" s="6">
        <f>IFERROR(__xludf.DUMMYFUNCTION("""COMPUTED_VALUE"""),169.0)</f>
        <v>169</v>
      </c>
      <c r="M20" s="6">
        <f>IFERROR(__xludf.DUMMYFUNCTION("""COMPUTED_VALUE"""),173.0)</f>
        <v>173</v>
      </c>
      <c r="N20" s="6">
        <f>IFERROR(__xludf.DUMMYFUNCTION("""COMPUTED_VALUE"""),178.0)</f>
        <v>178</v>
      </c>
      <c r="W20" s="6">
        <f>IFERROR(__xludf.DUMMYFUNCTION("""COMPUTED_VALUE"""),60.0)</f>
        <v>60</v>
      </c>
      <c r="X20" s="6">
        <f>IFERROR(__xludf.DUMMYFUNCTION("""COMPUTED_VALUE"""),64.0)</f>
        <v>64</v>
      </c>
      <c r="Y20" s="6">
        <f>IFERROR(__xludf.DUMMYFUNCTION("""COMPUTED_VALUE"""),67.0)</f>
        <v>67</v>
      </c>
      <c r="Z20" s="6">
        <f>IFERROR(__xludf.DUMMYFUNCTION("""COMPUTED_VALUE"""),72.0)</f>
        <v>72</v>
      </c>
    </row>
    <row r="21">
      <c r="A21" s="6"/>
      <c r="B21" s="6">
        <v>186.0</v>
      </c>
      <c r="C21" s="6">
        <v>4.0</v>
      </c>
      <c r="D21" s="6"/>
      <c r="E21" s="6"/>
      <c r="F21" s="6">
        <v>75.0</v>
      </c>
      <c r="G21" s="6">
        <v>15.0</v>
      </c>
      <c r="K21" s="6">
        <f>IFERROR(__xludf.DUMMYFUNCTION("""COMPUTED_VALUE"""),165.0)</f>
        <v>165</v>
      </c>
      <c r="L21" s="6">
        <f>IFERROR(__xludf.DUMMYFUNCTION("""COMPUTED_VALUE"""),169.0)</f>
        <v>169</v>
      </c>
      <c r="M21" s="6">
        <f>IFERROR(__xludf.DUMMYFUNCTION("""COMPUTED_VALUE"""),173.0)</f>
        <v>173</v>
      </c>
      <c r="N21" s="6">
        <f>IFERROR(__xludf.DUMMYFUNCTION("""COMPUTED_VALUE"""),179.0)</f>
        <v>179</v>
      </c>
      <c r="W21" s="6">
        <f>IFERROR(__xludf.DUMMYFUNCTION("""COMPUTED_VALUE"""),60.0)</f>
        <v>60</v>
      </c>
      <c r="X21" s="6">
        <f>IFERROR(__xludf.DUMMYFUNCTION("""COMPUTED_VALUE"""),64.0)</f>
        <v>64</v>
      </c>
      <c r="Y21" s="6">
        <f>IFERROR(__xludf.DUMMYFUNCTION("""COMPUTED_VALUE"""),67.0)</f>
        <v>67</v>
      </c>
      <c r="Z21" s="6">
        <f>IFERROR(__xludf.DUMMYFUNCTION("""COMPUTED_VALUE"""),72.0)</f>
        <v>72</v>
      </c>
    </row>
    <row r="22">
      <c r="A22" s="6"/>
      <c r="B22" s="6">
        <v>190.0</v>
      </c>
      <c r="C22" s="6">
        <v>1.0</v>
      </c>
      <c r="D22" s="6"/>
      <c r="E22" s="6"/>
      <c r="F22" s="6">
        <v>78.6</v>
      </c>
      <c r="G22" s="6">
        <v>4.0</v>
      </c>
      <c r="K22" s="6">
        <f>IFERROR(__xludf.DUMMYFUNCTION("""COMPUTED_VALUE"""),165.0)</f>
        <v>165</v>
      </c>
      <c r="L22" s="6">
        <f>IFERROR(__xludf.DUMMYFUNCTION("""COMPUTED_VALUE"""),169.0)</f>
        <v>169</v>
      </c>
      <c r="M22" s="6">
        <f>IFERROR(__xludf.DUMMYFUNCTION("""COMPUTED_VALUE"""),173.0)</f>
        <v>173</v>
      </c>
      <c r="N22" s="6">
        <f>IFERROR(__xludf.DUMMYFUNCTION("""COMPUTED_VALUE"""),179.0)</f>
        <v>179</v>
      </c>
      <c r="W22" s="6">
        <f>IFERROR(__xludf.DUMMYFUNCTION("""COMPUTED_VALUE"""),60.0)</f>
        <v>60</v>
      </c>
      <c r="X22" s="6">
        <f>IFERROR(__xludf.DUMMYFUNCTION("""COMPUTED_VALUE"""),64.0)</f>
        <v>64</v>
      </c>
      <c r="Y22" s="6">
        <f>IFERROR(__xludf.DUMMYFUNCTION("""COMPUTED_VALUE"""),67.0)</f>
        <v>67</v>
      </c>
      <c r="Z22" s="6">
        <f>IFERROR(__xludf.DUMMYFUNCTION("""COMPUTED_VALUE"""),72.0)</f>
        <v>72</v>
      </c>
    </row>
    <row r="23">
      <c r="A23" s="6"/>
      <c r="B23" s="6">
        <v>194.0</v>
      </c>
      <c r="C23" s="6">
        <v>1.0</v>
      </c>
      <c r="D23" s="6"/>
      <c r="E23" s="6"/>
      <c r="F23" s="6">
        <v>82.2</v>
      </c>
      <c r="G23" s="6">
        <v>1.0</v>
      </c>
      <c r="K23" s="6">
        <f>IFERROR(__xludf.DUMMYFUNCTION("""COMPUTED_VALUE"""),165.0)</f>
        <v>165</v>
      </c>
      <c r="L23" s="6">
        <f>IFERROR(__xludf.DUMMYFUNCTION("""COMPUTED_VALUE"""),169.0)</f>
        <v>169</v>
      </c>
      <c r="M23" s="6">
        <f>IFERROR(__xludf.DUMMYFUNCTION("""COMPUTED_VALUE"""),173.0)</f>
        <v>173</v>
      </c>
      <c r="W23" s="6">
        <f>IFERROR(__xludf.DUMMYFUNCTION("""COMPUTED_VALUE"""),60.0)</f>
        <v>60</v>
      </c>
      <c r="X23" s="6">
        <f>IFERROR(__xludf.DUMMYFUNCTION("""COMPUTED_VALUE"""),64.0)</f>
        <v>64</v>
      </c>
      <c r="Y23" s="6">
        <f>IFERROR(__xludf.DUMMYFUNCTION("""COMPUTED_VALUE"""),67.0)</f>
        <v>67</v>
      </c>
      <c r="Z23" s="6">
        <f>IFERROR(__xludf.DUMMYFUNCTION("""COMPUTED_VALUE"""),73.0)</f>
        <v>73</v>
      </c>
    </row>
    <row r="24">
      <c r="K24" s="6">
        <f>IFERROR(__xludf.DUMMYFUNCTION("""COMPUTED_VALUE"""),165.0)</f>
        <v>165</v>
      </c>
      <c r="L24" s="6">
        <f>IFERROR(__xludf.DUMMYFUNCTION("""COMPUTED_VALUE"""),169.0)</f>
        <v>169</v>
      </c>
      <c r="M24" s="6">
        <f>IFERROR(__xludf.DUMMYFUNCTION("""COMPUTED_VALUE"""),173.0)</f>
        <v>173</v>
      </c>
      <c r="W24" s="6">
        <f>IFERROR(__xludf.DUMMYFUNCTION("""COMPUTED_VALUE"""),60.0)</f>
        <v>60</v>
      </c>
      <c r="X24" s="6">
        <f>IFERROR(__xludf.DUMMYFUNCTION("""COMPUTED_VALUE"""),64.0)</f>
        <v>64</v>
      </c>
      <c r="Y24" s="6">
        <f>IFERROR(__xludf.DUMMYFUNCTION("""COMPUTED_VALUE"""),67.0)</f>
        <v>67</v>
      </c>
      <c r="Z24" s="6">
        <f>IFERROR(__xludf.DUMMYFUNCTION("""COMPUTED_VALUE"""),73.0)</f>
        <v>73</v>
      </c>
    </row>
    <row r="25">
      <c r="K25" s="6">
        <f>IFERROR(__xludf.DUMMYFUNCTION("""COMPUTED_VALUE"""),165.0)</f>
        <v>165</v>
      </c>
      <c r="L25" s="6">
        <f>IFERROR(__xludf.DUMMYFUNCTION("""COMPUTED_VALUE"""),169.0)</f>
        <v>169</v>
      </c>
      <c r="M25" s="6">
        <f>IFERROR(__xludf.DUMMYFUNCTION("""COMPUTED_VALUE"""),173.0)</f>
        <v>173</v>
      </c>
      <c r="W25" s="6">
        <f>IFERROR(__xludf.DUMMYFUNCTION("""COMPUTED_VALUE"""),60.0)</f>
        <v>60</v>
      </c>
      <c r="X25" s="6">
        <f>IFERROR(__xludf.DUMMYFUNCTION("""COMPUTED_VALUE"""),64.0)</f>
        <v>64</v>
      </c>
      <c r="Y25" s="6">
        <f>IFERROR(__xludf.DUMMYFUNCTION("""COMPUTED_VALUE"""),67.0)</f>
        <v>67</v>
      </c>
      <c r="Z25" s="6">
        <f>IFERROR(__xludf.DUMMYFUNCTION("""COMPUTED_VALUE"""),73.0)</f>
        <v>73</v>
      </c>
    </row>
    <row r="26">
      <c r="K26" s="6">
        <f>IFERROR(__xludf.DUMMYFUNCTION("""COMPUTED_VALUE"""),165.0)</f>
        <v>165</v>
      </c>
      <c r="L26" s="6">
        <f>IFERROR(__xludf.DUMMYFUNCTION("""COMPUTED_VALUE"""),169.0)</f>
        <v>169</v>
      </c>
      <c r="M26" s="6">
        <f>IFERROR(__xludf.DUMMYFUNCTION("""COMPUTED_VALUE"""),173.0)</f>
        <v>173</v>
      </c>
      <c r="W26" s="6">
        <f>IFERROR(__xludf.DUMMYFUNCTION("""COMPUTED_VALUE"""),61.0)</f>
        <v>61</v>
      </c>
      <c r="X26" s="6">
        <f>IFERROR(__xludf.DUMMYFUNCTION("""COMPUTED_VALUE"""),64.0)</f>
        <v>64</v>
      </c>
      <c r="Y26" s="6">
        <f>IFERROR(__xludf.DUMMYFUNCTION("""COMPUTED_VALUE"""),67.0)</f>
        <v>67</v>
      </c>
      <c r="Z26" s="6">
        <f>IFERROR(__xludf.DUMMYFUNCTION("""COMPUTED_VALUE"""),73.0)</f>
        <v>73</v>
      </c>
    </row>
    <row r="27">
      <c r="I27" s="7"/>
      <c r="K27" s="6">
        <f>IFERROR(__xludf.DUMMYFUNCTION("""COMPUTED_VALUE"""),166.0)</f>
        <v>166</v>
      </c>
      <c r="L27" s="6">
        <f>IFERROR(__xludf.DUMMYFUNCTION("""COMPUTED_VALUE"""),169.0)</f>
        <v>169</v>
      </c>
      <c r="M27" s="6">
        <f>IFERROR(__xludf.DUMMYFUNCTION("""COMPUTED_VALUE"""),173.0)</f>
        <v>173</v>
      </c>
      <c r="W27" s="6">
        <f>IFERROR(__xludf.DUMMYFUNCTION("""COMPUTED_VALUE"""),61.0)</f>
        <v>61</v>
      </c>
      <c r="X27" s="6">
        <f>IFERROR(__xludf.DUMMYFUNCTION("""COMPUTED_VALUE"""),64.0)</f>
        <v>64</v>
      </c>
      <c r="Y27" s="6">
        <f>IFERROR(__xludf.DUMMYFUNCTION("""COMPUTED_VALUE"""),67.0)</f>
        <v>67</v>
      </c>
      <c r="Z27" s="6">
        <f>IFERROR(__xludf.DUMMYFUNCTION("""COMPUTED_VALUE"""),73.0)</f>
        <v>73</v>
      </c>
    </row>
    <row r="28">
      <c r="K28" s="6">
        <f>IFERROR(__xludf.DUMMYFUNCTION("""COMPUTED_VALUE"""),166.0)</f>
        <v>166</v>
      </c>
      <c r="L28" s="6">
        <f>IFERROR(__xludf.DUMMYFUNCTION("""COMPUTED_VALUE"""),169.0)</f>
        <v>169</v>
      </c>
      <c r="M28" s="6">
        <f>IFERROR(__xludf.DUMMYFUNCTION("""COMPUTED_VALUE"""),174.0)</f>
        <v>174</v>
      </c>
      <c r="W28" s="6">
        <f>IFERROR(__xludf.DUMMYFUNCTION("""COMPUTED_VALUE"""),61.0)</f>
        <v>61</v>
      </c>
      <c r="X28" s="6">
        <f>IFERROR(__xludf.DUMMYFUNCTION("""COMPUTED_VALUE"""),64.0)</f>
        <v>64</v>
      </c>
      <c r="Y28" s="6">
        <f>IFERROR(__xludf.DUMMYFUNCTION("""COMPUTED_VALUE"""),67.0)</f>
        <v>67</v>
      </c>
    </row>
    <row r="29">
      <c r="K29" s="6">
        <f>IFERROR(__xludf.DUMMYFUNCTION("""COMPUTED_VALUE"""),166.0)</f>
        <v>166</v>
      </c>
      <c r="L29" s="6">
        <f>IFERROR(__xludf.DUMMYFUNCTION("""COMPUTED_VALUE"""),170.0)</f>
        <v>170</v>
      </c>
      <c r="M29" s="6">
        <f>IFERROR(__xludf.DUMMYFUNCTION("""COMPUTED_VALUE"""),174.0)</f>
        <v>174</v>
      </c>
      <c r="W29" s="6">
        <f>IFERROR(__xludf.DUMMYFUNCTION("""COMPUTED_VALUE"""),61.0)</f>
        <v>61</v>
      </c>
      <c r="X29" s="6">
        <f>IFERROR(__xludf.DUMMYFUNCTION("""COMPUTED_VALUE"""),65.0)</f>
        <v>65</v>
      </c>
      <c r="Y29" s="6">
        <f>IFERROR(__xludf.DUMMYFUNCTION("""COMPUTED_VALUE"""),67.0)</f>
        <v>67</v>
      </c>
    </row>
    <row r="30">
      <c r="K30" s="6">
        <f>IFERROR(__xludf.DUMMYFUNCTION("""COMPUTED_VALUE"""),166.0)</f>
        <v>166</v>
      </c>
      <c r="L30" s="6">
        <f>IFERROR(__xludf.DUMMYFUNCTION("""COMPUTED_VALUE"""),170.0)</f>
        <v>170</v>
      </c>
      <c r="M30" s="6">
        <f>IFERROR(__xludf.DUMMYFUNCTION("""COMPUTED_VALUE"""),174.0)</f>
        <v>174</v>
      </c>
      <c r="W30" s="6">
        <f>IFERROR(__xludf.DUMMYFUNCTION("""COMPUTED_VALUE"""),61.0)</f>
        <v>61</v>
      </c>
      <c r="X30" s="6">
        <f>IFERROR(__xludf.DUMMYFUNCTION("""COMPUTED_VALUE"""),65.0)</f>
        <v>65</v>
      </c>
      <c r="Y30" s="6">
        <f>IFERROR(__xludf.DUMMYFUNCTION("""COMPUTED_VALUE"""),67.0)</f>
        <v>67</v>
      </c>
    </row>
    <row r="31">
      <c r="K31" s="6">
        <f>IFERROR(__xludf.DUMMYFUNCTION("""COMPUTED_VALUE"""),166.0)</f>
        <v>166</v>
      </c>
      <c r="L31" s="6">
        <f>IFERROR(__xludf.DUMMYFUNCTION("""COMPUTED_VALUE"""),170.0)</f>
        <v>170</v>
      </c>
      <c r="M31" s="6">
        <f>IFERROR(__xludf.DUMMYFUNCTION("""COMPUTED_VALUE"""),174.0)</f>
        <v>174</v>
      </c>
      <c r="W31" s="6">
        <f>IFERROR(__xludf.DUMMYFUNCTION("""COMPUTED_VALUE"""),61.0)</f>
        <v>61</v>
      </c>
      <c r="X31" s="6">
        <f>IFERROR(__xludf.DUMMYFUNCTION("""COMPUTED_VALUE"""),65.0)</f>
        <v>65</v>
      </c>
      <c r="Y31" s="6">
        <f>IFERROR(__xludf.DUMMYFUNCTION("""COMPUTED_VALUE"""),67.0)</f>
        <v>67</v>
      </c>
    </row>
    <row r="32">
      <c r="K32" s="6">
        <f>IFERROR(__xludf.DUMMYFUNCTION("""COMPUTED_VALUE"""),166.0)</f>
        <v>166</v>
      </c>
      <c r="L32" s="6">
        <f>IFERROR(__xludf.DUMMYFUNCTION("""COMPUTED_VALUE"""),170.0)</f>
        <v>170</v>
      </c>
      <c r="M32" s="6">
        <f>IFERROR(__xludf.DUMMYFUNCTION("""COMPUTED_VALUE"""),174.0)</f>
        <v>174</v>
      </c>
      <c r="W32" s="6">
        <f>IFERROR(__xludf.DUMMYFUNCTION("""COMPUTED_VALUE"""),61.0)</f>
        <v>61</v>
      </c>
      <c r="X32" s="6">
        <f>IFERROR(__xludf.DUMMYFUNCTION("""COMPUTED_VALUE"""),65.0)</f>
        <v>65</v>
      </c>
      <c r="Y32" s="6">
        <f>IFERROR(__xludf.DUMMYFUNCTION("""COMPUTED_VALUE"""),67.0)</f>
        <v>67</v>
      </c>
    </row>
    <row r="33">
      <c r="K33" s="6">
        <f>IFERROR(__xludf.DUMMYFUNCTION("""COMPUTED_VALUE"""),166.0)</f>
        <v>166</v>
      </c>
      <c r="L33" s="6">
        <f>IFERROR(__xludf.DUMMYFUNCTION("""COMPUTED_VALUE"""),170.0)</f>
        <v>170</v>
      </c>
      <c r="M33" s="6">
        <f>IFERROR(__xludf.DUMMYFUNCTION("""COMPUTED_VALUE"""),174.0)</f>
        <v>174</v>
      </c>
      <c r="W33" s="6">
        <f>IFERROR(__xludf.DUMMYFUNCTION("""COMPUTED_VALUE"""),61.0)</f>
        <v>61</v>
      </c>
      <c r="X33" s="6">
        <f>IFERROR(__xludf.DUMMYFUNCTION("""COMPUTED_VALUE"""),65.0)</f>
        <v>65</v>
      </c>
      <c r="Y33" s="6">
        <f>IFERROR(__xludf.DUMMYFUNCTION("""COMPUTED_VALUE"""),68.0)</f>
        <v>68</v>
      </c>
    </row>
    <row r="34">
      <c r="K34" s="6">
        <f>IFERROR(__xludf.DUMMYFUNCTION("""COMPUTED_VALUE"""),166.0)</f>
        <v>166</v>
      </c>
      <c r="L34" s="6">
        <f>IFERROR(__xludf.DUMMYFUNCTION("""COMPUTED_VALUE"""),170.0)</f>
        <v>170</v>
      </c>
      <c r="M34" s="6">
        <f>IFERROR(__xludf.DUMMYFUNCTION("""COMPUTED_VALUE"""),174.0)</f>
        <v>174</v>
      </c>
      <c r="W34" s="6">
        <f>IFERROR(__xludf.DUMMYFUNCTION("""COMPUTED_VALUE"""),61.0)</f>
        <v>61</v>
      </c>
      <c r="X34" s="6">
        <f>IFERROR(__xludf.DUMMYFUNCTION("""COMPUTED_VALUE"""),65.0)</f>
        <v>65</v>
      </c>
      <c r="Y34" s="6">
        <f>IFERROR(__xludf.DUMMYFUNCTION("""COMPUTED_VALUE"""),68.0)</f>
        <v>68</v>
      </c>
    </row>
    <row r="35">
      <c r="K35" s="6">
        <f>IFERROR(__xludf.DUMMYFUNCTION("""COMPUTED_VALUE"""),167.0)</f>
        <v>167</v>
      </c>
      <c r="L35" s="6">
        <f>IFERROR(__xludf.DUMMYFUNCTION("""COMPUTED_VALUE"""),170.0)</f>
        <v>170</v>
      </c>
      <c r="M35" s="6">
        <f>IFERROR(__xludf.DUMMYFUNCTION("""COMPUTED_VALUE"""),175.0)</f>
        <v>175</v>
      </c>
      <c r="W35" s="6">
        <f>IFERROR(__xludf.DUMMYFUNCTION("""COMPUTED_VALUE"""),61.0)</f>
        <v>61</v>
      </c>
      <c r="X35" s="6">
        <f>IFERROR(__xludf.DUMMYFUNCTION("""COMPUTED_VALUE"""),65.0)</f>
        <v>65</v>
      </c>
      <c r="Y35" s="6">
        <f>IFERROR(__xludf.DUMMYFUNCTION("""COMPUTED_VALUE"""),68.0)</f>
        <v>68</v>
      </c>
    </row>
    <row r="36">
      <c r="K36" s="6">
        <f>IFERROR(__xludf.DUMMYFUNCTION("""COMPUTED_VALUE"""),167.0)</f>
        <v>167</v>
      </c>
      <c r="L36" s="6">
        <f>IFERROR(__xludf.DUMMYFUNCTION("""COMPUTED_VALUE"""),170.0)</f>
        <v>170</v>
      </c>
      <c r="M36" s="6">
        <f>IFERROR(__xludf.DUMMYFUNCTION("""COMPUTED_VALUE"""),175.0)</f>
        <v>175</v>
      </c>
      <c r="W36" s="6">
        <f>IFERROR(__xludf.DUMMYFUNCTION("""COMPUTED_VALUE"""),61.0)</f>
        <v>61</v>
      </c>
      <c r="X36" s="6">
        <f>IFERROR(__xludf.DUMMYFUNCTION("""COMPUTED_VALUE"""),65.0)</f>
        <v>65</v>
      </c>
      <c r="Y36" s="6">
        <f>IFERROR(__xludf.DUMMYFUNCTION("""COMPUTED_VALUE"""),68.0)</f>
        <v>68</v>
      </c>
    </row>
    <row r="37">
      <c r="K37" s="6">
        <f>IFERROR(__xludf.DUMMYFUNCTION("""COMPUTED_VALUE"""),167.0)</f>
        <v>167</v>
      </c>
      <c r="L37" s="6">
        <f>IFERROR(__xludf.DUMMYFUNCTION("""COMPUTED_VALUE"""),170.0)</f>
        <v>170</v>
      </c>
      <c r="M37" s="6">
        <f>IFERROR(__xludf.DUMMYFUNCTION("""COMPUTED_VALUE"""),175.0)</f>
        <v>175</v>
      </c>
      <c r="W37" s="6">
        <f>IFERROR(__xludf.DUMMYFUNCTION("""COMPUTED_VALUE"""),61.0)</f>
        <v>61</v>
      </c>
      <c r="X37" s="6">
        <f>IFERROR(__xludf.DUMMYFUNCTION("""COMPUTED_VALUE"""),65.0)</f>
        <v>65</v>
      </c>
      <c r="Y37" s="6">
        <f>IFERROR(__xludf.DUMMYFUNCTION("""COMPUTED_VALUE"""),68.0)</f>
        <v>68</v>
      </c>
    </row>
    <row r="38">
      <c r="K38" s="6">
        <f>IFERROR(__xludf.DUMMYFUNCTION("""COMPUTED_VALUE"""),167.0)</f>
        <v>167</v>
      </c>
      <c r="L38" s="6">
        <f>IFERROR(__xludf.DUMMYFUNCTION("""COMPUTED_VALUE"""),170.0)</f>
        <v>170</v>
      </c>
      <c r="M38" s="6">
        <f>IFERROR(__xludf.DUMMYFUNCTION("""COMPUTED_VALUE"""),175.0)</f>
        <v>175</v>
      </c>
      <c r="W38" s="6">
        <f>IFERROR(__xludf.DUMMYFUNCTION("""COMPUTED_VALUE"""),62.0)</f>
        <v>62</v>
      </c>
      <c r="X38" s="6">
        <f>IFERROR(__xludf.DUMMYFUNCTION("""COMPUTED_VALUE"""),65.0)</f>
        <v>65</v>
      </c>
      <c r="Y38" s="6">
        <f>IFERROR(__xludf.DUMMYFUNCTION("""COMPUTED_VALUE"""),68.0)</f>
        <v>68</v>
      </c>
    </row>
    <row r="39">
      <c r="K39" s="6">
        <f>IFERROR(__xludf.DUMMYFUNCTION("""COMPUTED_VALUE"""),167.0)</f>
        <v>167</v>
      </c>
      <c r="L39" s="6">
        <f>IFERROR(__xludf.DUMMYFUNCTION("""COMPUTED_VALUE"""),170.0)</f>
        <v>170</v>
      </c>
      <c r="M39" s="6">
        <f>IFERROR(__xludf.DUMMYFUNCTION("""COMPUTED_VALUE"""),175.0)</f>
        <v>175</v>
      </c>
      <c r="W39" s="6">
        <f>IFERROR(__xludf.DUMMYFUNCTION("""COMPUTED_VALUE"""),62.0)</f>
        <v>62</v>
      </c>
      <c r="Y39" s="6">
        <f>IFERROR(__xludf.DUMMYFUNCTION("""COMPUTED_VALUE"""),68.0)</f>
        <v>68</v>
      </c>
    </row>
    <row r="40">
      <c r="K40" s="6">
        <f>IFERROR(__xludf.DUMMYFUNCTION("""COMPUTED_VALUE"""),167.0)</f>
        <v>167</v>
      </c>
      <c r="L40" s="6">
        <f>IFERROR(__xludf.DUMMYFUNCTION("""COMPUTED_VALUE"""),170.0)</f>
        <v>170</v>
      </c>
      <c r="M40" s="6">
        <f>IFERROR(__xludf.DUMMYFUNCTION("""COMPUTED_VALUE"""),175.0)</f>
        <v>175</v>
      </c>
      <c r="W40" s="6">
        <f>IFERROR(__xludf.DUMMYFUNCTION("""COMPUTED_VALUE"""),62.0)</f>
        <v>62</v>
      </c>
      <c r="Y40" s="6">
        <f>IFERROR(__xludf.DUMMYFUNCTION("""COMPUTED_VALUE"""),68.0)</f>
        <v>68</v>
      </c>
    </row>
    <row r="41">
      <c r="K41" s="6">
        <f>IFERROR(__xludf.DUMMYFUNCTION("""COMPUTED_VALUE"""),167.0)</f>
        <v>167</v>
      </c>
      <c r="L41" s="6">
        <f>IFERROR(__xludf.DUMMYFUNCTION("""COMPUTED_VALUE"""),170.0)</f>
        <v>170</v>
      </c>
      <c r="W41" s="6">
        <f>IFERROR(__xludf.DUMMYFUNCTION("""COMPUTED_VALUE"""),62.0)</f>
        <v>62</v>
      </c>
      <c r="Y41" s="6">
        <f>IFERROR(__xludf.DUMMYFUNCTION("""COMPUTED_VALUE"""),69.0)</f>
        <v>69</v>
      </c>
    </row>
    <row r="42">
      <c r="K42" s="6">
        <f>IFERROR(__xludf.DUMMYFUNCTION("""COMPUTED_VALUE"""),167.0)</f>
        <v>167</v>
      </c>
      <c r="L42" s="6">
        <f>IFERROR(__xludf.DUMMYFUNCTION("""COMPUTED_VALUE"""),171.0)</f>
        <v>171</v>
      </c>
      <c r="W42" s="6">
        <f>IFERROR(__xludf.DUMMYFUNCTION("""COMPUTED_VALUE"""),62.0)</f>
        <v>62</v>
      </c>
      <c r="Y42" s="6">
        <f>IFERROR(__xludf.DUMMYFUNCTION("""COMPUTED_VALUE"""),69.0)</f>
        <v>69</v>
      </c>
    </row>
    <row r="43">
      <c r="K43" s="6">
        <f>IFERROR(__xludf.DUMMYFUNCTION("""COMPUTED_VALUE"""),167.0)</f>
        <v>167</v>
      </c>
      <c r="L43" s="6">
        <f>IFERROR(__xludf.DUMMYFUNCTION("""COMPUTED_VALUE"""),171.0)</f>
        <v>171</v>
      </c>
      <c r="W43" s="6">
        <f>IFERROR(__xludf.DUMMYFUNCTION("""COMPUTED_VALUE"""),62.0)</f>
        <v>62</v>
      </c>
      <c r="Y43" s="6">
        <f>IFERROR(__xludf.DUMMYFUNCTION("""COMPUTED_VALUE"""),69.0)</f>
        <v>69</v>
      </c>
    </row>
    <row r="44">
      <c r="K44" s="6">
        <f>IFERROR(__xludf.DUMMYFUNCTION("""COMPUTED_VALUE"""),167.0)</f>
        <v>167</v>
      </c>
      <c r="L44" s="6">
        <f>IFERROR(__xludf.DUMMYFUNCTION("""COMPUTED_VALUE"""),171.0)</f>
        <v>171</v>
      </c>
      <c r="W44" s="6">
        <f>IFERROR(__xludf.DUMMYFUNCTION("""COMPUTED_VALUE"""),62.0)</f>
        <v>62</v>
      </c>
      <c r="Y44" s="6">
        <f>IFERROR(__xludf.DUMMYFUNCTION("""COMPUTED_VALUE"""),69.0)</f>
        <v>69</v>
      </c>
    </row>
    <row r="45">
      <c r="K45" s="6">
        <f>IFERROR(__xludf.DUMMYFUNCTION("""COMPUTED_VALUE"""),167.0)</f>
        <v>167</v>
      </c>
      <c r="L45" s="6">
        <f>IFERROR(__xludf.DUMMYFUNCTION("""COMPUTED_VALUE"""),171.0)</f>
        <v>171</v>
      </c>
      <c r="W45" s="6">
        <f>IFERROR(__xludf.DUMMYFUNCTION("""COMPUTED_VALUE"""),62.0)</f>
        <v>62</v>
      </c>
      <c r="Y45" s="6">
        <f>IFERROR(__xludf.DUMMYFUNCTION("""COMPUTED_VALUE"""),69.0)</f>
        <v>69</v>
      </c>
    </row>
    <row r="46">
      <c r="L46" s="6">
        <f>IFERROR(__xludf.DUMMYFUNCTION("""COMPUTED_VALUE"""),171.0)</f>
        <v>171</v>
      </c>
      <c r="W46" s="6">
        <f>IFERROR(__xludf.DUMMYFUNCTION("""COMPUTED_VALUE"""),62.0)</f>
        <v>62</v>
      </c>
      <c r="Y46" s="6">
        <f>IFERROR(__xludf.DUMMYFUNCTION("""COMPUTED_VALUE"""),69.0)</f>
        <v>69</v>
      </c>
    </row>
    <row r="47">
      <c r="L47" s="6">
        <f>IFERROR(__xludf.DUMMYFUNCTION("""COMPUTED_VALUE"""),171.0)</f>
        <v>171</v>
      </c>
      <c r="Y47" s="6">
        <f>IFERROR(__xludf.DUMMYFUNCTION("""COMPUTED_VALUE"""),69.0)</f>
        <v>69</v>
      </c>
    </row>
    <row r="48">
      <c r="L48" s="6">
        <f>IFERROR(__xludf.DUMMYFUNCTION("""COMPUTED_VALUE"""),171.0)</f>
        <v>171</v>
      </c>
      <c r="Y48" s="6">
        <f>IFERROR(__xludf.DUMMYFUNCTION("""COMPUTED_VALUE"""),69.0)</f>
        <v>69</v>
      </c>
    </row>
    <row r="49">
      <c r="L49" s="6">
        <f>IFERROR(__xludf.DUMMYFUNCTION("""COMPUTED_VALUE"""),171.0)</f>
        <v>171</v>
      </c>
      <c r="Y49" s="6">
        <f>IFERROR(__xludf.DUMMYFUNCTION("""COMPUTED_VALUE"""),69.0)</f>
        <v>69</v>
      </c>
    </row>
    <row r="50">
      <c r="L50" s="6">
        <f>IFERROR(__xludf.DUMMYFUNCTION("""COMPUTED_VALUE"""),171.0)</f>
        <v>171</v>
      </c>
    </row>
    <row r="51">
      <c r="L51" s="6">
        <f>IFERROR(__xludf.DUMMYFUNCTION("""COMPUTED_VALUE"""),171.0)</f>
        <v>171</v>
      </c>
    </row>
    <row r="52">
      <c r="L52" s="6">
        <f>IFERROR(__xludf.DUMMYFUNCTION("""COMPUTED_VALUE"""),171.0)</f>
        <v>171</v>
      </c>
    </row>
    <row r="53">
      <c r="L53" s="6">
        <f>IFERROR(__xludf.DUMMYFUNCTION("""COMPUTED_VALUE"""),171.0)</f>
        <v>171</v>
      </c>
    </row>
    <row r="54">
      <c r="L54" s="6">
        <f>IFERROR(__xludf.DUMMYFUNCTION("""COMPUTED_VALUE"""),171.0)</f>
        <v>171</v>
      </c>
    </row>
    <row r="55">
      <c r="L55" s="6">
        <f>IFERROR(__xludf.DUMMYFUNCTION("""COMPUTED_VALUE"""),171.0)</f>
        <v>171</v>
      </c>
    </row>
    <row r="56">
      <c r="L56" s="6">
        <f>IFERROR(__xludf.DUMMYFUNCTION("""COMPUTED_VALUE"""),171.0)</f>
        <v>171</v>
      </c>
    </row>
    <row r="57">
      <c r="L57" s="6">
        <f>IFERROR(__xludf.DUMMYFUNCTION("""COMPUTED_VALUE"""),171.0)</f>
        <v>171</v>
      </c>
    </row>
    <row r="58">
      <c r="L58" s="6">
        <f>IFERROR(__xludf.DUMMYFUNCTION("""COMPUTED_VALUE"""),171.0)</f>
        <v>171</v>
      </c>
    </row>
    <row r="59">
      <c r="L59" s="6">
        <f>IFERROR(__xludf.DUMMYFUNCTION("""COMPUTED_VALUE"""),171.0)</f>
        <v>171</v>
      </c>
    </row>
    <row r="60">
      <c r="L60" s="6">
        <f>IFERROR(__xludf.DUMMYFUNCTION("""COMPUTED_VALUE"""),171.0)</f>
        <v>171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N1" s="6">
        <f>ROW()-1+'2'!$A$3</f>
        <v>156</v>
      </c>
      <c r="O1" s="6">
        <f>IFERROR(__xludf.DUMMYFUNCTION("COUNT(FILTER('1'!$A$2:$A$201, '1'!$A$2:$A$201&lt;=$N1))"),1.0)</f>
        <v>1</v>
      </c>
    </row>
    <row r="2">
      <c r="N2" s="6">
        <f>ROW()-1+'2'!$A$3</f>
        <v>157</v>
      </c>
      <c r="O2" s="6">
        <f>IFERROR(__xludf.DUMMYFUNCTION("COUNT(FILTER('1'!$A$2:$A$201, '1'!$A$2:$A$201&lt;=$N2))"),2.0)</f>
        <v>2</v>
      </c>
    </row>
    <row r="3">
      <c r="N3" s="6">
        <f>ROW()-1+'2'!$A$3</f>
        <v>158</v>
      </c>
      <c r="O3" s="6">
        <f>IFERROR(__xludf.DUMMYFUNCTION("COUNT(FILTER('1'!$A$2:$A$201, '1'!$A$2:$A$201&lt;=$N3))"),3.0)</f>
        <v>3</v>
      </c>
    </row>
    <row r="4">
      <c r="N4" s="6">
        <f>ROW()-1+'2'!$A$3</f>
        <v>159</v>
      </c>
      <c r="O4" s="6">
        <f>IFERROR(__xludf.DUMMYFUNCTION("COUNT(FILTER('1'!$A$2:$A$201, '1'!$A$2:$A$201&lt;=$N4))"),7.0)</f>
        <v>7</v>
      </c>
    </row>
    <row r="5">
      <c r="N5" s="6">
        <f>ROW()-1+'2'!$A$3</f>
        <v>160</v>
      </c>
      <c r="O5" s="6">
        <f>IFERROR(__xludf.DUMMYFUNCTION("COUNT(FILTER('1'!$A$2:$A$201, '1'!$A$2:$A$201&lt;=$N5))"),8.0)</f>
        <v>8</v>
      </c>
    </row>
    <row r="6">
      <c r="N6" s="6">
        <f>ROW()-1+'2'!$A$3</f>
        <v>161</v>
      </c>
      <c r="O6" s="6">
        <f>IFERROR(__xludf.DUMMYFUNCTION("COUNT(FILTER('1'!$A$2:$A$201, '1'!$A$2:$A$201&lt;=$N6))"),15.0)</f>
        <v>15</v>
      </c>
    </row>
    <row r="7">
      <c r="N7" s="6">
        <f>ROW()-1+'2'!$A$3</f>
        <v>162</v>
      </c>
      <c r="O7" s="6">
        <f>IFERROR(__xludf.DUMMYFUNCTION("COUNT(FILTER('1'!$A$2:$A$201, '1'!$A$2:$A$201&lt;=$N7))"),18.0)</f>
        <v>18</v>
      </c>
    </row>
    <row r="8">
      <c r="N8" s="6">
        <f>ROW()-1+'2'!$A$3</f>
        <v>163</v>
      </c>
      <c r="O8" s="6">
        <f>IFERROR(__xludf.DUMMYFUNCTION("COUNT(FILTER('1'!$A$2:$A$201, '1'!$A$2:$A$201&lt;=$N8))"),24.0)</f>
        <v>24</v>
      </c>
    </row>
    <row r="9">
      <c r="N9" s="6">
        <f>ROW()-1+'2'!$A$3</f>
        <v>164</v>
      </c>
      <c r="O9" s="6">
        <f>IFERROR(__xludf.DUMMYFUNCTION("COUNT(FILTER('1'!$A$2:$A$201, '1'!$A$2:$A$201&lt;=$N9))"),39.0)</f>
        <v>39</v>
      </c>
    </row>
    <row r="10">
      <c r="N10" s="6">
        <f>ROW()-1+'2'!$A$3</f>
        <v>165</v>
      </c>
      <c r="O10" s="6">
        <f>IFERROR(__xludf.DUMMYFUNCTION("COUNT(FILTER('1'!$A$2:$A$201, '1'!$A$2:$A$201&lt;=$N10))"),50.0)</f>
        <v>50</v>
      </c>
    </row>
    <row r="11">
      <c r="N11" s="6">
        <f>ROW()-1+'2'!$A$3</f>
        <v>166</v>
      </c>
      <c r="O11" s="6">
        <f>IFERROR(__xludf.DUMMYFUNCTION("COUNT(FILTER('1'!$A$2:$A$201, '1'!$A$2:$A$201&lt;=$N11))"),58.0)</f>
        <v>58</v>
      </c>
    </row>
    <row r="12">
      <c r="N12" s="6">
        <f>ROW()-1+'2'!$A$3</f>
        <v>167</v>
      </c>
      <c r="O12" s="6">
        <f>IFERROR(__xludf.DUMMYFUNCTION("COUNT(FILTER('1'!$A$2:$A$201, '1'!$A$2:$A$201&lt;=$N12))"),69.0)</f>
        <v>69</v>
      </c>
    </row>
    <row r="13">
      <c r="N13" s="6">
        <f>ROW()-1+'2'!$A$3</f>
        <v>168</v>
      </c>
      <c r="O13" s="6">
        <f>IFERROR(__xludf.DUMMYFUNCTION("COUNT(FILTER('1'!$A$2:$A$201, '1'!$A$2:$A$201&lt;=$N13))"),84.0)</f>
        <v>84</v>
      </c>
    </row>
    <row r="14">
      <c r="N14" s="6">
        <f>ROW()-1+'2'!$A$3</f>
        <v>169</v>
      </c>
      <c r="O14" s="6">
        <f>IFERROR(__xludf.DUMMYFUNCTION("COUNT(FILTER('1'!$A$2:$A$201, '1'!$A$2:$A$201&lt;=$N14))"),97.0)</f>
        <v>97</v>
      </c>
    </row>
    <row r="15">
      <c r="N15" s="6">
        <f>ROW()-1+'2'!$A$3</f>
        <v>170</v>
      </c>
      <c r="O15" s="6">
        <f>IFERROR(__xludf.DUMMYFUNCTION("COUNT(FILTER('1'!$A$2:$A$201, '1'!$A$2:$A$201&lt;=$N15))"),110.0)</f>
        <v>110</v>
      </c>
    </row>
    <row r="16">
      <c r="N16" s="6">
        <f>ROW()-1+'2'!$A$3</f>
        <v>171</v>
      </c>
      <c r="O16" s="6">
        <f>IFERROR(__xludf.DUMMYFUNCTION("COUNT(FILTER('1'!$A$2:$A$201, '1'!$A$2:$A$201&lt;=$N16))"),129.0)</f>
        <v>129</v>
      </c>
    </row>
    <row r="17">
      <c r="N17" s="6">
        <f>ROW()-1+'2'!$A$3</f>
        <v>172</v>
      </c>
      <c r="O17" s="6">
        <f>IFERROR(__xludf.DUMMYFUNCTION("COUNT(FILTER('1'!$A$2:$A$201, '1'!$A$2:$A$201&lt;=$N17))"),142.0)</f>
        <v>142</v>
      </c>
    </row>
    <row r="18">
      <c r="N18" s="6">
        <f>ROW()-1+'2'!$A$3</f>
        <v>173</v>
      </c>
      <c r="O18" s="6">
        <f>IFERROR(__xludf.DUMMYFUNCTION("COUNT(FILTER('1'!$A$2:$A$201, '1'!$A$2:$A$201&lt;=$N18))"),156.0)</f>
        <v>156</v>
      </c>
    </row>
    <row r="19">
      <c r="N19" s="6">
        <f>ROW()-1+'2'!$A$3</f>
        <v>174</v>
      </c>
      <c r="O19" s="6">
        <f>IFERROR(__xludf.DUMMYFUNCTION("COUNT(FILTER('1'!$A$2:$A$201, '1'!$A$2:$A$201&lt;=$N19))"),163.0)</f>
        <v>163</v>
      </c>
    </row>
    <row r="20">
      <c r="N20" s="6">
        <f>ROW()-1+'2'!$A$3</f>
        <v>175</v>
      </c>
      <c r="O20" s="6">
        <f>IFERROR(__xludf.DUMMYFUNCTION("COUNT(FILTER('1'!$A$2:$A$201, '1'!$A$2:$A$201&lt;=$N20))"),169.0)</f>
        <v>169</v>
      </c>
    </row>
    <row r="21">
      <c r="N21" s="6">
        <f>ROW()-1+'2'!$A$3</f>
        <v>176</v>
      </c>
      <c r="O21" s="6">
        <f>IFERROR(__xludf.DUMMYFUNCTION("COUNT(FILTER('1'!$A$2:$A$201, '1'!$A$2:$A$201&lt;=$N21))"),179.0)</f>
        <v>179</v>
      </c>
    </row>
    <row r="22">
      <c r="G22" s="1" t="s">
        <v>19</v>
      </c>
      <c r="N22" s="6">
        <f>ROW()-1+'2'!$A$3</f>
        <v>177</v>
      </c>
      <c r="O22" s="6">
        <f>IFERROR(__xludf.DUMMYFUNCTION("COUNT(FILTER('1'!$A$2:$A$201, '1'!$A$2:$A$201&lt;=$N22))"),182.0)</f>
        <v>182</v>
      </c>
    </row>
    <row r="23">
      <c r="N23" s="6">
        <f>ROW()-1+'2'!$A$3</f>
        <v>178</v>
      </c>
      <c r="O23" s="6">
        <f>IFERROR(__xludf.DUMMYFUNCTION("COUNT(FILTER('1'!$A$2:$A$201, '1'!$A$2:$A$201&lt;=$N23))"),189.0)</f>
        <v>189</v>
      </c>
    </row>
    <row r="24">
      <c r="N24" s="6">
        <f>ROW()-1+'2'!$A$3</f>
        <v>179</v>
      </c>
      <c r="O24" s="6">
        <f>IFERROR(__xludf.DUMMYFUNCTION("COUNT(FILTER('1'!$A$2:$A$201, '1'!$A$2:$A$201&lt;=$N24))"),191.0)</f>
        <v>191</v>
      </c>
    </row>
    <row r="25">
      <c r="N25" s="6">
        <f>ROW()-1+'2'!$A$3</f>
        <v>180</v>
      </c>
      <c r="O25" s="6">
        <f>IFERROR(__xludf.DUMMYFUNCTION("COUNT(FILTER('1'!$A$2:$A$201, '1'!$A$2:$A$201&lt;=$N25))"),192.0)</f>
        <v>192</v>
      </c>
    </row>
    <row r="26">
      <c r="N26" s="6">
        <f>ROW()-1+'2'!$A$3</f>
        <v>181</v>
      </c>
      <c r="O26" s="6">
        <f>IFERROR(__xludf.DUMMYFUNCTION("COUNT(FILTER('1'!$A$2:$A$201, '1'!$A$2:$A$201&lt;=$N26))"),193.0)</f>
        <v>193</v>
      </c>
    </row>
    <row r="27">
      <c r="N27" s="6">
        <f>ROW()-1+'2'!$A$3</f>
        <v>182</v>
      </c>
      <c r="O27" s="6">
        <f>IFERROR(__xludf.DUMMYFUNCTION("COUNT(FILTER('1'!$A$2:$A$201, '1'!$A$2:$A$201&lt;=$N27))"),194.0)</f>
        <v>194</v>
      </c>
    </row>
    <row r="28">
      <c r="N28" s="6">
        <f>ROW()-1+'2'!$A$3</f>
        <v>183</v>
      </c>
      <c r="O28" s="6">
        <f>IFERROR(__xludf.DUMMYFUNCTION("COUNT(FILTER('1'!$A$2:$A$201, '1'!$A$2:$A$201&lt;=$N28))"),194.0)</f>
        <v>194</v>
      </c>
    </row>
    <row r="29">
      <c r="N29" s="6">
        <f>ROW()-1+'2'!$A$3</f>
        <v>184</v>
      </c>
      <c r="O29" s="6">
        <f>IFERROR(__xludf.DUMMYFUNCTION("COUNT(FILTER('1'!$A$2:$A$201, '1'!$A$2:$A$201&lt;=$N29))"),196.0)</f>
        <v>196</v>
      </c>
    </row>
    <row r="30">
      <c r="N30" s="6">
        <f>ROW()-1+'2'!$A$3</f>
        <v>185</v>
      </c>
      <c r="O30" s="6">
        <f>IFERROR(__xludf.DUMMYFUNCTION("COUNT(FILTER('1'!$A$2:$A$201, '1'!$A$2:$A$201&lt;=$N30))"),196.0)</f>
        <v>196</v>
      </c>
    </row>
    <row r="31">
      <c r="N31" s="6">
        <f>ROW()-1+'2'!$A$3</f>
        <v>186</v>
      </c>
      <c r="O31" s="6">
        <f>IFERROR(__xludf.DUMMYFUNCTION("COUNT(FILTER('1'!$A$2:$A$201, '1'!$A$2:$A$201&lt;=$N31))"),196.0)</f>
        <v>196</v>
      </c>
    </row>
    <row r="32">
      <c r="N32" s="6">
        <f>ROW()-1+'2'!$A$3</f>
        <v>187</v>
      </c>
      <c r="O32" s="6">
        <f>IFERROR(__xludf.DUMMYFUNCTION("COUNT(FILTER('1'!$A$2:$A$201, '1'!$A$2:$A$201&lt;=$N32))"),198.0)</f>
        <v>198</v>
      </c>
    </row>
    <row r="33">
      <c r="N33" s="6">
        <f>ROW()-1+'2'!$A$3</f>
        <v>188</v>
      </c>
      <c r="O33" s="6">
        <f>IFERROR(__xludf.DUMMYFUNCTION("COUNT(FILTER('1'!$A$2:$A$201, '1'!$A$2:$A$201&lt;=$N33))"),199.0)</f>
        <v>199</v>
      </c>
    </row>
    <row r="34">
      <c r="N34" s="6">
        <f>ROW()-1+'2'!$A$3</f>
        <v>189</v>
      </c>
      <c r="O34" s="6">
        <f>IFERROR(__xludf.DUMMYFUNCTION("COUNT(FILTER('1'!$A$2:$A$201, '1'!$A$2:$A$201&lt;=$N34))"),199.0)</f>
        <v>199</v>
      </c>
    </row>
    <row r="35">
      <c r="N35" s="6">
        <f>ROW()-1+'2'!$A$3</f>
        <v>190</v>
      </c>
      <c r="O35" s="6">
        <f>IFERROR(__xludf.DUMMYFUNCTION("COUNT(FILTER('1'!$A$2:$A$201, '1'!$A$2:$A$201&lt;=$N35))"),199.0)</f>
        <v>199</v>
      </c>
    </row>
    <row r="36">
      <c r="N36" s="6">
        <f>ROW()-1+'2'!$A$3</f>
        <v>191</v>
      </c>
      <c r="O36" s="6">
        <f>IFERROR(__xludf.DUMMYFUNCTION("COUNT(FILTER('1'!$A$2:$A$201, '1'!$A$2:$A$201&lt;=$N36))"),199.0)</f>
        <v>199</v>
      </c>
    </row>
    <row r="37">
      <c r="N37" s="6">
        <f>ROW()-1+'2'!$A$3</f>
        <v>192</v>
      </c>
      <c r="O37" s="6">
        <f>IFERROR(__xludf.DUMMYFUNCTION("COUNT(FILTER('1'!$A$2:$A$201, '1'!$A$2:$A$201&lt;=$N37))"),199.0)</f>
        <v>199</v>
      </c>
    </row>
    <row r="38">
      <c r="N38" s="6">
        <f>ROW()-1+'2'!$A$3</f>
        <v>193</v>
      </c>
      <c r="O38" s="6">
        <f>IFERROR(__xludf.DUMMYFUNCTION("COUNT(FILTER('1'!$A$2:$A$201, '1'!$A$2:$A$201&lt;=$N38))"),199.0)</f>
        <v>199</v>
      </c>
    </row>
    <row r="39">
      <c r="N39" s="6">
        <f>ROW()-1+'2'!$A$3</f>
        <v>194</v>
      </c>
      <c r="O39" s="6">
        <f>IFERROR(__xludf.DUMMYFUNCTION("COUNT(FILTER('1'!$A$2:$A$201, '1'!$A$2:$A$201&lt;=$N39))"),199.0)</f>
        <v>199</v>
      </c>
    </row>
    <row r="40">
      <c r="N40" s="6">
        <f>ROW()-1+'2'!$A$3</f>
        <v>195</v>
      </c>
      <c r="O40" s="6">
        <f>IFERROR(__xludf.DUMMYFUNCTION("COUNT(FILTER('1'!$A$2:$A$201, '1'!$A$2:$A$201&lt;=$N40))"),199.0)</f>
        <v>199</v>
      </c>
    </row>
    <row r="41">
      <c r="N41" s="6">
        <f>ROW()-1+'2'!$A$3</f>
        <v>196</v>
      </c>
      <c r="O41" s="6">
        <f>IFERROR(__xludf.DUMMYFUNCTION("COUNT(FILTER('1'!$A$2:$A$201, '1'!$A$2:$A$201&lt;=$N41))"),200.0)</f>
        <v>200</v>
      </c>
    </row>
    <row r="42">
      <c r="N42" s="6">
        <f>ROW()-1+'2'!$A$3</f>
        <v>197</v>
      </c>
      <c r="O42" s="6">
        <f>IFERROR(__xludf.DUMMYFUNCTION("COUNT(FILTER('1'!$A$2:$A$201, '1'!$A$2:$A$201&lt;=$N42))"),200.0)</f>
        <v>200</v>
      </c>
    </row>
    <row r="43">
      <c r="N43" s="6">
        <f>ROW()-1+'2'!$A$3</f>
        <v>198</v>
      </c>
      <c r="O43" s="6">
        <f>IFERROR(__xludf.DUMMYFUNCTION("COUNT(FILTER('1'!$A$2:$A$201, '1'!$A$2:$A$201&lt;=$N43))"),200.0)</f>
        <v>200</v>
      </c>
    </row>
    <row r="44">
      <c r="N44" s="6">
        <f>ROW()-1+'2'!$A$3</f>
        <v>199</v>
      </c>
      <c r="O44" s="6">
        <f>IFERROR(__xludf.DUMMYFUNCTION("COUNT(FILTER('1'!$A$2:$A$201, '1'!$A$2:$A$201&lt;=$N44))"),200.0)</f>
        <v>200</v>
      </c>
    </row>
    <row r="45">
      <c r="N45" s="6">
        <f>ROW()-1+'2'!$A$3</f>
        <v>200</v>
      </c>
      <c r="O45" s="6">
        <f>IFERROR(__xludf.DUMMYFUNCTION("COUNT(FILTER('1'!$A$2:$A$201, '1'!$A$2:$A$201&lt;=$N45))"),200.0)</f>
        <v>200</v>
      </c>
    </row>
    <row r="46">
      <c r="N46" s="6">
        <f>ROW()-1+'2'!$A$3</f>
        <v>201</v>
      </c>
      <c r="O46" s="6" t="b">
        <f>ROW()-1+'2'!$A$3&lt;=+'2'!$C$3</f>
        <v>0</v>
      </c>
    </row>
    <row r="47">
      <c r="N47" s="6">
        <f>ROW()-1+'2'!$A$3</f>
        <v>202</v>
      </c>
      <c r="O47" s="6" t="b">
        <f>ROW()-1+'2'!$A$3&lt;=+'2'!$C$3</f>
        <v>0</v>
      </c>
    </row>
    <row r="48">
      <c r="N48" s="6">
        <f>ROW()-1+'2'!$A$3</f>
        <v>203</v>
      </c>
      <c r="O48" s="6" t="b">
        <f>ROW()-1+'2'!$A$3&lt;=+'2'!$C$3</f>
        <v>0</v>
      </c>
    </row>
    <row r="49">
      <c r="N49" s="6">
        <f>ROW()-1+'2'!$A$3</f>
        <v>204</v>
      </c>
      <c r="O49" s="6" t="b">
        <f>ROW()-1+'2'!$A$3&lt;=+'2'!$C$3</f>
        <v>0</v>
      </c>
    </row>
    <row r="50">
      <c r="N50" s="6">
        <f>ROW()-1+'2'!$A$3</f>
        <v>205</v>
      </c>
      <c r="O50" s="6" t="b">
        <f>ROW()-1+'2'!$A$3&lt;=+'2'!$C$3</f>
        <v>0</v>
      </c>
    </row>
    <row r="51">
      <c r="N51" s="6">
        <f>ROW()-1+'2'!$A$3</f>
        <v>206</v>
      </c>
      <c r="O51" s="6" t="b">
        <f>ROW()-1+'2'!$A$3&lt;=+'2'!$C$3</f>
        <v>0</v>
      </c>
    </row>
    <row r="52">
      <c r="N52" s="6">
        <f>ROW()-1+'2'!$A$3</f>
        <v>207</v>
      </c>
      <c r="O52" s="6" t="b">
        <f>ROW()-1+'2'!$A$3&lt;=+'2'!$C$3</f>
        <v>0</v>
      </c>
    </row>
    <row r="53">
      <c r="N53" s="6">
        <f>ROW()-1+'2'!$A$3</f>
        <v>208</v>
      </c>
      <c r="O53" s="6" t="b">
        <f>ROW()-1+'2'!$A$3&lt;=+'2'!$C$3</f>
        <v>0</v>
      </c>
    </row>
    <row r="54">
      <c r="N54" s="6">
        <f>ROW()-1+'2'!$A$3</f>
        <v>209</v>
      </c>
      <c r="O54" s="6" t="b">
        <f>ROW()-1+'2'!$A$3&lt;=+'2'!$C$3</f>
        <v>0</v>
      </c>
    </row>
    <row r="55">
      <c r="N55" s="6">
        <f>ROW()-1+'2'!$A$3</f>
        <v>210</v>
      </c>
      <c r="O55" s="6" t="b">
        <f>ROW()-1+'2'!$A$3&lt;=+'2'!$C$3</f>
        <v>0</v>
      </c>
    </row>
    <row r="56">
      <c r="N56" s="6">
        <f>ROW()-1+'2'!$A$3</f>
        <v>211</v>
      </c>
      <c r="O56" s="6" t="b">
        <f>ROW()-1+'2'!$A$3&lt;=+'2'!$C$3</f>
        <v>0</v>
      </c>
    </row>
    <row r="57">
      <c r="N57" s="6">
        <f>ROW()-1+'2'!$A$3</f>
        <v>212</v>
      </c>
      <c r="O57" s="6" t="b">
        <f>ROW()-1+'2'!$A$3&lt;=+'2'!$C$3</f>
        <v>0</v>
      </c>
    </row>
    <row r="58">
      <c r="N58" s="6">
        <f>ROW()-1+'2'!$A$3</f>
        <v>213</v>
      </c>
      <c r="O58" s="6" t="b">
        <f>ROW()-1+'2'!$A$3&lt;=+'2'!$C$3</f>
        <v>0</v>
      </c>
    </row>
    <row r="59">
      <c r="N59" s="6">
        <f>ROW()-1+'2'!$A$3</f>
        <v>214</v>
      </c>
      <c r="O59" s="6" t="b">
        <f>ROW()-1+'2'!$A$3&lt;=+'2'!$C$3</f>
        <v>0</v>
      </c>
    </row>
    <row r="60">
      <c r="N60" s="6">
        <f>ROW()-1+'2'!$A$3</f>
        <v>215</v>
      </c>
      <c r="O60" s="6" t="b">
        <f>ROW()-1+'2'!$A$3&lt;=+'2'!$C$3</f>
        <v>0</v>
      </c>
    </row>
    <row r="61">
      <c r="N61" s="6">
        <f>ROW()-1+'2'!$A$3</f>
        <v>216</v>
      </c>
      <c r="O61" s="6" t="b">
        <f>ROW()-1+'2'!$A$3&lt;=+'2'!$C$3</f>
        <v>0</v>
      </c>
    </row>
    <row r="62">
      <c r="N62" s="6">
        <f>ROW()-1+'2'!$A$3</f>
        <v>217</v>
      </c>
      <c r="O62" s="6" t="b">
        <f>ROW()-1+'2'!$A$3&lt;=+'2'!$C$3</f>
        <v>0</v>
      </c>
    </row>
    <row r="63">
      <c r="N63" s="6">
        <f>ROW()-1+'2'!$A$3</f>
        <v>218</v>
      </c>
      <c r="O63" s="6" t="b">
        <f>ROW()-1+'2'!$A$3&lt;=+'2'!$C$3</f>
        <v>0</v>
      </c>
    </row>
    <row r="64">
      <c r="N64" s="6">
        <f>ROW()-1+'2'!$A$3</f>
        <v>219</v>
      </c>
      <c r="O64" s="6" t="b">
        <f>ROW()-1+'2'!$A$3&lt;=+'2'!$C$3</f>
        <v>0</v>
      </c>
    </row>
    <row r="65">
      <c r="N65" s="6">
        <f>ROW()-1+'2'!$A$3</f>
        <v>220</v>
      </c>
      <c r="O65" s="6" t="b">
        <f>ROW()-1+'2'!$A$3&lt;=+'2'!$C$3</f>
        <v>0</v>
      </c>
    </row>
    <row r="66">
      <c r="N66" s="6">
        <f>ROW()-1+'2'!$A$3</f>
        <v>221</v>
      </c>
      <c r="O66" s="6" t="b">
        <f>ROW()-1+'2'!$A$3&lt;=+'2'!$C$3</f>
        <v>0</v>
      </c>
    </row>
    <row r="67">
      <c r="N67" s="6">
        <f>ROW()-1+'2'!$A$3</f>
        <v>222</v>
      </c>
      <c r="O67" s="6" t="b">
        <f>ROW()-1+'2'!$A$3&lt;=+'2'!$C$3</f>
        <v>0</v>
      </c>
    </row>
    <row r="68">
      <c r="N68" s="6">
        <f>ROW()-1+'2'!$A$3</f>
        <v>223</v>
      </c>
      <c r="O68" s="6" t="b">
        <f>ROW()-1+'2'!$A$3&lt;=+'2'!$C$3</f>
        <v>0</v>
      </c>
    </row>
    <row r="69">
      <c r="N69" s="6">
        <f>ROW()-1+'2'!$A$3</f>
        <v>224</v>
      </c>
      <c r="O69" s="6" t="b">
        <f>ROW()-1+'2'!$A$3&lt;=+'2'!$C$3</f>
        <v>0</v>
      </c>
    </row>
    <row r="70">
      <c r="N70" s="6">
        <f>ROW()-1+'2'!$A$3</f>
        <v>225</v>
      </c>
      <c r="O70" s="6" t="b">
        <f>ROW()-1+'2'!$A$3&lt;=+'2'!$C$3</f>
        <v>0</v>
      </c>
    </row>
    <row r="71">
      <c r="N71" s="6">
        <f>ROW()-1+'2'!$A$3</f>
        <v>226</v>
      </c>
      <c r="O71" s="6" t="b">
        <f>ROW()-1+'2'!$A$3&lt;=+'2'!$C$3</f>
        <v>0</v>
      </c>
    </row>
    <row r="72">
      <c r="N72" s="6">
        <f>ROW()-1+'2'!$A$3</f>
        <v>227</v>
      </c>
      <c r="O72" s="6" t="b">
        <f>ROW()-1+'2'!$A$3&lt;=+'2'!$C$3</f>
        <v>0</v>
      </c>
    </row>
    <row r="73">
      <c r="N73" s="6">
        <f>ROW()-1+'2'!$A$3</f>
        <v>228</v>
      </c>
      <c r="O73" s="6" t="b">
        <f>ROW()-1+'2'!$A$3&lt;=+'2'!$C$3</f>
        <v>0</v>
      </c>
    </row>
    <row r="74">
      <c r="N74" s="6">
        <f>ROW()-1+'2'!$A$3</f>
        <v>229</v>
      </c>
      <c r="O74" s="6" t="b">
        <f>ROW()-1+'2'!$A$3&lt;=+'2'!$C$3</f>
        <v>0</v>
      </c>
    </row>
    <row r="75">
      <c r="N75" s="6">
        <f>ROW()-1+'2'!$A$3</f>
        <v>230</v>
      </c>
      <c r="O75" s="6" t="b">
        <f>ROW()-1+'2'!$A$3&lt;=+'2'!$C$3</f>
        <v>0</v>
      </c>
    </row>
    <row r="76">
      <c r="N76" s="6">
        <f>ROW()-1+'2'!$A$3</f>
        <v>231</v>
      </c>
      <c r="O76" s="6" t="b">
        <f>ROW()-1+'2'!$A$3&lt;=+'2'!$C$3</f>
        <v>0</v>
      </c>
    </row>
    <row r="77">
      <c r="N77" s="6">
        <f>ROW()-1+'2'!$A$3</f>
        <v>232</v>
      </c>
      <c r="O77" s="6" t="b">
        <f>ROW()-1+'2'!$A$3&lt;=+'2'!$C$3</f>
        <v>0</v>
      </c>
    </row>
    <row r="78">
      <c r="N78" s="6">
        <f>ROW()-1+'2'!$A$3</f>
        <v>233</v>
      </c>
      <c r="O78" s="6" t="b">
        <f>ROW()-1+'2'!$A$3&lt;=+'2'!$C$3</f>
        <v>0</v>
      </c>
    </row>
    <row r="79">
      <c r="N79" s="6">
        <f>ROW()-1+'2'!$A$3</f>
        <v>234</v>
      </c>
      <c r="O79" s="6" t="b">
        <f>ROW()-1+'2'!$A$3&lt;=+'2'!$C$3</f>
        <v>0</v>
      </c>
    </row>
    <row r="80">
      <c r="N80" s="6">
        <f>ROW()-1+'2'!$A$3</f>
        <v>235</v>
      </c>
      <c r="O80" s="6" t="b">
        <f>ROW()-1+'2'!$A$3&lt;=+'2'!$C$3</f>
        <v>0</v>
      </c>
    </row>
    <row r="81">
      <c r="N81" s="6">
        <f>ROW()-1+'2'!$A$3</f>
        <v>236</v>
      </c>
      <c r="O81" s="6" t="b">
        <f>ROW()-1+'2'!$A$3&lt;=+'2'!$C$3</f>
        <v>0</v>
      </c>
    </row>
    <row r="82">
      <c r="N82" s="6">
        <f>ROW()-1+'2'!$A$3</f>
        <v>237</v>
      </c>
      <c r="O82" s="6" t="b">
        <f>ROW()-1+'2'!$A$3&lt;=+'2'!$C$3</f>
        <v>0</v>
      </c>
    </row>
    <row r="83">
      <c r="N83" s="6">
        <f>ROW()-1+'2'!$A$3</f>
        <v>238</v>
      </c>
      <c r="O83" s="6" t="b">
        <f>ROW()-1+'2'!$A$3&lt;=+'2'!$C$3</f>
        <v>0</v>
      </c>
    </row>
    <row r="84">
      <c r="N84" s="6">
        <f>ROW()-1+'2'!$A$3</f>
        <v>239</v>
      </c>
      <c r="O84" s="6" t="b">
        <f>ROW()-1+'2'!$A$3&lt;=+'2'!$C$3</f>
        <v>0</v>
      </c>
    </row>
    <row r="85">
      <c r="N85" s="6">
        <f>ROW()-1+'2'!$A$3</f>
        <v>240</v>
      </c>
      <c r="O85" s="6" t="b">
        <f>ROW()-1+'2'!$A$3&lt;=+'2'!$C$3</f>
        <v>0</v>
      </c>
    </row>
    <row r="86">
      <c r="N86" s="6">
        <f>ROW()-1+'2'!$A$3</f>
        <v>241</v>
      </c>
      <c r="O86" s="6" t="b">
        <f>ROW()-1+'2'!$A$3&lt;=+'2'!$C$3</f>
        <v>0</v>
      </c>
    </row>
    <row r="87">
      <c r="N87" s="6">
        <f>ROW()-1+'2'!$A$3</f>
        <v>242</v>
      </c>
      <c r="O87" s="6" t="b">
        <f>ROW()-1+'2'!$A$3&lt;=+'2'!$C$3</f>
        <v>0</v>
      </c>
    </row>
    <row r="88">
      <c r="N88" s="6">
        <f>ROW()-1+'2'!$A$3</f>
        <v>243</v>
      </c>
      <c r="O88" s="6" t="b">
        <f>ROW()-1+'2'!$A$3&lt;=+'2'!$C$3</f>
        <v>0</v>
      </c>
    </row>
    <row r="89">
      <c r="N89" s="6">
        <f>ROW()-1+'2'!$A$3</f>
        <v>244</v>
      </c>
      <c r="O89" s="6" t="b">
        <f>ROW()-1+'2'!$A$3&lt;=+'2'!$C$3</f>
        <v>0</v>
      </c>
    </row>
    <row r="90">
      <c r="N90" s="6">
        <f>ROW()-1+'2'!$A$3</f>
        <v>245</v>
      </c>
      <c r="O90" s="6" t="b">
        <f>ROW()-1+'2'!$A$3&lt;=+'2'!$C$3</f>
        <v>0</v>
      </c>
    </row>
    <row r="91">
      <c r="N91" s="6">
        <f>ROW()-1+'2'!$A$3</f>
        <v>246</v>
      </c>
      <c r="O91" s="6" t="b">
        <f>ROW()-1+'2'!$A$3&lt;=+'2'!$C$3</f>
        <v>0</v>
      </c>
    </row>
    <row r="92">
      <c r="N92" s="6">
        <f>ROW()-1+'2'!$A$3</f>
        <v>247</v>
      </c>
      <c r="O92" s="6" t="b">
        <f>ROW()-1+'2'!$A$3&lt;=+'2'!$C$3</f>
        <v>0</v>
      </c>
    </row>
    <row r="93">
      <c r="N93" s="6">
        <f>ROW()-1+'2'!$A$3</f>
        <v>248</v>
      </c>
      <c r="O93" s="6" t="b">
        <f>ROW()-1+'2'!$A$3&lt;=+'2'!$C$3</f>
        <v>0</v>
      </c>
    </row>
    <row r="94">
      <c r="N94" s="6">
        <f>ROW()-1+'2'!$A$3</f>
        <v>249</v>
      </c>
      <c r="O94" s="6" t="b">
        <f>ROW()-1+'2'!$A$3&lt;=+'2'!$C$3</f>
        <v>0</v>
      </c>
    </row>
    <row r="95">
      <c r="N95" s="6">
        <f>ROW()-1+'2'!$A$3</f>
        <v>250</v>
      </c>
      <c r="O95" s="6" t="b">
        <f>ROW()-1+'2'!$A$3&lt;=+'2'!$C$3</f>
        <v>0</v>
      </c>
    </row>
    <row r="96">
      <c r="N96" s="6">
        <f>ROW()-1+'2'!$A$3</f>
        <v>251</v>
      </c>
      <c r="O96" s="6" t="b">
        <f>ROW()-1+'2'!$A$3&lt;=+'2'!$C$3</f>
        <v>0</v>
      </c>
    </row>
    <row r="97">
      <c r="N97" s="6">
        <f>ROW()-1+'2'!$A$3</f>
        <v>252</v>
      </c>
      <c r="O97" s="6" t="b">
        <f>ROW()-1+'2'!$A$3&lt;=+'2'!$C$3</f>
        <v>0</v>
      </c>
    </row>
    <row r="98">
      <c r="N98" s="6">
        <f>ROW()-1+'2'!$A$3</f>
        <v>253</v>
      </c>
      <c r="O98" s="6" t="b">
        <f>ROW()-1+'2'!$A$3&lt;=+'2'!$C$3</f>
        <v>0</v>
      </c>
    </row>
    <row r="99">
      <c r="N99" s="6">
        <f>ROW()-1+'2'!$A$3</f>
        <v>254</v>
      </c>
      <c r="O99" s="6" t="b">
        <f>ROW()-1+'2'!$A$3&lt;=+'2'!$C$3</f>
        <v>0</v>
      </c>
    </row>
    <row r="100">
      <c r="N100" s="6">
        <f>ROW()-1+'2'!$A$3</f>
        <v>255</v>
      </c>
      <c r="O100" s="6" t="b">
        <f>ROW()-1+'2'!$A$3&lt;=+'2'!$C$3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tr">
        <f t="array" ref="A1:C11">INDEX('2'!AE1:AG11,0)</f>
        <v>рост</v>
      </c>
      <c r="B1" s="8" t="s">
        <v>14</v>
      </c>
      <c r="C1" s="8" t="s">
        <v>15</v>
      </c>
      <c r="E1" s="1" t="s">
        <v>20</v>
      </c>
      <c r="H1" s="6" t="str">
        <f t="array" ref="H1:J11">INDEX('2'!AI1:AK11,0)</f>
        <v>вес</v>
      </c>
      <c r="I1" s="8" t="s">
        <v>14</v>
      </c>
      <c r="J1" s="8" t="s">
        <v>15</v>
      </c>
      <c r="L1" s="1" t="s">
        <v>20</v>
      </c>
    </row>
    <row r="2">
      <c r="A2" s="6"/>
      <c r="B2" s="6">
        <v>158.0</v>
      </c>
      <c r="C2" s="6">
        <v>7.0</v>
      </c>
      <c r="E2" s="6">
        <f>SUMPRODUCT(B2:B11,C2:C11)/200</f>
        <v>170.4</v>
      </c>
      <c r="H2" s="6"/>
      <c r="I2" s="6">
        <v>49.8</v>
      </c>
      <c r="J2" s="6">
        <v>3.0</v>
      </c>
      <c r="L2" s="6">
        <f>SUMPRODUCT(I2:I11,J2:J11)/200</f>
        <v>65.442</v>
      </c>
    </row>
    <row r="3">
      <c r="A3" s="6"/>
      <c r="B3" s="6">
        <v>162.0</v>
      </c>
      <c r="C3" s="6">
        <v>17.0</v>
      </c>
      <c r="E3" s="1" t="s">
        <v>21</v>
      </c>
      <c r="H3" s="6"/>
      <c r="I3" s="6">
        <v>53.4</v>
      </c>
      <c r="J3" s="6">
        <v>8.0</v>
      </c>
      <c r="L3" s="1" t="s">
        <v>21</v>
      </c>
    </row>
    <row r="4">
      <c r="A4" s="6"/>
      <c r="B4" s="6">
        <v>166.0</v>
      </c>
      <c r="C4" s="6">
        <v>45.0</v>
      </c>
      <c r="E4" s="6">
        <f t="array" ref="E4">SUM((B2:B11-E2)^2*C2:C11)/200</f>
        <v>36.32</v>
      </c>
      <c r="H4" s="6"/>
      <c r="I4" s="6">
        <v>57.0</v>
      </c>
      <c r="J4" s="6">
        <v>9.0</v>
      </c>
      <c r="L4" s="6">
        <f t="array" ref="L4">SUM((I2:I11-L2)^2*J2:J11)/200</f>
        <v>36.235836</v>
      </c>
    </row>
    <row r="5">
      <c r="A5" s="6"/>
      <c r="B5" s="6">
        <v>170.0</v>
      </c>
      <c r="C5" s="6">
        <v>60.0</v>
      </c>
      <c r="E5" s="1" t="s">
        <v>22</v>
      </c>
      <c r="H5" s="6"/>
      <c r="I5" s="6">
        <v>60.6</v>
      </c>
      <c r="J5" s="6">
        <v>46.0</v>
      </c>
      <c r="L5" s="1" t="s">
        <v>22</v>
      </c>
    </row>
    <row r="6">
      <c r="A6" s="6"/>
      <c r="B6" s="6">
        <v>174.0</v>
      </c>
      <c r="C6" s="6">
        <v>40.0</v>
      </c>
      <c r="E6" s="6">
        <f>E4*200/199</f>
        <v>36.50251256</v>
      </c>
      <c r="H6" s="6"/>
      <c r="I6" s="6">
        <v>64.2</v>
      </c>
      <c r="J6" s="6">
        <v>38.0</v>
      </c>
      <c r="L6" s="6">
        <f>L4*200/199</f>
        <v>36.41792563</v>
      </c>
    </row>
    <row r="7">
      <c r="A7" s="6"/>
      <c r="B7" s="6">
        <v>178.0</v>
      </c>
      <c r="C7" s="6">
        <v>22.0</v>
      </c>
      <c r="E7" s="1" t="s">
        <v>23</v>
      </c>
      <c r="H7" s="6"/>
      <c r="I7" s="6">
        <v>67.8</v>
      </c>
      <c r="J7" s="6">
        <v>49.0</v>
      </c>
      <c r="L7" s="1" t="s">
        <v>23</v>
      </c>
    </row>
    <row r="8">
      <c r="A8" s="6"/>
      <c r="B8" s="6">
        <v>182.0</v>
      </c>
      <c r="C8" s="6">
        <v>3.0</v>
      </c>
      <c r="E8" s="6">
        <f>E6^(1/2)</f>
        <v>6.041730924</v>
      </c>
      <c r="H8" s="6"/>
      <c r="I8" s="6">
        <v>71.4</v>
      </c>
      <c r="J8" s="6">
        <v>27.0</v>
      </c>
      <c r="L8" s="6">
        <f>L6^(1/2)</f>
        <v>6.034726641</v>
      </c>
    </row>
    <row r="9">
      <c r="A9" s="6"/>
      <c r="B9" s="6">
        <v>186.0</v>
      </c>
      <c r="C9" s="6">
        <v>4.0</v>
      </c>
      <c r="E9" s="1" t="s">
        <v>24</v>
      </c>
      <c r="H9" s="6"/>
      <c r="I9" s="6">
        <v>75.0</v>
      </c>
      <c r="J9" s="6">
        <v>15.0</v>
      </c>
      <c r="L9" s="1" t="s">
        <v>24</v>
      </c>
    </row>
    <row r="10">
      <c r="A10" s="6"/>
      <c r="B10" s="6">
        <v>190.0</v>
      </c>
      <c r="C10" s="6">
        <v>1.0</v>
      </c>
      <c r="E10" s="6">
        <f t="array" ref="E10">INDEX(B2:B11, MATCH(MAX(C2:C11),C2:C11,0))+'2'!E3*((F18-F17)/(2*F18-F17-F19)-0.5)</f>
        <v>169.7142857</v>
      </c>
      <c r="F10" s="6">
        <f t="array" ref="F10">INDEX(B2:B11, MATCH(MAX(C2:C11),C2:C11,0))</f>
        <v>170</v>
      </c>
      <c r="G10" s="1" t="s">
        <v>25</v>
      </c>
      <c r="H10" s="6"/>
      <c r="I10" s="6">
        <v>78.6</v>
      </c>
      <c r="J10" s="6">
        <v>4.0</v>
      </c>
      <c r="L10" s="6">
        <f t="array" ref="L10">INDEX(I2:I11, MATCH(MAX(J2:J11),J2:J11,0))+'2'!F3*((M18-M17)/(2*M18-M17-M19)-0.5)</f>
        <v>67.2</v>
      </c>
      <c r="M10" s="6">
        <f t="array" ref="M10">INDEX(I2:I11, MATCH(MAX(J2:J11),J2:J11,0))</f>
        <v>67.8</v>
      </c>
      <c r="N10" s="1" t="s">
        <v>26</v>
      </c>
    </row>
    <row r="11">
      <c r="A11" s="6"/>
      <c r="B11" s="6">
        <v>194.0</v>
      </c>
      <c r="C11" s="6">
        <v>1.0</v>
      </c>
      <c r="E11" s="1" t="s">
        <v>27</v>
      </c>
      <c r="H11" s="6"/>
      <c r="I11" s="6">
        <v>82.2</v>
      </c>
      <c r="J11" s="6">
        <v>1.0</v>
      </c>
      <c r="L11" s="1" t="s">
        <v>27</v>
      </c>
    </row>
    <row r="12">
      <c r="E12" s="6">
        <f t="array" ref="E12">(INDEX(B2:B11, MATCH(1,E16:E25,0))+INDEX(B2:B11, MATCH(1,E16:E25,0)+1))/2</f>
        <v>168</v>
      </c>
      <c r="L12" s="6">
        <f t="array" ref="L12">(INDEX(I2:I11, MATCH(1,L16:L25,0))+INDEX(I2:I11, MATCH(1,L16:L25,0)+1))/2</f>
        <v>58.8</v>
      </c>
    </row>
    <row r="16">
      <c r="E16" s="9">
        <f t="shared" ref="E16:E25" si="1">(SUM($C$2:$C2)&lt;100)*(SUM($C$2:$C3)&gt;=100)</f>
        <v>0</v>
      </c>
      <c r="F16" s="9">
        <f> MATCH(MAX(C2:C11),C2:C11,0)</f>
        <v>4</v>
      </c>
      <c r="G16" s="10" t="s">
        <v>28</v>
      </c>
      <c r="L16" s="11">
        <f t="shared" ref="L16:L25" si="2">(SUM($C$2:$C2)&lt;100)*(SUM($C$2:$C3)&gt;=100)</f>
        <v>0</v>
      </c>
      <c r="M16" s="9">
        <f> MATCH(MAX(J2:J11),J2:J11,0)</f>
        <v>6</v>
      </c>
      <c r="N16" s="10" t="s">
        <v>28</v>
      </c>
    </row>
    <row r="17">
      <c r="E17" s="9">
        <f t="shared" si="1"/>
        <v>0</v>
      </c>
      <c r="F17" s="9">
        <f t="array" ref="F17">INDEX(C2:C11, F16-1)</f>
        <v>45</v>
      </c>
      <c r="G17" s="10" t="s">
        <v>29</v>
      </c>
      <c r="L17" s="11">
        <f t="shared" si="2"/>
        <v>0</v>
      </c>
      <c r="M17" s="9">
        <f t="array" ref="M17">INDEX(J2:J11, M16-1)</f>
        <v>38</v>
      </c>
      <c r="N17" s="10" t="s">
        <v>29</v>
      </c>
    </row>
    <row r="18">
      <c r="E18" s="9">
        <f t="shared" si="1"/>
        <v>1</v>
      </c>
      <c r="F18" s="9">
        <f t="array" ref="F18">INDEX(C2:C11, F16)</f>
        <v>60</v>
      </c>
      <c r="G18" s="10" t="s">
        <v>30</v>
      </c>
      <c r="L18" s="11">
        <f t="shared" si="2"/>
        <v>1</v>
      </c>
      <c r="M18" s="9">
        <f t="array" ref="M18">INDEX(J2:J11, M16)</f>
        <v>49</v>
      </c>
      <c r="N18" s="10" t="s">
        <v>30</v>
      </c>
    </row>
    <row r="19">
      <c r="E19" s="9">
        <f t="shared" si="1"/>
        <v>0</v>
      </c>
      <c r="F19" s="9">
        <f t="array" ref="F19">INDEX(C2:C11, F16+1)</f>
        <v>40</v>
      </c>
      <c r="G19" s="10" t="s">
        <v>31</v>
      </c>
      <c r="L19" s="11">
        <f t="shared" si="2"/>
        <v>0</v>
      </c>
      <c r="M19" s="9">
        <f t="array" ref="M19">INDEX(J2:J11, M16+1)</f>
        <v>27</v>
      </c>
      <c r="N19" s="10" t="s">
        <v>31</v>
      </c>
    </row>
    <row r="20">
      <c r="E20" s="9">
        <f t="shared" si="1"/>
        <v>0</v>
      </c>
      <c r="L20" s="11">
        <f t="shared" si="2"/>
        <v>0</v>
      </c>
    </row>
    <row r="21">
      <c r="E21" s="9">
        <f t="shared" si="1"/>
        <v>0</v>
      </c>
      <c r="L21" s="11">
        <f t="shared" si="2"/>
        <v>0</v>
      </c>
    </row>
    <row r="22">
      <c r="E22" s="9">
        <f t="shared" si="1"/>
        <v>0</v>
      </c>
      <c r="L22" s="11">
        <f t="shared" si="2"/>
        <v>0</v>
      </c>
    </row>
    <row r="23">
      <c r="E23" s="9">
        <f t="shared" si="1"/>
        <v>0</v>
      </c>
      <c r="L23" s="11">
        <f t="shared" si="2"/>
        <v>0</v>
      </c>
    </row>
    <row r="24">
      <c r="E24" s="9">
        <f t="shared" si="1"/>
        <v>0</v>
      </c>
      <c r="L24" s="11">
        <f t="shared" si="2"/>
        <v>0</v>
      </c>
    </row>
    <row r="25">
      <c r="E25" s="9">
        <f t="shared" si="1"/>
        <v>0</v>
      </c>
      <c r="L25" s="11">
        <f t="shared" si="2"/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26.38"/>
  </cols>
  <sheetData>
    <row r="1">
      <c r="A1" s="1" t="str">
        <f>data!P1</f>
        <v>Рост</v>
      </c>
      <c r="B1" s="1" t="str">
        <f>data!Q1</f>
        <v>Вес</v>
      </c>
    </row>
    <row r="2">
      <c r="A2" s="1" t="s">
        <v>32</v>
      </c>
    </row>
    <row r="3">
      <c r="A3" s="6">
        <f>AVERAGE(data!P2:P201)</f>
        <v>169.82</v>
      </c>
      <c r="B3" s="6">
        <f>AVERAGE(data!Q2:Q201)</f>
        <v>65.155</v>
      </c>
    </row>
    <row r="4">
      <c r="A4" s="1" t="s">
        <v>33</v>
      </c>
    </row>
    <row r="5">
      <c r="A5" s="6">
        <f>VARP(data!P2:P201)</f>
        <v>35.8276</v>
      </c>
      <c r="B5" s="6">
        <f>VARP(data!Q2:Q201)</f>
        <v>35.040975</v>
      </c>
    </row>
    <row r="6">
      <c r="A6" s="1" t="s">
        <v>22</v>
      </c>
    </row>
    <row r="7">
      <c r="A7" s="6">
        <f>VAR(data!P2:P201)</f>
        <v>36.00763819</v>
      </c>
      <c r="B7" s="6">
        <f>VAR(data!Q2:Q201)</f>
        <v>35.2170603</v>
      </c>
    </row>
    <row r="8">
      <c r="A8" s="1" t="s">
        <v>23</v>
      </c>
    </row>
    <row r="9">
      <c r="A9" s="6">
        <f>STDEV(data!P2:P201)</f>
        <v>6.000636482</v>
      </c>
      <c r="B9" s="6">
        <f>STDEV(data!Q2:Q201)</f>
        <v>5.934396372</v>
      </c>
    </row>
    <row r="10">
      <c r="A10" s="1" t="s">
        <v>24</v>
      </c>
    </row>
    <row r="11">
      <c r="A11" s="6">
        <f>MODE(data!P2:P201)</f>
        <v>171</v>
      </c>
      <c r="B11" s="6">
        <f>MODE(data!Q2:Q201)</f>
        <v>66</v>
      </c>
    </row>
    <row r="12">
      <c r="A12" s="1" t="s">
        <v>27</v>
      </c>
    </row>
    <row r="13">
      <c r="A13" s="6">
        <f>MEDIAN(data!P2:P201)</f>
        <v>170</v>
      </c>
      <c r="B13" s="6">
        <f>MEDIAN(data!Q2:Q201)</f>
        <v>65</v>
      </c>
    </row>
  </sheetData>
  <mergeCells count="6">
    <mergeCell ref="A2:B2"/>
    <mergeCell ref="A4:B4"/>
    <mergeCell ref="A6:B6"/>
    <mergeCell ref="A8:B8"/>
    <mergeCell ref="A10:B10"/>
    <mergeCell ref="A12:B1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</cols>
  <sheetData>
    <row r="1">
      <c r="A1" s="6" t="str">
        <f t="array" ref="A1:C12">INDEX('2'!AE1:'2'!AG12,0)</f>
        <v>рост</v>
      </c>
      <c r="B1" s="8" t="s">
        <v>14</v>
      </c>
      <c r="C1" s="8" t="s">
        <v>15</v>
      </c>
      <c r="F1" s="12" t="s">
        <v>34</v>
      </c>
      <c r="G1" s="12" t="s">
        <v>35</v>
      </c>
      <c r="H1" s="8"/>
      <c r="I1" s="8"/>
      <c r="J1" s="8"/>
      <c r="K1" s="8"/>
    </row>
    <row r="2">
      <c r="A2" s="6"/>
      <c r="B2" s="6">
        <v>158.0</v>
      </c>
      <c r="C2" s="6">
        <v>7.0</v>
      </c>
      <c r="E2" s="13" t="s">
        <v>36</v>
      </c>
      <c r="F2" s="14" t="s">
        <v>37</v>
      </c>
      <c r="G2" s="1">
        <v>6.0</v>
      </c>
      <c r="H2" s="1" t="s">
        <v>38</v>
      </c>
      <c r="I2" s="6">
        <f t="shared" ref="I2:I3" si="1">$B$20-M2</f>
        <v>169.5684577</v>
      </c>
      <c r="J2" s="1" t="s">
        <v>39</v>
      </c>
      <c r="K2" s="6">
        <f t="shared" ref="K2:K3" si="2">$B$20+M2</f>
        <v>171.2315423</v>
      </c>
      <c r="L2" s="1" t="s">
        <v>40</v>
      </c>
      <c r="M2" s="6">
        <f>O2*G2/SQRT($B$18)</f>
        <v>0.8315422953</v>
      </c>
      <c r="N2" s="1" t="s">
        <v>41</v>
      </c>
      <c r="O2" s="6">
        <f>NORMSINV($B$17/2+0.5)</f>
        <v>1.959963986</v>
      </c>
    </row>
    <row r="3">
      <c r="A3" s="6"/>
      <c r="B3" s="6">
        <v>162.0</v>
      </c>
      <c r="C3" s="6">
        <v>17.0</v>
      </c>
      <c r="E3" s="13" t="s">
        <v>42</v>
      </c>
      <c r="F3" s="14" t="s">
        <v>37</v>
      </c>
      <c r="G3" s="1" t="s">
        <v>43</v>
      </c>
      <c r="H3" s="1" t="s">
        <v>38</v>
      </c>
      <c r="I3" s="6">
        <f t="shared" si="1"/>
        <v>169.5575508</v>
      </c>
      <c r="J3" s="1" t="s">
        <v>39</v>
      </c>
      <c r="K3" s="6">
        <f t="shared" si="2"/>
        <v>171.2424492</v>
      </c>
      <c r="L3" s="1" t="s">
        <v>40</v>
      </c>
      <c r="M3" s="6">
        <f>_xlfn.T.INV.2T(1-$B$17,$B$19)*B21/SQRT($B$18)</f>
        <v>0.8424491995</v>
      </c>
    </row>
    <row r="4">
      <c r="A4" s="6"/>
      <c r="B4" s="6">
        <v>166.0</v>
      </c>
      <c r="C4" s="6">
        <v>45.0</v>
      </c>
      <c r="E4" s="13" t="s">
        <v>44</v>
      </c>
      <c r="F4" s="1" t="s">
        <v>43</v>
      </c>
      <c r="G4" s="14" t="s">
        <v>37</v>
      </c>
      <c r="H4" s="1" t="s">
        <v>45</v>
      </c>
      <c r="I4" s="6">
        <f>($B$18-1)*$B$21^2/O4</f>
        <v>30.27175209</v>
      </c>
      <c r="J4" s="1" t="s">
        <v>46</v>
      </c>
      <c r="K4" s="6">
        <f>($B$18-1)*$B$21^2/M4</f>
        <v>44.88766832</v>
      </c>
      <c r="L4" s="1" t="s">
        <v>47</v>
      </c>
      <c r="M4" s="6">
        <f>_xlfn.CHISQ.INV((1-$B$17)/2,$B$19)</f>
        <v>161.8261824</v>
      </c>
      <c r="N4" s="1" t="s">
        <v>48</v>
      </c>
      <c r="O4" s="6">
        <f>_xlfn.CHISQ.INV((1+$B$17)/2,$B$19)</f>
        <v>239.9596818</v>
      </c>
    </row>
    <row r="5">
      <c r="A5" s="6"/>
      <c r="B5" s="6">
        <v>170.0</v>
      </c>
      <c r="C5" s="6">
        <v>60.0</v>
      </c>
      <c r="E5" s="13" t="s">
        <v>49</v>
      </c>
      <c r="F5" s="1">
        <v>170.0</v>
      </c>
      <c r="G5" s="14" t="s">
        <v>37</v>
      </c>
      <c r="H5" s="1" t="s">
        <v>45</v>
      </c>
      <c r="I5" s="6">
        <f>$B$18*$Q$5^2/O5</f>
        <v>30.26658797</v>
      </c>
      <c r="J5" s="1" t="s">
        <v>46</v>
      </c>
      <c r="K5" s="6">
        <f>$B$18*$Q$5^2/M5</f>
        <v>44.83555863</v>
      </c>
      <c r="L5" s="1" t="s">
        <v>47</v>
      </c>
      <c r="M5" s="6">
        <f>_xlfn.CHISQ.INV((1-$B$17)/2,$B$18)</f>
        <v>162.7279825</v>
      </c>
      <c r="N5" s="1" t="s">
        <v>48</v>
      </c>
      <c r="O5" s="6">
        <f>_xlfn.CHISQ.INV((1+$B$17)/2,$B$18)</f>
        <v>241.0578955</v>
      </c>
      <c r="P5" s="1" t="s">
        <v>50</v>
      </c>
      <c r="Q5" s="6">
        <f>IF($A$15,R5,S5)</f>
        <v>6.039867548</v>
      </c>
      <c r="R5" s="6">
        <f t="array" ref="R5">SQRT(SUM((data!P2:P201-$F$5)^2)/$B$19)</f>
        <v>6.003349149</v>
      </c>
      <c r="S5" s="15">
        <f t="array" ref="S5">SQRT(SUM((B2:B11-F5)^2*C2:C11)/$B$18)</f>
        <v>6.039867548</v>
      </c>
    </row>
    <row r="6">
      <c r="A6" s="6"/>
      <c r="B6" s="6">
        <v>174.0</v>
      </c>
      <c r="C6" s="6">
        <v>40.0</v>
      </c>
      <c r="R6" s="1" t="s">
        <v>51</v>
      </c>
      <c r="S6" s="1" t="s">
        <v>52</v>
      </c>
    </row>
    <row r="7">
      <c r="A7" s="6"/>
      <c r="B7" s="6">
        <v>178.0</v>
      </c>
      <c r="C7" s="6">
        <v>22.0</v>
      </c>
    </row>
    <row r="8">
      <c r="A8" s="6"/>
      <c r="B8" s="6">
        <v>182.0</v>
      </c>
      <c r="C8" s="6">
        <v>3.0</v>
      </c>
    </row>
    <row r="9">
      <c r="A9" s="6"/>
      <c r="B9" s="6">
        <v>186.0</v>
      </c>
      <c r="C9" s="6">
        <v>4.0</v>
      </c>
    </row>
    <row r="10">
      <c r="A10" s="6"/>
      <c r="B10" s="6">
        <v>190.0</v>
      </c>
      <c r="C10" s="6">
        <v>1.0</v>
      </c>
    </row>
    <row r="11">
      <c r="A11" s="6"/>
      <c r="B11" s="6">
        <v>194.0</v>
      </c>
      <c r="C11" s="6">
        <v>1.0</v>
      </c>
    </row>
    <row r="12">
      <c r="A12" s="6"/>
      <c r="B12" s="6"/>
      <c r="C12" s="6"/>
    </row>
    <row r="14">
      <c r="A14" s="1" t="s">
        <v>53</v>
      </c>
    </row>
    <row r="15">
      <c r="A15" s="1" t="b">
        <f>FALSE</f>
        <v>0</v>
      </c>
    </row>
    <row r="16">
      <c r="C16" s="1" t="s">
        <v>51</v>
      </c>
      <c r="D16" s="1" t="s">
        <v>52</v>
      </c>
    </row>
    <row r="17">
      <c r="A17" s="13" t="s">
        <v>54</v>
      </c>
      <c r="B17" s="13">
        <v>0.95</v>
      </c>
    </row>
    <row r="18">
      <c r="A18" s="13" t="s">
        <v>55</v>
      </c>
      <c r="B18" s="13">
        <v>200.0</v>
      </c>
    </row>
    <row r="19">
      <c r="A19" s="13" t="s">
        <v>56</v>
      </c>
      <c r="B19" s="16">
        <f>B18-1</f>
        <v>199</v>
      </c>
    </row>
    <row r="20">
      <c r="A20" s="13" t="s">
        <v>32</v>
      </c>
      <c r="B20" s="16">
        <f t="shared" ref="B20:B22" si="3">IF($A$15,C20,D20)</f>
        <v>170.4</v>
      </c>
      <c r="C20" s="6">
        <f>'5'!A3</f>
        <v>169.82</v>
      </c>
      <c r="D20" s="6">
        <f>'4'!E2</f>
        <v>170.4</v>
      </c>
    </row>
    <row r="21">
      <c r="A21" s="13" t="s">
        <v>57</v>
      </c>
      <c r="B21" s="16">
        <f t="shared" si="3"/>
        <v>6.041730924</v>
      </c>
      <c r="C21" s="6">
        <f>'5'!A9</f>
        <v>6.000636482</v>
      </c>
      <c r="D21" s="6">
        <f>'4'!E8</f>
        <v>6.041730924</v>
      </c>
    </row>
    <row r="22">
      <c r="B22" s="6" t="str">
        <f t="shared" si="3"/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tr">
        <f t="array" ref="A1:B6">INDEX('6'!A17:B22,0)</f>
        <v>gamma</v>
      </c>
      <c r="B1" s="6">
        <v>0.95</v>
      </c>
      <c r="M1" s="10" t="s">
        <v>58</v>
      </c>
      <c r="N1" s="9"/>
      <c r="O1" s="9"/>
      <c r="P1" s="17" t="s">
        <v>59</v>
      </c>
      <c r="Q1" s="17" t="s">
        <v>60</v>
      </c>
      <c r="R1" s="17" t="s">
        <v>61</v>
      </c>
      <c r="S1" s="17" t="s">
        <v>62</v>
      </c>
      <c r="T1" s="17" t="s">
        <v>43</v>
      </c>
    </row>
    <row r="2">
      <c r="A2" s="16" t="s">
        <v>55</v>
      </c>
      <c r="B2" s="6">
        <v>200.0</v>
      </c>
      <c r="M2" s="9"/>
      <c r="N2" s="9"/>
      <c r="O2" s="9"/>
      <c r="P2" s="10">
        <v>0.05</v>
      </c>
      <c r="Q2" s="10">
        <v>169.0</v>
      </c>
      <c r="R2" s="9">
        <f t="shared" ref="R2:R4" si="1">SQRT($B$2)*($B$4-Q2)/$B$5</f>
        <v>3.277039332</v>
      </c>
      <c r="S2" s="9">
        <f t="shared" ref="S2:S4" si="2">_xlfn.T.INV.2T(P2,$B$3)</f>
        <v>1.971956544</v>
      </c>
      <c r="T2" s="9" t="b">
        <f t="shared" ref="T2:T4" si="3">ABS(R2)&lt;S2</f>
        <v>0</v>
      </c>
    </row>
    <row r="3">
      <c r="A3" s="16" t="s">
        <v>56</v>
      </c>
      <c r="B3" s="6">
        <v>199.0</v>
      </c>
      <c r="M3" s="9"/>
      <c r="N3" s="9"/>
      <c r="O3" s="9"/>
      <c r="P3" s="10">
        <v>0.05</v>
      </c>
      <c r="Q3" s="10">
        <v>173.0</v>
      </c>
      <c r="R3" s="9">
        <f t="shared" si="1"/>
        <v>-6.085930188</v>
      </c>
      <c r="S3" s="9">
        <f t="shared" si="2"/>
        <v>1.971956544</v>
      </c>
      <c r="T3" s="9" t="b">
        <f t="shared" si="3"/>
        <v>0</v>
      </c>
    </row>
    <row r="4">
      <c r="A4" s="16" t="s">
        <v>32</v>
      </c>
      <c r="B4" s="6">
        <v>170.4</v>
      </c>
      <c r="M4" s="9"/>
      <c r="N4" s="9"/>
      <c r="O4" s="9"/>
      <c r="P4" s="10">
        <f>B7</f>
        <v>0.05</v>
      </c>
      <c r="Q4" s="10">
        <v>170.0</v>
      </c>
      <c r="R4" s="9">
        <f t="shared" si="1"/>
        <v>0.936296952</v>
      </c>
      <c r="S4" s="9">
        <f t="shared" si="2"/>
        <v>1.971956544</v>
      </c>
      <c r="T4" s="9" t="b">
        <f t="shared" si="3"/>
        <v>1</v>
      </c>
    </row>
    <row r="5">
      <c r="A5" s="16" t="s">
        <v>57</v>
      </c>
      <c r="B5" s="6">
        <v>6.041730924396922</v>
      </c>
    </row>
    <row r="6">
      <c r="A6" s="16"/>
      <c r="B6" s="6"/>
    </row>
    <row r="7">
      <c r="A7" s="13" t="s">
        <v>59</v>
      </c>
      <c r="B7" s="1">
        <v>0.05</v>
      </c>
    </row>
    <row r="8">
      <c r="A8" s="13" t="s">
        <v>63</v>
      </c>
      <c r="B8" s="6" t="b">
        <f>G27&lt;J27</f>
        <v>0</v>
      </c>
    </row>
    <row r="11">
      <c r="A11" s="6" t="str">
        <f t="array" ref="A11:F13">INDEX('2'!A1:F3,0)</f>
        <v>рост</v>
      </c>
      <c r="B11" s="11" t="s">
        <v>13</v>
      </c>
      <c r="C11" s="6" t="s">
        <v>12</v>
      </c>
      <c r="D11" s="9" t="s">
        <v>13</v>
      </c>
      <c r="E11" s="6" t="s">
        <v>12</v>
      </c>
      <c r="F11" s="9" t="s">
        <v>13</v>
      </c>
    </row>
    <row r="12">
      <c r="A12" s="6" t="s">
        <v>16</v>
      </c>
      <c r="B12" s="11" t="s">
        <v>16</v>
      </c>
      <c r="C12" s="6" t="s">
        <v>17</v>
      </c>
      <c r="D12" s="9" t="s">
        <v>17</v>
      </c>
      <c r="E12" s="6" t="s">
        <v>18</v>
      </c>
      <c r="F12" s="9" t="s">
        <v>18</v>
      </c>
    </row>
    <row r="13">
      <c r="A13" s="6">
        <v>156.0</v>
      </c>
      <c r="B13" s="11">
        <v>48.0</v>
      </c>
      <c r="C13" s="6">
        <v>196.0</v>
      </c>
      <c r="D13" s="9">
        <v>84.0</v>
      </c>
      <c r="E13" s="6">
        <v>4.0</v>
      </c>
      <c r="F13" s="9">
        <v>3.6</v>
      </c>
    </row>
    <row r="14">
      <c r="E14" s="1" t="s">
        <v>64</v>
      </c>
      <c r="F14" s="1" t="s">
        <v>65</v>
      </c>
      <c r="G14" s="1" t="s">
        <v>66</v>
      </c>
    </row>
    <row r="15">
      <c r="A15" s="6" t="str">
        <f t="array" ref="A15:C25">INDEX('4'!A1:C11,0)</f>
        <v>рост</v>
      </c>
      <c r="B15" s="6" t="s">
        <v>14</v>
      </c>
      <c r="C15" s="6" t="s">
        <v>15</v>
      </c>
      <c r="E15" s="1">
        <v>0.0</v>
      </c>
    </row>
    <row r="16">
      <c r="A16" s="6"/>
      <c r="B16" s="6">
        <v>158.0</v>
      </c>
      <c r="C16" s="6">
        <v>7.0</v>
      </c>
      <c r="E16" s="6">
        <f t="shared" ref="E16:E25" si="4">_xlfn.NORM.DIST(B16+$E$13/2,$B$4,$B$5,TRUE)</f>
        <v>0.04259266811</v>
      </c>
      <c r="F16" s="6">
        <f t="shared" ref="F16:F26" si="5">E16-E15</f>
        <v>0.04259266811</v>
      </c>
      <c r="G16" s="6">
        <f t="shared" ref="G16:G26" si="6">(C16-200*F16)^2/200/F16</f>
        <v>0.2706973362</v>
      </c>
    </row>
    <row r="17">
      <c r="A17" s="6"/>
      <c r="B17" s="6">
        <v>162.0</v>
      </c>
      <c r="C17" s="6">
        <v>17.0</v>
      </c>
      <c r="E17" s="6">
        <f t="shared" si="4"/>
        <v>0.1447317973</v>
      </c>
      <c r="F17" s="6">
        <f t="shared" si="5"/>
        <v>0.1021391292</v>
      </c>
      <c r="G17" s="6">
        <f t="shared" si="6"/>
        <v>0.5751953266</v>
      </c>
    </row>
    <row r="18">
      <c r="A18" s="6"/>
      <c r="B18" s="6">
        <v>166.0</v>
      </c>
      <c r="C18" s="6">
        <v>45.0</v>
      </c>
      <c r="E18" s="6">
        <f t="shared" si="4"/>
        <v>0.3455962931</v>
      </c>
      <c r="F18" s="6">
        <f t="shared" si="5"/>
        <v>0.2008644958</v>
      </c>
      <c r="G18" s="6">
        <f t="shared" si="6"/>
        <v>0.580015459</v>
      </c>
    </row>
    <row r="19">
      <c r="A19" s="6"/>
      <c r="B19" s="6">
        <v>170.0</v>
      </c>
      <c r="C19" s="6">
        <v>60.0</v>
      </c>
      <c r="E19" s="6">
        <f t="shared" si="4"/>
        <v>0.6044277727</v>
      </c>
      <c r="F19" s="6">
        <f t="shared" si="5"/>
        <v>0.2588314797</v>
      </c>
      <c r="G19" s="6">
        <f t="shared" si="6"/>
        <v>1.309614325</v>
      </c>
    </row>
    <row r="20">
      <c r="A20" s="6"/>
      <c r="B20" s="6">
        <v>174.0</v>
      </c>
      <c r="C20" s="6">
        <v>40.0</v>
      </c>
      <c r="E20" s="6">
        <f t="shared" si="4"/>
        <v>0.8230073167</v>
      </c>
      <c r="F20" s="6">
        <f t="shared" si="5"/>
        <v>0.2185795439</v>
      </c>
      <c r="G20" s="6">
        <f t="shared" si="6"/>
        <v>0.3158570533</v>
      </c>
    </row>
    <row r="21">
      <c r="A21" s="6"/>
      <c r="B21" s="6">
        <v>178.0</v>
      </c>
      <c r="C21" s="6">
        <v>22.0</v>
      </c>
      <c r="E21" s="6">
        <f t="shared" si="4"/>
        <v>0.9439640032</v>
      </c>
      <c r="F21" s="6">
        <f t="shared" si="5"/>
        <v>0.1209566865</v>
      </c>
      <c r="G21" s="6">
        <f t="shared" si="6"/>
        <v>0.1984991204</v>
      </c>
    </row>
    <row r="22">
      <c r="A22" s="6"/>
      <c r="B22" s="6">
        <v>182.0</v>
      </c>
      <c r="C22" s="6">
        <v>3.0</v>
      </c>
      <c r="E22" s="6">
        <f t="shared" si="4"/>
        <v>0.9878075651</v>
      </c>
      <c r="F22" s="6">
        <f t="shared" si="5"/>
        <v>0.04384356196</v>
      </c>
      <c r="G22" s="6">
        <f t="shared" si="6"/>
        <v>3.795088854</v>
      </c>
    </row>
    <row r="23">
      <c r="A23" s="6"/>
      <c r="B23" s="6">
        <v>186.0</v>
      </c>
      <c r="C23" s="6">
        <v>4.0</v>
      </c>
      <c r="E23" s="6">
        <f t="shared" si="4"/>
        <v>0.9982105423</v>
      </c>
      <c r="F23" s="6">
        <f t="shared" si="5"/>
        <v>0.01040297717</v>
      </c>
      <c r="G23" s="6">
        <f t="shared" si="6"/>
        <v>1.770701709</v>
      </c>
    </row>
    <row r="24">
      <c r="A24" s="6"/>
      <c r="B24" s="6">
        <v>190.0</v>
      </c>
      <c r="C24" s="6">
        <v>1.0</v>
      </c>
      <c r="E24" s="6">
        <f t="shared" si="4"/>
        <v>0.999824976</v>
      </c>
      <c r="F24" s="6">
        <f t="shared" si="5"/>
        <v>0.001614433671</v>
      </c>
      <c r="G24" s="6">
        <f t="shared" si="6"/>
        <v>1.419948007</v>
      </c>
    </row>
    <row r="25">
      <c r="A25" s="6"/>
      <c r="B25" s="6">
        <v>194.0</v>
      </c>
      <c r="C25" s="6">
        <v>1.0</v>
      </c>
      <c r="E25" s="6">
        <f t="shared" si="4"/>
        <v>0.9999886836</v>
      </c>
      <c r="F25" s="6">
        <f t="shared" si="5"/>
        <v>0.0001637076085</v>
      </c>
      <c r="G25" s="6">
        <f t="shared" si="6"/>
        <v>28.57499943</v>
      </c>
    </row>
    <row r="26">
      <c r="C26" s="1">
        <v>0.0</v>
      </c>
      <c r="E26" s="1">
        <v>1.0</v>
      </c>
      <c r="F26" s="6">
        <f t="shared" si="5"/>
        <v>0.00001131641181</v>
      </c>
      <c r="G26" s="6">
        <f t="shared" si="6"/>
        <v>0.002263282362</v>
      </c>
    </row>
    <row r="27">
      <c r="F27" s="6">
        <f t="shared" ref="F27:G27" si="7">SUM(F16:F26)</f>
        <v>1</v>
      </c>
      <c r="G27" s="6">
        <f t="shared" si="7"/>
        <v>38.8128799</v>
      </c>
      <c r="H27" s="1" t="s">
        <v>67</v>
      </c>
      <c r="J27" s="6">
        <f>_xlfn.CHISQ.INV.RT(B7, 10 - 2 - 1)</f>
        <v>14.06714045</v>
      </c>
      <c r="K27" s="1" t="s">
        <v>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6">
      <c r="H6" s="1" t="s">
        <v>69</v>
      </c>
    </row>
  </sheetData>
  <mergeCells count="1">
    <mergeCell ref="H6:M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tr">
        <f t="array" ref="A1:F3">INDEX('2'!A1:F3,0)</f>
        <v>рост</v>
      </c>
      <c r="B1" s="6" t="s">
        <v>13</v>
      </c>
      <c r="C1" s="6" t="s">
        <v>12</v>
      </c>
      <c r="D1" s="6" t="s">
        <v>13</v>
      </c>
      <c r="E1" s="6" t="s">
        <v>12</v>
      </c>
      <c r="F1" s="6" t="s">
        <v>13</v>
      </c>
    </row>
    <row r="2">
      <c r="A2" s="6" t="s">
        <v>16</v>
      </c>
      <c r="B2" s="6" t="s">
        <v>16</v>
      </c>
      <c r="C2" s="6" t="s">
        <v>17</v>
      </c>
      <c r="D2" s="6" t="s">
        <v>17</v>
      </c>
      <c r="E2" s="6" t="s">
        <v>18</v>
      </c>
      <c r="F2" s="6" t="s">
        <v>18</v>
      </c>
    </row>
    <row r="3">
      <c r="A3" s="6">
        <v>156.0</v>
      </c>
      <c r="B3" s="6">
        <v>48.0</v>
      </c>
      <c r="C3" s="6">
        <v>196.0</v>
      </c>
      <c r="D3" s="6">
        <v>84.0</v>
      </c>
      <c r="E3" s="6">
        <v>4.0</v>
      </c>
      <c r="F3" s="6">
        <v>3.6</v>
      </c>
    </row>
    <row r="6">
      <c r="A6" s="18" t="s">
        <v>70</v>
      </c>
      <c r="B6" s="8">
        <f t="array" ref="B6:K6">TRANSPOSE(INDEX('4'!I2:I11,0))</f>
        <v>49.8</v>
      </c>
      <c r="C6" s="8">
        <v>53.4</v>
      </c>
      <c r="D6" s="8">
        <v>57.0</v>
      </c>
      <c r="E6" s="8">
        <v>60.6</v>
      </c>
      <c r="F6" s="8">
        <v>64.2</v>
      </c>
      <c r="G6" s="8">
        <v>67.8</v>
      </c>
      <c r="H6" s="8">
        <v>71.4</v>
      </c>
      <c r="I6" s="8">
        <v>75.0</v>
      </c>
      <c r="J6" s="8">
        <v>78.6</v>
      </c>
      <c r="K6" s="8">
        <v>82.2</v>
      </c>
      <c r="L6" s="10" t="s">
        <v>71</v>
      </c>
    </row>
    <row r="7">
      <c r="A7" s="16">
        <f t="array" ref="A7:A16">INDEX('4'!B2:B11,0)</f>
        <v>158</v>
      </c>
      <c r="B7" s="6">
        <f>SUMPRODUCT(--(data!$P$2:$P$201&gt;=$A7-$E$3/2) * --(data!$P$2:$P$201&lt;$A7+$E$3/2) * --(data!$Q$2:$Q$201&gt;=B$6-$F$3/2) * --(data!$Q$2:$Q$201&lt;B$6+$F$3/2))</f>
        <v>1</v>
      </c>
      <c r="C7" s="6">
        <f>SUMPRODUCT(--(data!$P$2:$P$201&gt;=$A7-$E$3/2) * --(data!$P$2:$P$201&lt;$A7+$E$3/2) * --(data!$Q$2:$Q$201&gt;=C$6-$F$3/2) * --(data!$Q$2:$Q$201&lt;C$6+$F$3/2))</f>
        <v>2</v>
      </c>
      <c r="D7" s="6">
        <f>SUMPRODUCT(--(data!$P$2:$P$201&gt;=$A7-$E$3/2) * --(data!$P$2:$P$201&lt;$A7+$E$3/2) * --(data!$Q$2:$Q$201&gt;=D$6-$F$3/2) * --(data!$Q$2:$Q$201&lt;D$6+$F$3/2))</f>
        <v>2</v>
      </c>
      <c r="E7" s="6">
        <f>SUMPRODUCT(--(data!$P$2:$P$201&gt;=$A7-$E$3/2) * --(data!$P$2:$P$201&lt;$A7+$E$3/2) * --(data!$Q$2:$Q$201&gt;=E$6-$F$3/2) * --(data!$Q$2:$Q$201&lt;E$6+$F$3/2))</f>
        <v>2</v>
      </c>
      <c r="F7" s="6">
        <f>SUMPRODUCT(--(data!$P$2:$P$201&gt;=$A7-$E$3/2) * --(data!$P$2:$P$201&lt;$A7+$E$3/2) * --(data!$Q$2:$Q$201&gt;=F$6-$F$3/2) * --(data!$Q$2:$Q$201&lt;F$6+$F$3/2))</f>
        <v>0</v>
      </c>
      <c r="G7" s="6">
        <f>SUMPRODUCT(--(data!$P$2:$P$201&gt;=$A7-$E$3/2) * --(data!$P$2:$P$201&lt;$A7+$E$3/2) * --(data!$Q$2:$Q$201&gt;=G$6-$F$3/2) * --(data!$Q$2:$Q$201&lt;G$6+$F$3/2))</f>
        <v>0</v>
      </c>
      <c r="H7" s="6">
        <f>SUMPRODUCT(--(data!$P$2:$P$201&gt;=$A7-$E$3/2) * --(data!$P$2:$P$201&lt;$A7+$E$3/2) * --(data!$Q$2:$Q$201&gt;=H$6-$F$3/2) * --(data!$Q$2:$Q$201&lt;H$6+$F$3/2))</f>
        <v>0</v>
      </c>
      <c r="I7" s="6">
        <f>SUMPRODUCT(--(data!$P$2:$P$201&gt;=$A7-$E$3/2) * --(data!$P$2:$P$201&lt;$A7+$E$3/2) * --(data!$Q$2:$Q$201&gt;=I$6-$F$3/2) * --(data!$Q$2:$Q$201&lt;I$6+$F$3/2))</f>
        <v>0</v>
      </c>
      <c r="J7" s="6">
        <f>SUMPRODUCT(--(data!$P$2:$P$201&gt;=$A7-$E$3/2) * --(data!$P$2:$P$201&lt;$A7+$E$3/2) * --(data!$Q$2:$Q$201&gt;=J$6-$F$3/2) * --(data!$Q$2:$Q$201&lt;J$6+$F$3/2))</f>
        <v>0</v>
      </c>
      <c r="K7" s="6">
        <f>SUMPRODUCT(--(data!$P$2:$P$201&gt;=$A7-$E$3/2) * --(data!$P$2:$P$201&lt;$A7+$E$3/2) * --(data!$Q$2:$Q$201&gt;=K$6-$F$3/2) * --(data!$Q$2:$Q$201&lt;=K$6+$F$3/2))</f>
        <v>0</v>
      </c>
      <c r="L7" s="9">
        <f t="shared" ref="L7:L16" si="1">SUM(B7:K7)</f>
        <v>7</v>
      </c>
    </row>
    <row r="8">
      <c r="A8" s="16">
        <v>162.0</v>
      </c>
      <c r="B8" s="6">
        <f>SUMPRODUCT(--(data!$P$2:$P$201&gt;=$A8-$E$3/2) * --(data!$P$2:$P$201&lt;$A8+$E$3/2) * --(data!$Q$2:$Q$201&gt;=B$6-$F$3/2) * --(data!$Q$2:$Q$201&lt;B$6+$F$3/2))</f>
        <v>1</v>
      </c>
      <c r="C8" s="6">
        <f>SUMPRODUCT(--(data!$P$2:$P$201&gt;=$A8-$E$3/2) * --(data!$P$2:$P$201&lt;$A8+$E$3/2) * --(data!$Q$2:$Q$201&gt;=C$6-$F$3/2) * --(data!$Q$2:$Q$201&lt;C$6+$F$3/2))</f>
        <v>3</v>
      </c>
      <c r="D8" s="6">
        <f>SUMPRODUCT(--(data!$P$2:$P$201&gt;=$A8-$E$3/2) * --(data!$P$2:$P$201&lt;$A8+$E$3/2) * --(data!$Q$2:$Q$201&gt;=D$6-$F$3/2) * --(data!$Q$2:$Q$201&lt;D$6+$F$3/2))</f>
        <v>1</v>
      </c>
      <c r="E8" s="6">
        <f>SUMPRODUCT(--(data!$P$2:$P$201&gt;=$A8-$E$3/2) * --(data!$P$2:$P$201&lt;$A8+$E$3/2) * --(data!$Q$2:$Q$201&gt;=E$6-$F$3/2) * --(data!$Q$2:$Q$201&lt;E$6+$F$3/2))</f>
        <v>5</v>
      </c>
      <c r="F8" s="6">
        <f>SUMPRODUCT(--(data!$P$2:$P$201&gt;=$A8-$E$3/2) * --(data!$P$2:$P$201&lt;$A8+$E$3/2) * --(data!$Q$2:$Q$201&gt;=F$6-$F$3/2) * --(data!$Q$2:$Q$201&lt;F$6+$F$3/2))</f>
        <v>5</v>
      </c>
      <c r="G8" s="6">
        <f>SUMPRODUCT(--(data!$P$2:$P$201&gt;=$A8-$E$3/2) * --(data!$P$2:$P$201&lt;$A8+$E$3/2) * --(data!$Q$2:$Q$201&gt;=G$6-$F$3/2) * --(data!$Q$2:$Q$201&lt;G$6+$F$3/2))</f>
        <v>2</v>
      </c>
      <c r="H8" s="6">
        <f>SUMPRODUCT(--(data!$P$2:$P$201&gt;=$A8-$E$3/2) * --(data!$P$2:$P$201&lt;$A8+$E$3/2) * --(data!$Q$2:$Q$201&gt;=H$6-$F$3/2) * --(data!$Q$2:$Q$201&lt;H$6+$F$3/2))</f>
        <v>0</v>
      </c>
      <c r="I8" s="6">
        <f>SUMPRODUCT(--(data!$P$2:$P$201&gt;=$A8-$E$3/2) * --(data!$P$2:$P$201&lt;$A8+$E$3/2) * --(data!$Q$2:$Q$201&gt;=I$6-$F$3/2) * --(data!$Q$2:$Q$201&lt;I$6+$F$3/2))</f>
        <v>0</v>
      </c>
      <c r="J8" s="6">
        <f>SUMPRODUCT(--(data!$P$2:$P$201&gt;=$A8-$E$3/2) * --(data!$P$2:$P$201&lt;$A8+$E$3/2) * --(data!$Q$2:$Q$201&gt;=J$6-$F$3/2) * --(data!$Q$2:$Q$201&lt;J$6+$F$3/2))</f>
        <v>0</v>
      </c>
      <c r="K8" s="6">
        <f>SUMPRODUCT(--(data!$P$2:$P$201&gt;=$A8-$E$3/2) * --(data!$P$2:$P$201&lt;$A8+$E$3/2) * --(data!$Q$2:$Q$201&gt;=K$6-$F$3/2) * --(data!$Q$2:$Q$201&lt;=K$6+$F$3/2))</f>
        <v>0</v>
      </c>
      <c r="L8" s="9">
        <f t="shared" si="1"/>
        <v>17</v>
      </c>
    </row>
    <row r="9">
      <c r="A9" s="16">
        <v>166.0</v>
      </c>
      <c r="B9" s="6">
        <f>SUMPRODUCT(--(data!$P$2:$P$201&gt;=$A9-$E$3/2) * --(data!$P$2:$P$201&lt;$A9+$E$3/2) * --(data!$Q$2:$Q$201&gt;=B$6-$F$3/2) * --(data!$Q$2:$Q$201&lt;B$6+$F$3/2))</f>
        <v>0</v>
      </c>
      <c r="C9" s="6">
        <f>SUMPRODUCT(--(data!$P$2:$P$201&gt;=$A9-$E$3/2) * --(data!$P$2:$P$201&lt;$A9+$E$3/2) * --(data!$Q$2:$Q$201&gt;=C$6-$F$3/2) * --(data!$Q$2:$Q$201&lt;C$6+$F$3/2))</f>
        <v>2</v>
      </c>
      <c r="D9" s="6">
        <f>SUMPRODUCT(--(data!$P$2:$P$201&gt;=$A9-$E$3/2) * --(data!$P$2:$P$201&lt;$A9+$E$3/2) * --(data!$Q$2:$Q$201&gt;=D$6-$F$3/2) * --(data!$Q$2:$Q$201&lt;D$6+$F$3/2))</f>
        <v>4</v>
      </c>
      <c r="E9" s="6">
        <f>SUMPRODUCT(--(data!$P$2:$P$201&gt;=$A9-$E$3/2) * --(data!$P$2:$P$201&lt;$A9+$E$3/2) * --(data!$Q$2:$Q$201&gt;=E$6-$F$3/2) * --(data!$Q$2:$Q$201&lt;E$6+$F$3/2))</f>
        <v>23</v>
      </c>
      <c r="F9" s="6">
        <f>SUMPRODUCT(--(data!$P$2:$P$201&gt;=$A9-$E$3/2) * --(data!$P$2:$P$201&lt;$A9+$E$3/2) * --(data!$Q$2:$Q$201&gt;=F$6-$F$3/2) * --(data!$Q$2:$Q$201&lt;F$6+$F$3/2))</f>
        <v>9</v>
      </c>
      <c r="G9" s="6">
        <f>SUMPRODUCT(--(data!$P$2:$P$201&gt;=$A9-$E$3/2) * --(data!$P$2:$P$201&lt;$A9+$E$3/2) * --(data!$Q$2:$Q$201&gt;=G$6-$F$3/2) * --(data!$Q$2:$Q$201&lt;G$6+$F$3/2))</f>
        <v>4</v>
      </c>
      <c r="H9" s="6">
        <f>SUMPRODUCT(--(data!$P$2:$P$201&gt;=$A9-$E$3/2) * --(data!$P$2:$P$201&lt;$A9+$E$3/2) * --(data!$Q$2:$Q$201&gt;=H$6-$F$3/2) * --(data!$Q$2:$Q$201&lt;H$6+$F$3/2))</f>
        <v>2</v>
      </c>
      <c r="I9" s="6">
        <f>SUMPRODUCT(--(data!$P$2:$P$201&gt;=$A9-$E$3/2) * --(data!$P$2:$P$201&lt;$A9+$E$3/2) * --(data!$Q$2:$Q$201&gt;=I$6-$F$3/2) * --(data!$Q$2:$Q$201&lt;I$6+$F$3/2))</f>
        <v>0</v>
      </c>
      <c r="J9" s="6">
        <f>SUMPRODUCT(--(data!$P$2:$P$201&gt;=$A9-$E$3/2) * --(data!$P$2:$P$201&lt;$A9+$E$3/2) * --(data!$Q$2:$Q$201&gt;=J$6-$F$3/2) * --(data!$Q$2:$Q$201&lt;J$6+$F$3/2))</f>
        <v>1</v>
      </c>
      <c r="K9" s="6">
        <f>SUMPRODUCT(--(data!$P$2:$P$201&gt;=$A9-$E$3/2) * --(data!$P$2:$P$201&lt;$A9+$E$3/2) * --(data!$Q$2:$Q$201&gt;=K$6-$F$3/2) * --(data!$Q$2:$Q$201&lt;=K$6+$F$3/2))</f>
        <v>0</v>
      </c>
      <c r="L9" s="9">
        <f t="shared" si="1"/>
        <v>45</v>
      </c>
    </row>
    <row r="10">
      <c r="A10" s="16">
        <v>170.0</v>
      </c>
      <c r="B10" s="6">
        <f>SUMPRODUCT(--(data!$P$2:$P$201&gt;=$A10-$E$3/2) * --(data!$P$2:$P$201&lt;$A10+$E$3/2) * --(data!$Q$2:$Q$201&gt;=B$6-$F$3/2) * --(data!$Q$2:$Q$201&lt;B$6+$F$3/2))</f>
        <v>1</v>
      </c>
      <c r="C10" s="6">
        <f>SUMPRODUCT(--(data!$P$2:$P$201&gt;=$A10-$E$3/2) * --(data!$P$2:$P$201&lt;$A10+$E$3/2) * --(data!$Q$2:$Q$201&gt;=C$6-$F$3/2) * --(data!$Q$2:$Q$201&lt;C$6+$F$3/2))</f>
        <v>1</v>
      </c>
      <c r="D10" s="6">
        <f>SUMPRODUCT(--(data!$P$2:$P$201&gt;=$A10-$E$3/2) * --(data!$P$2:$P$201&lt;$A10+$E$3/2) * --(data!$Q$2:$Q$201&gt;=D$6-$F$3/2) * --(data!$Q$2:$Q$201&lt;D$6+$F$3/2))</f>
        <v>2</v>
      </c>
      <c r="E10" s="6">
        <f>SUMPRODUCT(--(data!$P$2:$P$201&gt;=$A10-$E$3/2) * --(data!$P$2:$P$201&lt;$A10+$E$3/2) * --(data!$Q$2:$Q$201&gt;=E$6-$F$3/2) * --(data!$Q$2:$Q$201&lt;E$6+$F$3/2))</f>
        <v>10</v>
      </c>
      <c r="F10" s="6">
        <f>SUMPRODUCT(--(data!$P$2:$P$201&gt;=$A10-$E$3/2) * --(data!$P$2:$P$201&lt;$A10+$E$3/2) * --(data!$Q$2:$Q$201&gt;=F$6-$F$3/2) * --(data!$Q$2:$Q$201&lt;F$6+$F$3/2))</f>
        <v>11</v>
      </c>
      <c r="G10" s="6">
        <f>SUMPRODUCT(--(data!$P$2:$P$201&gt;=$A10-$E$3/2) * --(data!$P$2:$P$201&lt;$A10+$E$3/2) * --(data!$Q$2:$Q$201&gt;=G$6-$F$3/2) * --(data!$Q$2:$Q$201&lt;G$6+$F$3/2))</f>
        <v>20</v>
      </c>
      <c r="H10" s="6">
        <f>SUMPRODUCT(--(data!$P$2:$P$201&gt;=$A10-$E$3/2) * --(data!$P$2:$P$201&lt;$A10+$E$3/2) * --(data!$Q$2:$Q$201&gt;=H$6-$F$3/2) * --(data!$Q$2:$Q$201&lt;H$6+$F$3/2))</f>
        <v>10</v>
      </c>
      <c r="I10" s="6">
        <f>SUMPRODUCT(--(data!$P$2:$P$201&gt;=$A10-$E$3/2) * --(data!$P$2:$P$201&lt;$A10+$E$3/2) * --(data!$Q$2:$Q$201&gt;=I$6-$F$3/2) * --(data!$Q$2:$Q$201&lt;I$6+$F$3/2))</f>
        <v>5</v>
      </c>
      <c r="J10" s="6">
        <f>SUMPRODUCT(--(data!$P$2:$P$201&gt;=$A10-$E$3/2) * --(data!$P$2:$P$201&lt;$A10+$E$3/2) * --(data!$Q$2:$Q$201&gt;=J$6-$F$3/2) * --(data!$Q$2:$Q$201&lt;J$6+$F$3/2))</f>
        <v>0</v>
      </c>
      <c r="K10" s="6">
        <f>SUMPRODUCT(--(data!$P$2:$P$201&gt;=$A10-$E$3/2) * --(data!$P$2:$P$201&lt;$A10+$E$3/2) * --(data!$Q$2:$Q$201&gt;=K$6-$F$3/2) * --(data!$Q$2:$Q$201&lt;=K$6+$F$3/2))</f>
        <v>0</v>
      </c>
      <c r="L10" s="9">
        <f t="shared" si="1"/>
        <v>60</v>
      </c>
    </row>
    <row r="11">
      <c r="A11" s="16">
        <v>174.0</v>
      </c>
      <c r="B11" s="6">
        <f>SUMPRODUCT(--(data!$P$2:$P$201&gt;=$A11-$E$3/2) * --(data!$P$2:$P$201&lt;$A11+$E$3/2) * --(data!$Q$2:$Q$201&gt;=B$6-$F$3/2) * --(data!$Q$2:$Q$201&lt;B$6+$F$3/2))</f>
        <v>0</v>
      </c>
      <c r="C11" s="6">
        <f>SUMPRODUCT(--(data!$P$2:$P$201&gt;=$A11-$E$3/2) * --(data!$P$2:$P$201&lt;$A11+$E$3/2) * --(data!$Q$2:$Q$201&gt;=C$6-$F$3/2) * --(data!$Q$2:$Q$201&lt;C$6+$F$3/2))</f>
        <v>0</v>
      </c>
      <c r="D11" s="6">
        <f>SUMPRODUCT(--(data!$P$2:$P$201&gt;=$A11-$E$3/2) * --(data!$P$2:$P$201&lt;$A11+$E$3/2) * --(data!$Q$2:$Q$201&gt;=D$6-$F$3/2) * --(data!$Q$2:$Q$201&lt;D$6+$F$3/2))</f>
        <v>0</v>
      </c>
      <c r="E11" s="6">
        <f>SUMPRODUCT(--(data!$P$2:$P$201&gt;=$A11-$E$3/2) * --(data!$P$2:$P$201&lt;$A11+$E$3/2) * --(data!$Q$2:$Q$201&gt;=E$6-$F$3/2) * --(data!$Q$2:$Q$201&lt;E$6+$F$3/2))</f>
        <v>2</v>
      </c>
      <c r="F11" s="6">
        <f>SUMPRODUCT(--(data!$P$2:$P$201&gt;=$A11-$E$3/2) * --(data!$P$2:$P$201&lt;$A11+$E$3/2) * --(data!$Q$2:$Q$201&gt;=F$6-$F$3/2) * --(data!$Q$2:$Q$201&lt;F$6+$F$3/2))</f>
        <v>8</v>
      </c>
      <c r="G11" s="6">
        <f>SUMPRODUCT(--(data!$P$2:$P$201&gt;=$A11-$E$3/2) * --(data!$P$2:$P$201&lt;$A11+$E$3/2) * --(data!$Q$2:$Q$201&gt;=G$6-$F$3/2) * --(data!$Q$2:$Q$201&lt;G$6+$F$3/2))</f>
        <v>16</v>
      </c>
      <c r="H11" s="6">
        <f>SUMPRODUCT(--(data!$P$2:$P$201&gt;=$A11-$E$3/2) * --(data!$P$2:$P$201&lt;$A11+$E$3/2) * --(data!$Q$2:$Q$201&gt;=H$6-$F$3/2) * --(data!$Q$2:$Q$201&lt;H$6+$F$3/2))</f>
        <v>6</v>
      </c>
      <c r="I11" s="6">
        <f>SUMPRODUCT(--(data!$P$2:$P$201&gt;=$A11-$E$3/2) * --(data!$P$2:$P$201&lt;$A11+$E$3/2) * --(data!$Q$2:$Q$201&gt;=I$6-$F$3/2) * --(data!$Q$2:$Q$201&lt;I$6+$F$3/2))</f>
        <v>6</v>
      </c>
      <c r="J11" s="6">
        <f>SUMPRODUCT(--(data!$P$2:$P$201&gt;=$A11-$E$3/2) * --(data!$P$2:$P$201&lt;$A11+$E$3/2) * --(data!$Q$2:$Q$201&gt;=J$6-$F$3/2) * --(data!$Q$2:$Q$201&lt;J$6+$F$3/2))</f>
        <v>2</v>
      </c>
      <c r="K11" s="6">
        <f>SUMPRODUCT(--(data!$P$2:$P$201&gt;=$A11-$E$3/2) * --(data!$P$2:$P$201&lt;$A11+$E$3/2) * --(data!$Q$2:$Q$201&gt;=K$6-$F$3/2) * --(data!$Q$2:$Q$201&lt;=K$6+$F$3/2))</f>
        <v>0</v>
      </c>
      <c r="L11" s="9">
        <f t="shared" si="1"/>
        <v>40</v>
      </c>
    </row>
    <row r="12">
      <c r="A12" s="16">
        <v>178.0</v>
      </c>
      <c r="B12" s="6">
        <f>SUMPRODUCT(--(data!$P$2:$P$201&gt;=$A12-$E$3/2) * --(data!$P$2:$P$201&lt;$A12+$E$3/2) * --(data!$Q$2:$Q$201&gt;=B$6-$F$3/2) * --(data!$Q$2:$Q$201&lt;B$6+$F$3/2))</f>
        <v>0</v>
      </c>
      <c r="C12" s="6">
        <f>SUMPRODUCT(--(data!$P$2:$P$201&gt;=$A12-$E$3/2) * --(data!$P$2:$P$201&lt;$A12+$E$3/2) * --(data!$Q$2:$Q$201&gt;=C$6-$F$3/2) * --(data!$Q$2:$Q$201&lt;C$6+$F$3/2))</f>
        <v>0</v>
      </c>
      <c r="D12" s="6">
        <f>SUMPRODUCT(--(data!$P$2:$P$201&gt;=$A12-$E$3/2) * --(data!$P$2:$P$201&lt;$A12+$E$3/2) * --(data!$Q$2:$Q$201&gt;=D$6-$F$3/2) * --(data!$Q$2:$Q$201&lt;D$6+$F$3/2))</f>
        <v>0</v>
      </c>
      <c r="E12" s="6">
        <f>SUMPRODUCT(--(data!$P$2:$P$201&gt;=$A12-$E$3/2) * --(data!$P$2:$P$201&lt;$A12+$E$3/2) * --(data!$Q$2:$Q$201&gt;=E$6-$F$3/2) * --(data!$Q$2:$Q$201&lt;E$6+$F$3/2))</f>
        <v>3</v>
      </c>
      <c r="F12" s="6">
        <f>SUMPRODUCT(--(data!$P$2:$P$201&gt;=$A12-$E$3/2) * --(data!$P$2:$P$201&lt;$A12+$E$3/2) * --(data!$Q$2:$Q$201&gt;=F$6-$F$3/2) * --(data!$Q$2:$Q$201&lt;F$6+$F$3/2))</f>
        <v>4</v>
      </c>
      <c r="G12" s="6">
        <f>SUMPRODUCT(--(data!$P$2:$P$201&gt;=$A12-$E$3/2) * --(data!$P$2:$P$201&lt;$A12+$E$3/2) * --(data!$Q$2:$Q$201&gt;=G$6-$F$3/2) * --(data!$Q$2:$Q$201&lt;G$6+$F$3/2))</f>
        <v>4</v>
      </c>
      <c r="H12" s="6">
        <f>SUMPRODUCT(--(data!$P$2:$P$201&gt;=$A12-$E$3/2) * --(data!$P$2:$P$201&lt;$A12+$E$3/2) * --(data!$Q$2:$Q$201&gt;=H$6-$F$3/2) * --(data!$Q$2:$Q$201&lt;H$6+$F$3/2))</f>
        <v>9</v>
      </c>
      <c r="I12" s="6">
        <f>SUMPRODUCT(--(data!$P$2:$P$201&gt;=$A12-$E$3/2) * --(data!$P$2:$P$201&lt;$A12+$E$3/2) * --(data!$Q$2:$Q$201&gt;=I$6-$F$3/2) * --(data!$Q$2:$Q$201&lt;I$6+$F$3/2))</f>
        <v>1</v>
      </c>
      <c r="J12" s="6">
        <f>SUMPRODUCT(--(data!$P$2:$P$201&gt;=$A12-$E$3/2) * --(data!$P$2:$P$201&lt;$A12+$E$3/2) * --(data!$Q$2:$Q$201&gt;=J$6-$F$3/2) * --(data!$Q$2:$Q$201&lt;J$6+$F$3/2))</f>
        <v>1</v>
      </c>
      <c r="K12" s="6">
        <f>SUMPRODUCT(--(data!$P$2:$P$201&gt;=$A12-$E$3/2) * --(data!$P$2:$P$201&lt;$A12+$E$3/2) * --(data!$Q$2:$Q$201&gt;=K$6-$F$3/2) * --(data!$Q$2:$Q$201&lt;=K$6+$F$3/2))</f>
        <v>0</v>
      </c>
      <c r="L12" s="9">
        <f t="shared" si="1"/>
        <v>22</v>
      </c>
    </row>
    <row r="13">
      <c r="A13" s="16">
        <v>182.0</v>
      </c>
      <c r="B13" s="6">
        <f>SUMPRODUCT(--(data!$P$2:$P$201&gt;=$A13-$E$3/2) * --(data!$P$2:$P$201&lt;$A13+$E$3/2) * --(data!$Q$2:$Q$201&gt;=B$6-$F$3/2) * --(data!$Q$2:$Q$201&lt;B$6+$F$3/2))</f>
        <v>0</v>
      </c>
      <c r="C13" s="6">
        <f>SUMPRODUCT(--(data!$P$2:$P$201&gt;=$A13-$E$3/2) * --(data!$P$2:$P$201&lt;$A13+$E$3/2) * --(data!$Q$2:$Q$201&gt;=C$6-$F$3/2) * --(data!$Q$2:$Q$201&lt;C$6+$F$3/2))</f>
        <v>0</v>
      </c>
      <c r="D13" s="6">
        <f>SUMPRODUCT(--(data!$P$2:$P$201&gt;=$A13-$E$3/2) * --(data!$P$2:$P$201&lt;$A13+$E$3/2) * --(data!$Q$2:$Q$201&gt;=D$6-$F$3/2) * --(data!$Q$2:$Q$201&lt;D$6+$F$3/2))</f>
        <v>0</v>
      </c>
      <c r="E13" s="6">
        <f>SUMPRODUCT(--(data!$P$2:$P$201&gt;=$A13-$E$3/2) * --(data!$P$2:$P$201&lt;$A13+$E$3/2) * --(data!$Q$2:$Q$201&gt;=E$6-$F$3/2) * --(data!$Q$2:$Q$201&lt;E$6+$F$3/2))</f>
        <v>0</v>
      </c>
      <c r="F13" s="6">
        <f>SUMPRODUCT(--(data!$P$2:$P$201&gt;=$A13-$E$3/2) * --(data!$P$2:$P$201&lt;$A13+$E$3/2) * --(data!$Q$2:$Q$201&gt;=F$6-$F$3/2) * --(data!$Q$2:$Q$201&lt;F$6+$F$3/2))</f>
        <v>0</v>
      </c>
      <c r="G13" s="6">
        <f>SUMPRODUCT(--(data!$P$2:$P$201&gt;=$A13-$E$3/2) * --(data!$P$2:$P$201&lt;$A13+$E$3/2) * --(data!$Q$2:$Q$201&gt;=G$6-$F$3/2) * --(data!$Q$2:$Q$201&lt;G$6+$F$3/2))</f>
        <v>1</v>
      </c>
      <c r="H13" s="6">
        <f>SUMPRODUCT(--(data!$P$2:$P$201&gt;=$A13-$E$3/2) * --(data!$P$2:$P$201&lt;$A13+$E$3/2) * --(data!$Q$2:$Q$201&gt;=H$6-$F$3/2) * --(data!$Q$2:$Q$201&lt;H$6+$F$3/2))</f>
        <v>0</v>
      </c>
      <c r="I13" s="6">
        <f>SUMPRODUCT(--(data!$P$2:$P$201&gt;=$A13-$E$3/2) * --(data!$P$2:$P$201&lt;$A13+$E$3/2) * --(data!$Q$2:$Q$201&gt;=I$6-$F$3/2) * --(data!$Q$2:$Q$201&lt;I$6+$F$3/2))</f>
        <v>2</v>
      </c>
      <c r="J13" s="6">
        <f>SUMPRODUCT(--(data!$P$2:$P$201&gt;=$A13-$E$3/2) * --(data!$P$2:$P$201&lt;$A13+$E$3/2) * --(data!$Q$2:$Q$201&gt;=J$6-$F$3/2) * --(data!$Q$2:$Q$201&lt;J$6+$F$3/2))</f>
        <v>0</v>
      </c>
      <c r="K13" s="6">
        <f>SUMPRODUCT(--(data!$P$2:$P$201&gt;=$A13-$E$3/2) * --(data!$P$2:$P$201&lt;$A13+$E$3/2) * --(data!$Q$2:$Q$201&gt;=K$6-$F$3/2) * --(data!$Q$2:$Q$201&lt;=K$6+$F$3/2))</f>
        <v>0</v>
      </c>
      <c r="L13" s="9">
        <f t="shared" si="1"/>
        <v>3</v>
      </c>
    </row>
    <row r="14">
      <c r="A14" s="16">
        <v>186.0</v>
      </c>
      <c r="B14" s="6">
        <f>SUMPRODUCT(--(data!$P$2:$P$201&gt;=$A14-$E$3/2) * --(data!$P$2:$P$201&lt;$A14+$E$3/2) * --(data!$Q$2:$Q$201&gt;=B$6-$F$3/2) * --(data!$Q$2:$Q$201&lt;B$6+$F$3/2))</f>
        <v>0</v>
      </c>
      <c r="C14" s="6">
        <f>SUMPRODUCT(--(data!$P$2:$P$201&gt;=$A14-$E$3/2) * --(data!$P$2:$P$201&lt;$A14+$E$3/2) * --(data!$Q$2:$Q$201&gt;=C$6-$F$3/2) * --(data!$Q$2:$Q$201&lt;C$6+$F$3/2))</f>
        <v>0</v>
      </c>
      <c r="D14" s="6">
        <f>SUMPRODUCT(--(data!$P$2:$P$201&gt;=$A14-$E$3/2) * --(data!$P$2:$P$201&lt;$A14+$E$3/2) * --(data!$Q$2:$Q$201&gt;=D$6-$F$3/2) * --(data!$Q$2:$Q$201&lt;D$6+$F$3/2))</f>
        <v>0</v>
      </c>
      <c r="E14" s="6">
        <f>SUMPRODUCT(--(data!$P$2:$P$201&gt;=$A14-$E$3/2) * --(data!$P$2:$P$201&lt;$A14+$E$3/2) * --(data!$Q$2:$Q$201&gt;=E$6-$F$3/2) * --(data!$Q$2:$Q$201&lt;E$6+$F$3/2))</f>
        <v>0</v>
      </c>
      <c r="F14" s="6">
        <f>SUMPRODUCT(--(data!$P$2:$P$201&gt;=$A14-$E$3/2) * --(data!$P$2:$P$201&lt;$A14+$E$3/2) * --(data!$Q$2:$Q$201&gt;=F$6-$F$3/2) * --(data!$Q$2:$Q$201&lt;F$6+$F$3/2))</f>
        <v>1</v>
      </c>
      <c r="G14" s="6">
        <f>SUMPRODUCT(--(data!$P$2:$P$201&gt;=$A14-$E$3/2) * --(data!$P$2:$P$201&lt;$A14+$E$3/2) * --(data!$Q$2:$Q$201&gt;=G$6-$F$3/2) * --(data!$Q$2:$Q$201&lt;G$6+$F$3/2))</f>
        <v>2</v>
      </c>
      <c r="H14" s="6">
        <f>SUMPRODUCT(--(data!$P$2:$P$201&gt;=$A14-$E$3/2) * --(data!$P$2:$P$201&lt;$A14+$E$3/2) * --(data!$Q$2:$Q$201&gt;=H$6-$F$3/2) * --(data!$Q$2:$Q$201&lt;H$6+$F$3/2))</f>
        <v>0</v>
      </c>
      <c r="I14" s="6">
        <f>SUMPRODUCT(--(data!$P$2:$P$201&gt;=$A14-$E$3/2) * --(data!$P$2:$P$201&lt;$A14+$E$3/2) * --(data!$Q$2:$Q$201&gt;=I$6-$F$3/2) * --(data!$Q$2:$Q$201&lt;I$6+$F$3/2))</f>
        <v>0</v>
      </c>
      <c r="J14" s="6">
        <f>SUMPRODUCT(--(data!$P$2:$P$201&gt;=$A14-$E$3/2) * --(data!$P$2:$P$201&lt;$A14+$E$3/2) * --(data!$Q$2:$Q$201&gt;=J$6-$F$3/2) * --(data!$Q$2:$Q$201&lt;J$6+$F$3/2))</f>
        <v>0</v>
      </c>
      <c r="K14" s="6">
        <f>SUMPRODUCT(--(data!$P$2:$P$201&gt;=$A14-$E$3/2) * --(data!$P$2:$P$201&lt;$A14+$E$3/2) * --(data!$Q$2:$Q$201&gt;=K$6-$F$3/2) * --(data!$Q$2:$Q$201&lt;=K$6+$F$3/2))</f>
        <v>1</v>
      </c>
      <c r="L14" s="9">
        <f t="shared" si="1"/>
        <v>4</v>
      </c>
    </row>
    <row r="15">
      <c r="A15" s="16">
        <v>190.0</v>
      </c>
      <c r="B15" s="6">
        <f>SUMPRODUCT(--(data!$P$2:$P$201&gt;=$A15-$E$3/2) * --(data!$P$2:$P$201&lt;$A15+$E$3/2) * --(data!$Q$2:$Q$201&gt;=B$6-$F$3/2) * --(data!$Q$2:$Q$201&lt;B$6+$F$3/2))</f>
        <v>0</v>
      </c>
      <c r="C15" s="6">
        <f>SUMPRODUCT(--(data!$P$2:$P$201&gt;=$A15-$E$3/2) * --(data!$P$2:$P$201&lt;$A15+$E$3/2) * --(data!$Q$2:$Q$201&gt;=C$6-$F$3/2) * --(data!$Q$2:$Q$201&lt;C$6+$F$3/2))</f>
        <v>0</v>
      </c>
      <c r="D15" s="6">
        <f>SUMPRODUCT(--(data!$P$2:$P$201&gt;=$A15-$E$3/2) * --(data!$P$2:$P$201&lt;$A15+$E$3/2) * --(data!$Q$2:$Q$201&gt;=D$6-$F$3/2) * --(data!$Q$2:$Q$201&lt;D$6+$F$3/2))</f>
        <v>0</v>
      </c>
      <c r="E15" s="6">
        <f>SUMPRODUCT(--(data!$P$2:$P$201&gt;=$A15-$E$3/2) * --(data!$P$2:$P$201&lt;$A15+$E$3/2) * --(data!$Q$2:$Q$201&gt;=E$6-$F$3/2) * --(data!$Q$2:$Q$201&lt;E$6+$F$3/2))</f>
        <v>0</v>
      </c>
      <c r="F15" s="6">
        <f>SUMPRODUCT(--(data!$P$2:$P$201&gt;=$A15-$E$3/2) * --(data!$P$2:$P$201&lt;$A15+$E$3/2) * --(data!$Q$2:$Q$201&gt;=F$6-$F$3/2) * --(data!$Q$2:$Q$201&lt;F$6+$F$3/2))</f>
        <v>0</v>
      </c>
      <c r="G15" s="6">
        <f>SUMPRODUCT(--(data!$P$2:$P$201&gt;=$A15-$E$3/2) * --(data!$P$2:$P$201&lt;$A15+$E$3/2) * --(data!$Q$2:$Q$201&gt;=G$6-$F$3/2) * --(data!$Q$2:$Q$201&lt;G$6+$F$3/2))</f>
        <v>0</v>
      </c>
      <c r="H15" s="6">
        <f>SUMPRODUCT(--(data!$P$2:$P$201&gt;=$A15-$E$3/2) * --(data!$P$2:$P$201&lt;$A15+$E$3/2) * --(data!$Q$2:$Q$201&gt;=H$6-$F$3/2) * --(data!$Q$2:$Q$201&lt;H$6+$F$3/2))</f>
        <v>0</v>
      </c>
      <c r="I15" s="6">
        <f>SUMPRODUCT(--(data!$P$2:$P$201&gt;=$A15-$E$3/2) * --(data!$P$2:$P$201&lt;$A15+$E$3/2) * --(data!$Q$2:$Q$201&gt;=I$6-$F$3/2) * --(data!$Q$2:$Q$201&lt;I$6+$F$3/2))</f>
        <v>1</v>
      </c>
      <c r="J15" s="6">
        <f>SUMPRODUCT(--(data!$P$2:$P$201&gt;=$A15-$E$3/2) * --(data!$P$2:$P$201&lt;$A15+$E$3/2) * --(data!$Q$2:$Q$201&gt;=J$6-$F$3/2) * --(data!$Q$2:$Q$201&lt;J$6+$F$3/2))</f>
        <v>0</v>
      </c>
      <c r="K15" s="6">
        <f>SUMPRODUCT(--(data!$P$2:$P$201&gt;=$A15-$E$3/2) * --(data!$P$2:$P$201&lt;$A15+$E$3/2) * --(data!$Q$2:$Q$201&gt;=K$6-$F$3/2) * --(data!$Q$2:$Q$201&lt;=K$6+$F$3/2))</f>
        <v>0</v>
      </c>
      <c r="L15" s="9">
        <f t="shared" si="1"/>
        <v>1</v>
      </c>
    </row>
    <row r="16">
      <c r="A16" s="16">
        <v>194.0</v>
      </c>
      <c r="B16" s="6">
        <f>SUMPRODUCT(--(data!$P$2:$P$201&gt;=$A16-$E$3/2) * --(data!$P$2:$P$201&lt;=$A16+$E$3/2) * --(data!$Q$2:$Q$201&gt;=B$6-$F$3/2) * --(data!$Q$2:$Q$201&lt;B$6+$F$3/2))</f>
        <v>0</v>
      </c>
      <c r="C16" s="6">
        <f>SUMPRODUCT(--(data!$P$2:$P$201&gt;=$A16-$E$3/2) * --(data!$P$2:$P$201&lt;=$A16+$E$3/2) * --(data!$Q$2:$Q$201&gt;=C$6-$F$3/2) * --(data!$Q$2:$Q$201&lt;C$6+$F$3/2))</f>
        <v>0</v>
      </c>
      <c r="D16" s="6">
        <f>SUMPRODUCT(--(data!$P$2:$P$201&gt;=$A16-$E$3/2) * --(data!$P$2:$P$201&lt;=$A16+$E$3/2) * --(data!$Q$2:$Q$201&gt;=D$6-$F$3/2) * --(data!$Q$2:$Q$201&lt;D$6+$F$3/2))</f>
        <v>0</v>
      </c>
      <c r="E16" s="6">
        <f>SUMPRODUCT(--(data!$P$2:$P$201&gt;=$A16-$E$3/2) * --(data!$P$2:$P$201&lt;=$A16+$E$3/2) * --(data!$Q$2:$Q$201&gt;=E$6-$F$3/2) * --(data!$Q$2:$Q$201&lt;E$6+$F$3/2))</f>
        <v>1</v>
      </c>
      <c r="F16" s="6">
        <f>SUMPRODUCT(--(data!$P$2:$P$201&gt;=$A16-$E$3/2) * --(data!$P$2:$P$201&lt;=$A16+$E$3/2) * --(data!$Q$2:$Q$201&gt;=F$6-$F$3/2) * --(data!$Q$2:$Q$201&lt;F$6+$F$3/2))</f>
        <v>0</v>
      </c>
      <c r="G16" s="6">
        <f>SUMPRODUCT(--(data!$P$2:$P$201&gt;=$A16-$E$3/2) * --(data!$P$2:$P$201&lt;=$A16+$E$3/2) * --(data!$Q$2:$Q$201&gt;=G$6-$F$3/2) * --(data!$Q$2:$Q$201&lt;G$6+$F$3/2))</f>
        <v>0</v>
      </c>
      <c r="H16" s="6">
        <f>SUMPRODUCT(--(data!$P$2:$P$201&gt;=$A16-$E$3/2) * --(data!$P$2:$P$201&lt;=$A16+$E$3/2) * --(data!$Q$2:$Q$201&gt;=H$6-$F$3/2) * --(data!$Q$2:$Q$201&lt;H$6+$F$3/2))</f>
        <v>0</v>
      </c>
      <c r="I16" s="6">
        <f>SUMPRODUCT(--(data!$P$2:$P$201&gt;=$A16-$E$3/2) * --(data!$P$2:$P$201&lt;=$A16+$E$3/2) * --(data!$Q$2:$Q$201&gt;=I$6-$F$3/2) * --(data!$Q$2:$Q$201&lt;I$6+$F$3/2))</f>
        <v>0</v>
      </c>
      <c r="J16" s="6">
        <f>SUMPRODUCT(--(data!$P$2:$P$201&gt;=$A16-$E$3/2) * --(data!$P$2:$P$201&lt;=$A16+$E$3/2) * --(data!$Q$2:$Q$201&gt;=J$6-$F$3/2) * --(data!$Q$2:$Q$201&lt;J$6+$F$3/2))</f>
        <v>0</v>
      </c>
      <c r="K16" s="6">
        <f>SUMPRODUCT(--(data!$P$2:$P$201&gt;=$A16-$E$3/2) * --(data!$P$2:$P$201&lt;=$A16+$E$3/2) * --(data!$Q$2:$Q$201&gt;=K$6-$F$3/2) * --(data!$Q$2:$Q$201&lt;=K$6+$F$3/2))</f>
        <v>0</v>
      </c>
      <c r="L16" s="9">
        <f t="shared" si="1"/>
        <v>1</v>
      </c>
    </row>
    <row r="17">
      <c r="A17" s="10" t="s">
        <v>71</v>
      </c>
      <c r="B17" s="9">
        <f t="shared" ref="B17:K17" si="2">SUM(B7:B16)</f>
        <v>3</v>
      </c>
      <c r="C17" s="9">
        <f t="shared" si="2"/>
        <v>8</v>
      </c>
      <c r="D17" s="9">
        <f t="shared" si="2"/>
        <v>9</v>
      </c>
      <c r="E17" s="9">
        <f t="shared" si="2"/>
        <v>46</v>
      </c>
      <c r="F17" s="9">
        <f t="shared" si="2"/>
        <v>38</v>
      </c>
      <c r="G17" s="9">
        <f t="shared" si="2"/>
        <v>49</v>
      </c>
      <c r="H17" s="9">
        <f t="shared" si="2"/>
        <v>27</v>
      </c>
      <c r="I17" s="9">
        <f t="shared" si="2"/>
        <v>15</v>
      </c>
      <c r="J17" s="9">
        <f t="shared" si="2"/>
        <v>4</v>
      </c>
      <c r="K17" s="9">
        <f t="shared" si="2"/>
        <v>1</v>
      </c>
      <c r="L17" s="9"/>
    </row>
    <row r="18">
      <c r="A18" s="19" t="s">
        <v>72</v>
      </c>
    </row>
    <row r="19">
      <c r="A19" s="20">
        <f>SUM(B7:K16)</f>
        <v>200</v>
      </c>
    </row>
    <row r="21">
      <c r="A21" s="18" t="s">
        <v>12</v>
      </c>
      <c r="B21" s="12" t="s">
        <v>73</v>
      </c>
      <c r="C21" s="12" t="s">
        <v>74</v>
      </c>
      <c r="E21" s="18" t="s">
        <v>13</v>
      </c>
      <c r="F21" s="12" t="s">
        <v>75</v>
      </c>
      <c r="G21" s="12" t="s">
        <v>74</v>
      </c>
    </row>
    <row r="22">
      <c r="A22" s="16">
        <f t="array" ref="A22:A31">INDEX('4'!B2:B11,0)</f>
        <v>158</v>
      </c>
      <c r="B22" s="6">
        <f>IFERROR(__xludf.DUMMYFUNCTION("AVERAGE(FILTER(data!$Q$2:$Q$201, data!$P$2:$P$201&gt;=A22-$E$3/2,data!$P$2:$P$201&lt;A22+$E$3/2))"),55.857142857142854)</f>
        <v>55.85714286</v>
      </c>
      <c r="C22" s="6">
        <f t="array" ref="C22:C31">INDEX(L7:L16,0)</f>
        <v>7</v>
      </c>
      <c r="E22" s="16">
        <f t="array" ref="E22:E31">INDEX('4'!I2:I11,0)</f>
        <v>49.8</v>
      </c>
      <c r="F22" s="6">
        <f>IFERROR(__xludf.DUMMYFUNCTION("AVERAGE(FILTER(data!$P$2:$P$201, data!$Q$2:$Q$201&gt;=E22-$E$3/2,data!$Q$2:$Q$201&lt;E22+$E$3/2))"),162.66666666666666)</f>
        <v>162.6666667</v>
      </c>
      <c r="G22" s="6">
        <f t="array" ref="G22:G31">TRANSPOSE(B17:K17)</f>
        <v>3</v>
      </c>
    </row>
    <row r="23">
      <c r="A23" s="16">
        <v>162.0</v>
      </c>
      <c r="B23" s="6">
        <f>IFERROR(__xludf.DUMMYFUNCTION("AVERAGE(FILTER(data!$Q$2:$Q$201, data!$P$2:$P$201&gt;=A23-$E$3/2,data!$P$2:$P$201&lt;A23+$E$3/2))"),60.294117647058826)</f>
        <v>60.29411765</v>
      </c>
      <c r="C23" s="6">
        <v>17.0</v>
      </c>
      <c r="E23" s="16">
        <v>53.4</v>
      </c>
      <c r="F23" s="6">
        <f>IFERROR(__xludf.DUMMYFUNCTION("AVERAGE(FILTER(data!$P$2:$P$201, data!$Q$2:$Q$201&gt;=E23-$E$3/2,data!$Q$2:$Q$201&lt;E23+$E$3/2))"),162.625)</f>
        <v>162.625</v>
      </c>
      <c r="G23" s="6">
        <v>8.0</v>
      </c>
    </row>
    <row r="24">
      <c r="A24" s="16">
        <v>166.0</v>
      </c>
      <c r="B24" s="6">
        <f>IFERROR(__xludf.DUMMYFUNCTION("AVERAGE(FILTER(data!$Q$2:$Q$201, data!$P$2:$P$201&gt;=A24-$E$3/2,data!$P$2:$P$201&lt;A24+$E$3/2))"),62.0)</f>
        <v>62</v>
      </c>
      <c r="C24" s="6">
        <v>45.0</v>
      </c>
      <c r="E24" s="16">
        <v>57.0</v>
      </c>
      <c r="F24" s="6">
        <f>IFERROR(__xludf.DUMMYFUNCTION("AVERAGE(FILTER(data!$P$2:$P$201, data!$Q$2:$Q$201&gt;=E24-$E$3/2,data!$Q$2:$Q$201&lt;E24+$E$3/2))"),164.26666666666668)</f>
        <v>164.2666667</v>
      </c>
      <c r="G24" s="6">
        <v>9.0</v>
      </c>
    </row>
    <row r="25">
      <c r="A25" s="16">
        <v>170.0</v>
      </c>
      <c r="B25" s="6">
        <f>IFERROR(__xludf.DUMMYFUNCTION("AVERAGE(FILTER(data!$Q$2:$Q$201, data!$P$2:$P$201&gt;=A25-$E$3/2,data!$P$2:$P$201&lt;A25+$E$3/2))"),65.85)</f>
        <v>65.85</v>
      </c>
      <c r="C25" s="6">
        <v>60.0</v>
      </c>
      <c r="E25" s="16">
        <v>60.6</v>
      </c>
      <c r="F25" s="6">
        <f>IFERROR(__xludf.DUMMYFUNCTION("AVERAGE(FILTER(data!$P$2:$P$201, data!$Q$2:$Q$201&gt;=E25-$E$3/2,data!$Q$2:$Q$201&lt;E25+$E$3/2))"),167.06521739130434)</f>
        <v>167.0652174</v>
      </c>
      <c r="G25" s="6">
        <v>46.0</v>
      </c>
    </row>
    <row r="26">
      <c r="A26" s="16">
        <v>174.0</v>
      </c>
      <c r="B26" s="6">
        <f>IFERROR(__xludf.DUMMYFUNCTION("AVERAGE(FILTER(data!$Q$2:$Q$201, data!$P$2:$P$201&gt;=A26-$E$3/2,data!$P$2:$P$201&lt;A26+$E$3/2))"),68.3)</f>
        <v>68.3</v>
      </c>
      <c r="C26" s="6">
        <v>40.0</v>
      </c>
      <c r="E26" s="16">
        <v>64.2</v>
      </c>
      <c r="F26" s="6">
        <f>IFERROR(__xludf.DUMMYFUNCTION("AVERAGE(FILTER(data!$P$2:$P$201, data!$Q$2:$Q$201&gt;=E26-$E$3/2,data!$Q$2:$Q$201&lt;E26+$E$3/2))"),169.82142857142858)</f>
        <v>169.8214286</v>
      </c>
      <c r="G26" s="6">
        <v>38.0</v>
      </c>
    </row>
    <row r="27">
      <c r="A27" s="16">
        <v>178.0</v>
      </c>
      <c r="B27" s="6">
        <f>IFERROR(__xludf.DUMMYFUNCTION("AVERAGE(FILTER(data!$Q$2:$Q$201, data!$P$2:$P$201&gt;=A27-$E$3/2,data!$P$2:$P$201&lt;A27+$E$3/2))"),68.31818181818181)</f>
        <v>68.31818182</v>
      </c>
      <c r="C27" s="6">
        <v>22.0</v>
      </c>
      <c r="E27" s="16">
        <v>67.8</v>
      </c>
      <c r="F27" s="6">
        <f>IFERROR(__xludf.DUMMYFUNCTION("AVERAGE(FILTER(data!$P$2:$P$201, data!$Q$2:$Q$201&gt;=E27-$E$3/2,data!$Q$2:$Q$201&lt;E27+$E$3/2))"),171.57142857142858)</f>
        <v>171.5714286</v>
      </c>
      <c r="G27" s="6">
        <v>49.0</v>
      </c>
    </row>
    <row r="28">
      <c r="A28" s="16">
        <v>182.0</v>
      </c>
      <c r="B28" s="6">
        <f>IFERROR(__xludf.DUMMYFUNCTION("AVERAGE(FILTER(data!$Q$2:$Q$201, data!$P$2:$P$201&gt;=A28-$E$3/2,data!$P$2:$P$201&lt;A28+$E$3/2))"),73.66666666666667)</f>
        <v>73.66666667</v>
      </c>
      <c r="C28" s="6">
        <v>3.0</v>
      </c>
      <c r="E28" s="16">
        <v>71.4</v>
      </c>
      <c r="F28" s="6">
        <f>IFERROR(__xludf.DUMMYFUNCTION("AVERAGE(FILTER(data!$P$2:$P$201, data!$Q$2:$Q$201&gt;=E28-$E$3/2,data!$Q$2:$Q$201&lt;E28+$E$3/2))"),172.5185185185185)</f>
        <v>172.5185185</v>
      </c>
      <c r="G28" s="6">
        <v>27.0</v>
      </c>
    </row>
    <row r="29">
      <c r="A29" s="16">
        <v>186.0</v>
      </c>
      <c r="B29" s="6">
        <f>IFERROR(__xludf.DUMMYFUNCTION("AVERAGE(FILTER(data!$Q$2:$Q$201, data!$P$2:$P$201&gt;=A29-$E$3/2,data!$P$2:$P$201&lt;A29+$E$3/2))"),70.75)</f>
        <v>70.75</v>
      </c>
      <c r="C29" s="6">
        <v>4.0</v>
      </c>
      <c r="E29" s="16">
        <v>75.0</v>
      </c>
      <c r="F29" s="6">
        <f>IFERROR(__xludf.DUMMYFUNCTION("AVERAGE(FILTER(data!$P$2:$P$201, data!$Q$2:$Q$201&gt;=E29-$E$3/2,data!$Q$2:$Q$201&lt;E29+$E$3/2))"),174.05)</f>
        <v>174.05</v>
      </c>
      <c r="G29" s="6">
        <v>15.0</v>
      </c>
    </row>
    <row r="30">
      <c r="A30" s="16">
        <v>190.0</v>
      </c>
      <c r="B30" s="6">
        <f>IFERROR(__xludf.DUMMYFUNCTION("AVERAGE(FILTER(data!$Q$2:$Q$201, data!$P$2:$P$201&gt;=A30-$E$3/2,data!$P$2:$P$201&lt;A30+$E$3/2))"),75.0)</f>
        <v>75</v>
      </c>
      <c r="C30" s="6">
        <v>1.0</v>
      </c>
      <c r="E30" s="16">
        <v>78.6</v>
      </c>
      <c r="F30" s="6">
        <f>IFERROR(__xludf.DUMMYFUNCTION("AVERAGE(FILTER(data!$P$2:$P$201, data!$Q$2:$Q$201&gt;=E30-$E$3/2,data!$Q$2:$Q$201&lt;E30+$E$3/2))"),172.75)</f>
        <v>172.75</v>
      </c>
      <c r="G30" s="6">
        <v>4.0</v>
      </c>
    </row>
    <row r="31">
      <c r="A31" s="16">
        <v>194.0</v>
      </c>
      <c r="B31" s="6">
        <f>IFERROR(__xludf.DUMMYFUNCTION("AVERAGE(FILTER(data!$Q$2:$Q$201, data!$P$2:$P$201&gt;=A31-$E$3/2,data!$P$2:$P$201&lt;=A31+$E$3/2))"),60.0)</f>
        <v>60</v>
      </c>
      <c r="C31" s="6">
        <v>1.0</v>
      </c>
      <c r="E31" s="16">
        <v>82.2</v>
      </c>
      <c r="F31" s="6">
        <f>IFERROR(__xludf.DUMMYFUNCTION("AVERAGE(FILTER(data!$P$2:$P$201, data!$Q$2:$Q$201&gt;=E31-$E$3/2,data!$Q$2:$Q$201&lt;=E31+$E$3/2))"),187.0)</f>
        <v>187</v>
      </c>
      <c r="G31" s="6">
        <v>1.0</v>
      </c>
    </row>
    <row r="34">
      <c r="I34" s="1" t="s">
        <v>76</v>
      </c>
      <c r="J34" s="6">
        <f>SQRT('4'!L4)</f>
        <v>6.019620918</v>
      </c>
      <c r="O34" s="1" t="s">
        <v>77</v>
      </c>
    </row>
    <row r="35">
      <c r="A35" s="1" t="s">
        <v>78</v>
      </c>
      <c r="J35" s="6">
        <f>SQRT('4'!E4)</f>
        <v>6.026607669</v>
      </c>
      <c r="P35" s="6" t="str">
        <f t="array" ref="P35:Z35">INDEX(A6:K6,0)</f>
        <v>рост\вес</v>
      </c>
      <c r="Q35" s="6">
        <v>49.8</v>
      </c>
      <c r="R35" s="6">
        <v>53.4</v>
      </c>
      <c r="S35" s="6">
        <v>57.0</v>
      </c>
      <c r="T35" s="6">
        <v>60.6</v>
      </c>
      <c r="U35" s="6">
        <v>64.2</v>
      </c>
      <c r="V35" s="6">
        <v>67.8</v>
      </c>
      <c r="W35" s="6">
        <v>71.4</v>
      </c>
      <c r="X35" s="6">
        <v>75.0</v>
      </c>
      <c r="Y35" s="6">
        <v>78.6</v>
      </c>
      <c r="Z35" s="6">
        <v>82.2</v>
      </c>
    </row>
    <row r="36">
      <c r="I36" s="1" t="s">
        <v>79</v>
      </c>
      <c r="J36" s="6">
        <f>'4'!L2</f>
        <v>65.442</v>
      </c>
      <c r="P36" s="6">
        <f t="array" ref="P36:P45">INDEX(A7:A16,0)</f>
        <v>158</v>
      </c>
      <c r="Q36" s="6">
        <f t="shared" ref="Q36:Z36" si="3">B7*Q$35*$P36</f>
        <v>7868.4</v>
      </c>
      <c r="R36" s="6">
        <f t="shared" si="3"/>
        <v>16874.4</v>
      </c>
      <c r="S36" s="6">
        <f t="shared" si="3"/>
        <v>18012</v>
      </c>
      <c r="T36" s="6">
        <f t="shared" si="3"/>
        <v>19149.6</v>
      </c>
      <c r="U36" s="6">
        <f t="shared" si="3"/>
        <v>0</v>
      </c>
      <c r="V36" s="6">
        <f t="shared" si="3"/>
        <v>0</v>
      </c>
      <c r="W36" s="6">
        <f t="shared" si="3"/>
        <v>0</v>
      </c>
      <c r="X36" s="6">
        <f t="shared" si="3"/>
        <v>0</v>
      </c>
      <c r="Y36" s="6">
        <f t="shared" si="3"/>
        <v>0</v>
      </c>
      <c r="Z36" s="6">
        <f t="shared" si="3"/>
        <v>0</v>
      </c>
    </row>
    <row r="37">
      <c r="A37" s="1" t="s">
        <v>80</v>
      </c>
      <c r="J37" s="6">
        <f>'4'!E2</f>
        <v>170.4</v>
      </c>
      <c r="P37" s="6">
        <v>162.0</v>
      </c>
      <c r="Q37" s="6">
        <f t="shared" ref="Q37:Z37" si="4">B8*Q$35*$P37</f>
        <v>8067.6</v>
      </c>
      <c r="R37" s="6">
        <f t="shared" si="4"/>
        <v>25952.4</v>
      </c>
      <c r="S37" s="6">
        <f t="shared" si="4"/>
        <v>9234</v>
      </c>
      <c r="T37" s="6">
        <f t="shared" si="4"/>
        <v>49086</v>
      </c>
      <c r="U37" s="6">
        <f t="shared" si="4"/>
        <v>52002</v>
      </c>
      <c r="V37" s="6">
        <f t="shared" si="4"/>
        <v>21967.2</v>
      </c>
      <c r="W37" s="6">
        <f t="shared" si="4"/>
        <v>0</v>
      </c>
      <c r="X37" s="6">
        <f t="shared" si="4"/>
        <v>0</v>
      </c>
      <c r="Y37" s="6">
        <f t="shared" si="4"/>
        <v>0</v>
      </c>
      <c r="Z37" s="6">
        <f t="shared" si="4"/>
        <v>0</v>
      </c>
    </row>
    <row r="38">
      <c r="A38" s="1" t="s">
        <v>81</v>
      </c>
      <c r="B38" s="6">
        <f>CORREL(data!P2:P201, data!Q2:Q201)</f>
        <v>0.5394232214</v>
      </c>
      <c r="P38" s="6">
        <v>166.0</v>
      </c>
      <c r="Q38" s="6">
        <f t="shared" ref="Q38:Z38" si="5">B9*Q$35*$P38</f>
        <v>0</v>
      </c>
      <c r="R38" s="6">
        <f t="shared" si="5"/>
        <v>17728.8</v>
      </c>
      <c r="S38" s="6">
        <f t="shared" si="5"/>
        <v>37848</v>
      </c>
      <c r="T38" s="6">
        <f t="shared" si="5"/>
        <v>231370.8</v>
      </c>
      <c r="U38" s="6">
        <f t="shared" si="5"/>
        <v>95914.8</v>
      </c>
      <c r="V38" s="6">
        <f t="shared" si="5"/>
        <v>45019.2</v>
      </c>
      <c r="W38" s="6">
        <f t="shared" si="5"/>
        <v>23704.8</v>
      </c>
      <c r="X38" s="6">
        <f t="shared" si="5"/>
        <v>0</v>
      </c>
      <c r="Y38" s="6">
        <f t="shared" si="5"/>
        <v>13047.6</v>
      </c>
      <c r="Z38" s="6">
        <f t="shared" si="5"/>
        <v>0</v>
      </c>
    </row>
    <row r="39">
      <c r="A39" s="1" t="s">
        <v>82</v>
      </c>
      <c r="B39" s="6">
        <f>(SUM(Q36:Z45)-200*J36*J37)/(200*J34*J35)</f>
        <v>0.5241539163</v>
      </c>
      <c r="P39" s="6">
        <v>170.0</v>
      </c>
      <c r="Q39" s="6">
        <f t="shared" ref="Q39:Z39" si="6">B10*Q$35*$P39</f>
        <v>8466</v>
      </c>
      <c r="R39" s="6">
        <f t="shared" si="6"/>
        <v>9078</v>
      </c>
      <c r="S39" s="6">
        <f t="shared" si="6"/>
        <v>19380</v>
      </c>
      <c r="T39" s="6">
        <f t="shared" si="6"/>
        <v>103020</v>
      </c>
      <c r="U39" s="6">
        <f t="shared" si="6"/>
        <v>120054</v>
      </c>
      <c r="V39" s="6">
        <f t="shared" si="6"/>
        <v>230520</v>
      </c>
      <c r="W39" s="6">
        <f t="shared" si="6"/>
        <v>121380</v>
      </c>
      <c r="X39" s="6">
        <f t="shared" si="6"/>
        <v>63750</v>
      </c>
      <c r="Y39" s="6">
        <f t="shared" si="6"/>
        <v>0</v>
      </c>
      <c r="Z39" s="6">
        <f t="shared" si="6"/>
        <v>0</v>
      </c>
    </row>
    <row r="40">
      <c r="A40" s="1" t="s">
        <v>83</v>
      </c>
      <c r="P40" s="6">
        <v>174.0</v>
      </c>
      <c r="Q40" s="6">
        <f t="shared" ref="Q40:Z40" si="7">B11*Q$35*$P40</f>
        <v>0</v>
      </c>
      <c r="R40" s="6">
        <f t="shared" si="7"/>
        <v>0</v>
      </c>
      <c r="S40" s="6">
        <f t="shared" si="7"/>
        <v>0</v>
      </c>
      <c r="T40" s="6">
        <f t="shared" si="7"/>
        <v>21088.8</v>
      </c>
      <c r="U40" s="6">
        <f t="shared" si="7"/>
        <v>89366.4</v>
      </c>
      <c r="V40" s="6">
        <f t="shared" si="7"/>
        <v>188755.2</v>
      </c>
      <c r="W40" s="6">
        <f t="shared" si="7"/>
        <v>74541.6</v>
      </c>
      <c r="X40" s="6">
        <f t="shared" si="7"/>
        <v>78300</v>
      </c>
      <c r="Y40" s="6">
        <f t="shared" si="7"/>
        <v>27352.8</v>
      </c>
      <c r="Z40" s="6">
        <f t="shared" si="7"/>
        <v>0</v>
      </c>
    </row>
    <row r="41">
      <c r="A41" s="1" t="s">
        <v>81</v>
      </c>
      <c r="B41" s="6">
        <f>COVAR(data!P2:P201, data!Q2:Q201)</f>
        <v>19.1129</v>
      </c>
      <c r="P41" s="6">
        <v>178.0</v>
      </c>
      <c r="Q41" s="6">
        <f t="shared" ref="Q41:Z41" si="8">B12*Q$35*$P41</f>
        <v>0</v>
      </c>
      <c r="R41" s="6">
        <f t="shared" si="8"/>
        <v>0</v>
      </c>
      <c r="S41" s="6">
        <f t="shared" si="8"/>
        <v>0</v>
      </c>
      <c r="T41" s="6">
        <f t="shared" si="8"/>
        <v>32360.4</v>
      </c>
      <c r="U41" s="6">
        <f t="shared" si="8"/>
        <v>45710.4</v>
      </c>
      <c r="V41" s="6">
        <f t="shared" si="8"/>
        <v>48273.6</v>
      </c>
      <c r="W41" s="6">
        <f t="shared" si="8"/>
        <v>114382.8</v>
      </c>
      <c r="X41" s="6">
        <f t="shared" si="8"/>
        <v>13350</v>
      </c>
      <c r="Y41" s="6">
        <f t="shared" si="8"/>
        <v>13990.8</v>
      </c>
      <c r="Z41" s="6">
        <f t="shared" si="8"/>
        <v>0</v>
      </c>
    </row>
    <row r="42">
      <c r="A42" s="1" t="s">
        <v>82</v>
      </c>
      <c r="B42" s="6">
        <f>SUM(Q36:Z45)/200-J36*J37</f>
        <v>19.0152</v>
      </c>
      <c r="P42" s="6">
        <v>182.0</v>
      </c>
      <c r="Q42" s="6">
        <f t="shared" ref="Q42:Z42" si="9">B13*Q$35*$P42</f>
        <v>0</v>
      </c>
      <c r="R42" s="6">
        <f t="shared" si="9"/>
        <v>0</v>
      </c>
      <c r="S42" s="6">
        <f t="shared" si="9"/>
        <v>0</v>
      </c>
      <c r="T42" s="6">
        <f t="shared" si="9"/>
        <v>0</v>
      </c>
      <c r="U42" s="6">
        <f t="shared" si="9"/>
        <v>0</v>
      </c>
      <c r="V42" s="6">
        <f t="shared" si="9"/>
        <v>12339.6</v>
      </c>
      <c r="W42" s="6">
        <f t="shared" si="9"/>
        <v>0</v>
      </c>
      <c r="X42" s="6">
        <f t="shared" si="9"/>
        <v>27300</v>
      </c>
      <c r="Y42" s="6">
        <f t="shared" si="9"/>
        <v>0</v>
      </c>
      <c r="Z42" s="6">
        <f t="shared" si="9"/>
        <v>0</v>
      </c>
    </row>
    <row r="43">
      <c r="P43" s="6">
        <v>186.0</v>
      </c>
      <c r="Q43" s="6">
        <f t="shared" ref="Q43:Z43" si="10">B14*Q$35*$P43</f>
        <v>0</v>
      </c>
      <c r="R43" s="6">
        <f t="shared" si="10"/>
        <v>0</v>
      </c>
      <c r="S43" s="6">
        <f t="shared" si="10"/>
        <v>0</v>
      </c>
      <c r="T43" s="6">
        <f t="shared" si="10"/>
        <v>0</v>
      </c>
      <c r="U43" s="6">
        <f t="shared" si="10"/>
        <v>11941.2</v>
      </c>
      <c r="V43" s="6">
        <f t="shared" si="10"/>
        <v>25221.6</v>
      </c>
      <c r="W43" s="6">
        <f t="shared" si="10"/>
        <v>0</v>
      </c>
      <c r="X43" s="6">
        <f t="shared" si="10"/>
        <v>0</v>
      </c>
      <c r="Y43" s="6">
        <f t="shared" si="10"/>
        <v>0</v>
      </c>
      <c r="Z43" s="6">
        <f t="shared" si="10"/>
        <v>15289.2</v>
      </c>
    </row>
    <row r="44">
      <c r="P44" s="6">
        <v>190.0</v>
      </c>
      <c r="Q44" s="6">
        <f t="shared" ref="Q44:Z44" si="11">B15*Q$35*$P44</f>
        <v>0</v>
      </c>
      <c r="R44" s="6">
        <f t="shared" si="11"/>
        <v>0</v>
      </c>
      <c r="S44" s="6">
        <f t="shared" si="11"/>
        <v>0</v>
      </c>
      <c r="T44" s="6">
        <f t="shared" si="11"/>
        <v>0</v>
      </c>
      <c r="U44" s="6">
        <f t="shared" si="11"/>
        <v>0</v>
      </c>
      <c r="V44" s="6">
        <f t="shared" si="11"/>
        <v>0</v>
      </c>
      <c r="W44" s="6">
        <f t="shared" si="11"/>
        <v>0</v>
      </c>
      <c r="X44" s="6">
        <f t="shared" si="11"/>
        <v>14250</v>
      </c>
      <c r="Y44" s="6">
        <f t="shared" si="11"/>
        <v>0</v>
      </c>
      <c r="Z44" s="6">
        <f t="shared" si="11"/>
        <v>0</v>
      </c>
    </row>
    <row r="45">
      <c r="P45" s="6">
        <v>194.0</v>
      </c>
      <c r="Q45" s="6">
        <f t="shared" ref="Q45:Z45" si="12">B16*Q$35*$P45</f>
        <v>0</v>
      </c>
      <c r="R45" s="6">
        <f t="shared" si="12"/>
        <v>0</v>
      </c>
      <c r="S45" s="6">
        <f t="shared" si="12"/>
        <v>0</v>
      </c>
      <c r="T45" s="6">
        <f t="shared" si="12"/>
        <v>11756.4</v>
      </c>
      <c r="U45" s="6">
        <f t="shared" si="12"/>
        <v>0</v>
      </c>
      <c r="V45" s="6">
        <f t="shared" si="12"/>
        <v>0</v>
      </c>
      <c r="W45" s="6">
        <f t="shared" si="12"/>
        <v>0</v>
      </c>
      <c r="X45" s="6">
        <f t="shared" si="12"/>
        <v>0</v>
      </c>
      <c r="Y45" s="6">
        <f t="shared" si="12"/>
        <v>0</v>
      </c>
      <c r="Z45" s="6">
        <f t="shared" si="12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84</v>
      </c>
      <c r="B1" s="6">
        <f>B9-B2*C9</f>
        <v>-23.77028194</v>
      </c>
      <c r="D1" s="1" t="s">
        <v>85</v>
      </c>
    </row>
    <row r="2">
      <c r="A2" s="13" t="s">
        <v>86</v>
      </c>
      <c r="B2" s="6">
        <f>'9'!B39*B10/C10</f>
        <v>0.5235462555</v>
      </c>
      <c r="D2" s="21" t="str">
        <f t="array" ref="D2">INDIRECT(ADDRESS(13+MAX(--($E$10&gt;=O14:O18)*--($E$10&lt;Q14:Q18)*100+data!O2:O6)-100,16))</f>
        <v>заметная</v>
      </c>
      <c r="M2" s="1" t="s">
        <v>87</v>
      </c>
    </row>
    <row r="8">
      <c r="B8" s="1" t="s">
        <v>88</v>
      </c>
      <c r="C8" s="1" t="s">
        <v>89</v>
      </c>
    </row>
    <row r="9">
      <c r="A9" s="1" t="s">
        <v>79</v>
      </c>
      <c r="B9" s="6">
        <f>'4'!L2</f>
        <v>65.442</v>
      </c>
      <c r="C9" s="6">
        <f>'4'!E2</f>
        <v>170.4</v>
      </c>
      <c r="E9" s="1" t="s">
        <v>80</v>
      </c>
    </row>
    <row r="10">
      <c r="A10" s="1" t="s">
        <v>90</v>
      </c>
      <c r="B10" s="6">
        <f>SQRT('4'!L4)</f>
        <v>6.019620918</v>
      </c>
      <c r="C10" s="6">
        <f>SQRT('4'!E4)</f>
        <v>6.026607669</v>
      </c>
      <c r="E10" s="6">
        <f>'9'!B39</f>
        <v>0.5241539163</v>
      </c>
    </row>
    <row r="13">
      <c r="O13" s="1" t="s">
        <v>91</v>
      </c>
      <c r="P13" s="1" t="s">
        <v>92</v>
      </c>
      <c r="Q13" s="1" t="s">
        <v>93</v>
      </c>
    </row>
    <row r="14">
      <c r="O14" s="1">
        <v>0.0</v>
      </c>
      <c r="P14" s="1" t="s">
        <v>94</v>
      </c>
      <c r="Q14" s="6">
        <f t="shared" ref="Q14:Q18" si="1">O15</f>
        <v>0.3</v>
      </c>
    </row>
    <row r="15">
      <c r="O15" s="1">
        <v>0.3</v>
      </c>
      <c r="P15" s="1" t="s">
        <v>95</v>
      </c>
      <c r="Q15" s="6">
        <f t="shared" si="1"/>
        <v>0.5</v>
      </c>
    </row>
    <row r="16">
      <c r="O16" s="1">
        <v>0.5</v>
      </c>
      <c r="P16" s="1" t="s">
        <v>96</v>
      </c>
      <c r="Q16" s="6">
        <f t="shared" si="1"/>
        <v>0.7</v>
      </c>
    </row>
    <row r="17">
      <c r="O17" s="1">
        <v>0.7</v>
      </c>
      <c r="P17" s="1" t="s">
        <v>97</v>
      </c>
      <c r="Q17" s="6">
        <f t="shared" si="1"/>
        <v>0.9</v>
      </c>
    </row>
    <row r="18">
      <c r="O18" s="1">
        <v>0.9</v>
      </c>
      <c r="P18" s="1" t="s">
        <v>98</v>
      </c>
      <c r="Q18" s="6">
        <f t="shared" si="1"/>
        <v>1</v>
      </c>
    </row>
    <row r="19">
      <c r="O19" s="1">
        <v>1.0</v>
      </c>
    </row>
    <row r="25">
      <c r="A25" s="22" t="s">
        <v>99</v>
      </c>
    </row>
    <row r="27">
      <c r="A27" s="6">
        <f t="array" ref="A27:A227">INDEX(data!P2:P202,0)</f>
        <v>168</v>
      </c>
      <c r="B27" s="6">
        <f t="shared" ref="B27:B226" si="2">A27*$B$2+$B$1</f>
        <v>64.18548899</v>
      </c>
      <c r="D27" s="6">
        <f t="array" ref="D27:D36">INDEX('9'!A7:A16,0)</f>
        <v>158</v>
      </c>
      <c r="E27" s="6">
        <f t="shared" ref="E27:E36" si="3">D27*$B$2+$B$1</f>
        <v>58.95002643</v>
      </c>
    </row>
    <row r="28">
      <c r="A28" s="6">
        <v>177.0</v>
      </c>
      <c r="B28" s="6">
        <f t="shared" si="2"/>
        <v>68.89740529</v>
      </c>
      <c r="D28" s="6">
        <v>162.0</v>
      </c>
      <c r="E28" s="6">
        <f t="shared" si="3"/>
        <v>61.04421145</v>
      </c>
    </row>
    <row r="29">
      <c r="A29" s="6">
        <v>175.0</v>
      </c>
      <c r="B29" s="6">
        <f t="shared" si="2"/>
        <v>67.85031278</v>
      </c>
      <c r="D29" s="6">
        <v>166.0</v>
      </c>
      <c r="E29" s="6">
        <f t="shared" si="3"/>
        <v>63.13839648</v>
      </c>
    </row>
    <row r="30">
      <c r="A30" s="6">
        <v>160.0</v>
      </c>
      <c r="B30" s="6">
        <f t="shared" si="2"/>
        <v>59.99711894</v>
      </c>
      <c r="D30" s="6">
        <v>170.0</v>
      </c>
      <c r="E30" s="6">
        <f t="shared" si="3"/>
        <v>65.2325815</v>
      </c>
    </row>
    <row r="31">
      <c r="A31" s="6">
        <v>172.0</v>
      </c>
      <c r="B31" s="6">
        <f t="shared" si="2"/>
        <v>66.27967401</v>
      </c>
      <c r="D31" s="6">
        <v>174.0</v>
      </c>
      <c r="E31" s="6">
        <f t="shared" si="3"/>
        <v>67.32676652</v>
      </c>
    </row>
    <row r="32">
      <c r="A32" s="6">
        <v>171.0</v>
      </c>
      <c r="B32" s="6">
        <f t="shared" si="2"/>
        <v>65.75612775</v>
      </c>
      <c r="D32" s="6">
        <v>178.0</v>
      </c>
      <c r="E32" s="6">
        <f t="shared" si="3"/>
        <v>69.42095154</v>
      </c>
    </row>
    <row r="33">
      <c r="A33" s="6">
        <v>159.0</v>
      </c>
      <c r="B33" s="6">
        <f t="shared" si="2"/>
        <v>59.47357269</v>
      </c>
      <c r="D33" s="6">
        <v>182.0</v>
      </c>
      <c r="E33" s="6">
        <f t="shared" si="3"/>
        <v>71.51513656</v>
      </c>
    </row>
    <row r="34">
      <c r="A34" s="6">
        <v>165.0</v>
      </c>
      <c r="B34" s="6">
        <f t="shared" si="2"/>
        <v>62.61485022</v>
      </c>
      <c r="D34" s="6">
        <v>186.0</v>
      </c>
      <c r="E34" s="6">
        <f t="shared" si="3"/>
        <v>73.60932159</v>
      </c>
    </row>
    <row r="35">
      <c r="A35" s="6">
        <v>173.0</v>
      </c>
      <c r="B35" s="6">
        <f t="shared" si="2"/>
        <v>66.80322026</v>
      </c>
      <c r="D35" s="6">
        <v>190.0</v>
      </c>
      <c r="E35" s="6">
        <f t="shared" si="3"/>
        <v>75.70350661</v>
      </c>
    </row>
    <row r="36">
      <c r="A36" s="6">
        <v>174.0</v>
      </c>
      <c r="B36" s="6">
        <f t="shared" si="2"/>
        <v>67.32676652</v>
      </c>
      <c r="D36" s="6">
        <v>194.0</v>
      </c>
      <c r="E36" s="6">
        <f t="shared" si="3"/>
        <v>77.79769163</v>
      </c>
    </row>
    <row r="37">
      <c r="A37" s="6">
        <v>161.0</v>
      </c>
      <c r="B37" s="6">
        <f t="shared" si="2"/>
        <v>60.5206652</v>
      </c>
    </row>
    <row r="38">
      <c r="A38" s="6">
        <v>165.0</v>
      </c>
      <c r="B38" s="6">
        <f t="shared" si="2"/>
        <v>62.61485022</v>
      </c>
    </row>
    <row r="39">
      <c r="A39" s="6">
        <v>175.0</v>
      </c>
      <c r="B39" s="6">
        <f t="shared" si="2"/>
        <v>67.85031278</v>
      </c>
    </row>
    <row r="40">
      <c r="A40" s="6">
        <v>176.0</v>
      </c>
      <c r="B40" s="6">
        <f t="shared" si="2"/>
        <v>68.37385903</v>
      </c>
    </row>
    <row r="41">
      <c r="A41" s="6">
        <v>170.0</v>
      </c>
      <c r="B41" s="6">
        <f t="shared" si="2"/>
        <v>65.2325815</v>
      </c>
    </row>
    <row r="42">
      <c r="A42" s="6">
        <v>184.0</v>
      </c>
      <c r="B42" s="6">
        <f t="shared" si="2"/>
        <v>72.56222907</v>
      </c>
    </row>
    <row r="43">
      <c r="A43" s="6">
        <v>171.0</v>
      </c>
      <c r="B43" s="6">
        <f t="shared" si="2"/>
        <v>65.75612775</v>
      </c>
    </row>
    <row r="44">
      <c r="A44" s="6">
        <v>172.0</v>
      </c>
      <c r="B44" s="6">
        <f t="shared" si="2"/>
        <v>66.27967401</v>
      </c>
    </row>
    <row r="45">
      <c r="A45" s="6">
        <v>176.0</v>
      </c>
      <c r="B45" s="6">
        <f t="shared" si="2"/>
        <v>68.37385903</v>
      </c>
    </row>
    <row r="46">
      <c r="A46" s="6">
        <v>159.0</v>
      </c>
      <c r="B46" s="6">
        <f t="shared" si="2"/>
        <v>59.47357269</v>
      </c>
    </row>
    <row r="47">
      <c r="A47" s="6">
        <v>178.0</v>
      </c>
      <c r="B47" s="6">
        <f t="shared" si="2"/>
        <v>69.42095154</v>
      </c>
    </row>
    <row r="48">
      <c r="A48" s="6">
        <v>164.0</v>
      </c>
      <c r="B48" s="6">
        <f t="shared" si="2"/>
        <v>62.09130396</v>
      </c>
    </row>
    <row r="49">
      <c r="A49" s="6">
        <v>173.0</v>
      </c>
      <c r="B49" s="6">
        <f t="shared" si="2"/>
        <v>66.80322026</v>
      </c>
    </row>
    <row r="50">
      <c r="A50" s="6">
        <v>175.0</v>
      </c>
      <c r="B50" s="6">
        <f t="shared" si="2"/>
        <v>67.85031278</v>
      </c>
    </row>
    <row r="51">
      <c r="A51" s="6">
        <v>159.0</v>
      </c>
      <c r="B51" s="6">
        <f t="shared" si="2"/>
        <v>59.47357269</v>
      </c>
    </row>
    <row r="52">
      <c r="A52" s="6">
        <v>169.0</v>
      </c>
      <c r="B52" s="6">
        <f t="shared" si="2"/>
        <v>64.70903524</v>
      </c>
    </row>
    <row r="53">
      <c r="A53" s="6">
        <v>173.0</v>
      </c>
      <c r="B53" s="6">
        <f t="shared" si="2"/>
        <v>66.80322026</v>
      </c>
    </row>
    <row r="54">
      <c r="A54" s="6">
        <v>173.0</v>
      </c>
      <c r="B54" s="6">
        <f t="shared" si="2"/>
        <v>66.80322026</v>
      </c>
    </row>
    <row r="55">
      <c r="A55" s="6">
        <v>161.0</v>
      </c>
      <c r="B55" s="6">
        <f t="shared" si="2"/>
        <v>60.5206652</v>
      </c>
    </row>
    <row r="56">
      <c r="A56" s="6">
        <v>168.0</v>
      </c>
      <c r="B56" s="6">
        <f t="shared" si="2"/>
        <v>64.18548899</v>
      </c>
    </row>
    <row r="57">
      <c r="A57" s="6">
        <v>168.0</v>
      </c>
      <c r="B57" s="6">
        <f t="shared" si="2"/>
        <v>64.18548899</v>
      </c>
    </row>
    <row r="58">
      <c r="A58" s="6">
        <v>164.0</v>
      </c>
      <c r="B58" s="6">
        <f t="shared" si="2"/>
        <v>62.09130396</v>
      </c>
    </row>
    <row r="59">
      <c r="A59" s="6">
        <v>168.0</v>
      </c>
      <c r="B59" s="6">
        <f t="shared" si="2"/>
        <v>64.18548899</v>
      </c>
    </row>
    <row r="60">
      <c r="A60" s="6">
        <v>181.0</v>
      </c>
      <c r="B60" s="6">
        <f t="shared" si="2"/>
        <v>70.99159031</v>
      </c>
    </row>
    <row r="61">
      <c r="A61" s="6">
        <v>170.0</v>
      </c>
      <c r="B61" s="6">
        <f t="shared" si="2"/>
        <v>65.2325815</v>
      </c>
    </row>
    <row r="62">
      <c r="A62" s="6">
        <v>184.0</v>
      </c>
      <c r="B62" s="6">
        <f t="shared" si="2"/>
        <v>72.56222907</v>
      </c>
    </row>
    <row r="63">
      <c r="A63" s="6">
        <v>169.0</v>
      </c>
      <c r="B63" s="6">
        <f t="shared" si="2"/>
        <v>64.70903524</v>
      </c>
    </row>
    <row r="64">
      <c r="A64" s="6">
        <v>170.0</v>
      </c>
      <c r="B64" s="6">
        <f t="shared" si="2"/>
        <v>65.2325815</v>
      </c>
    </row>
    <row r="65">
      <c r="A65" s="6">
        <v>176.0</v>
      </c>
      <c r="B65" s="6">
        <f t="shared" si="2"/>
        <v>68.37385903</v>
      </c>
    </row>
    <row r="66">
      <c r="A66" s="6">
        <v>169.0</v>
      </c>
      <c r="B66" s="6">
        <f t="shared" si="2"/>
        <v>64.70903524</v>
      </c>
    </row>
    <row r="67">
      <c r="A67" s="6">
        <v>170.0</v>
      </c>
      <c r="B67" s="6">
        <f t="shared" si="2"/>
        <v>65.2325815</v>
      </c>
    </row>
    <row r="68">
      <c r="A68" s="6">
        <v>171.0</v>
      </c>
      <c r="B68" s="6">
        <f t="shared" si="2"/>
        <v>65.75612775</v>
      </c>
    </row>
    <row r="69">
      <c r="A69" s="6">
        <v>168.0</v>
      </c>
      <c r="B69" s="6">
        <f t="shared" si="2"/>
        <v>64.18548899</v>
      </c>
    </row>
    <row r="70">
      <c r="A70" s="6">
        <v>161.0</v>
      </c>
      <c r="B70" s="6">
        <f t="shared" si="2"/>
        <v>60.5206652</v>
      </c>
    </row>
    <row r="71">
      <c r="A71" s="6">
        <v>165.0</v>
      </c>
      <c r="B71" s="6">
        <f t="shared" si="2"/>
        <v>62.61485022</v>
      </c>
    </row>
    <row r="72">
      <c r="A72" s="6">
        <v>168.0</v>
      </c>
      <c r="B72" s="6">
        <f t="shared" si="2"/>
        <v>64.18548899</v>
      </c>
    </row>
    <row r="73">
      <c r="A73" s="6">
        <v>175.0</v>
      </c>
      <c r="B73" s="6">
        <f t="shared" si="2"/>
        <v>67.85031278</v>
      </c>
    </row>
    <row r="74">
      <c r="A74" s="6">
        <v>174.0</v>
      </c>
      <c r="B74" s="6">
        <f t="shared" si="2"/>
        <v>67.32676652</v>
      </c>
    </row>
    <row r="75">
      <c r="A75" s="6">
        <v>188.0</v>
      </c>
      <c r="B75" s="6">
        <f t="shared" si="2"/>
        <v>74.6564141</v>
      </c>
    </row>
    <row r="76">
      <c r="A76" s="6">
        <v>166.0</v>
      </c>
      <c r="B76" s="6">
        <f t="shared" si="2"/>
        <v>63.13839648</v>
      </c>
    </row>
    <row r="77">
      <c r="A77" s="6">
        <v>178.0</v>
      </c>
      <c r="B77" s="6">
        <f t="shared" si="2"/>
        <v>69.42095154</v>
      </c>
    </row>
    <row r="78">
      <c r="A78" s="6">
        <v>163.0</v>
      </c>
      <c r="B78" s="6">
        <f t="shared" si="2"/>
        <v>61.56775771</v>
      </c>
    </row>
    <row r="79">
      <c r="A79" s="6">
        <v>170.0</v>
      </c>
      <c r="B79" s="6">
        <f t="shared" si="2"/>
        <v>65.2325815</v>
      </c>
    </row>
    <row r="80">
      <c r="A80" s="6">
        <v>164.0</v>
      </c>
      <c r="B80" s="6">
        <f t="shared" si="2"/>
        <v>62.09130396</v>
      </c>
    </row>
    <row r="81">
      <c r="A81" s="6">
        <v>164.0</v>
      </c>
      <c r="B81" s="6">
        <f t="shared" si="2"/>
        <v>62.09130396</v>
      </c>
    </row>
    <row r="82">
      <c r="A82" s="6">
        <v>168.0</v>
      </c>
      <c r="B82" s="6">
        <f t="shared" si="2"/>
        <v>64.18548899</v>
      </c>
    </row>
    <row r="83">
      <c r="A83" s="6">
        <v>167.0</v>
      </c>
      <c r="B83" s="6">
        <f t="shared" si="2"/>
        <v>63.66194273</v>
      </c>
    </row>
    <row r="84">
      <c r="A84" s="6">
        <v>166.0</v>
      </c>
      <c r="B84" s="6">
        <f t="shared" si="2"/>
        <v>63.13839648</v>
      </c>
    </row>
    <row r="85">
      <c r="A85" s="6">
        <v>162.0</v>
      </c>
      <c r="B85" s="6">
        <f t="shared" si="2"/>
        <v>61.04421145</v>
      </c>
    </row>
    <row r="86">
      <c r="A86" s="6">
        <v>171.0</v>
      </c>
      <c r="B86" s="6">
        <f t="shared" si="2"/>
        <v>65.75612775</v>
      </c>
    </row>
    <row r="87">
      <c r="A87" s="6">
        <v>168.0</v>
      </c>
      <c r="B87" s="6">
        <f t="shared" si="2"/>
        <v>64.18548899</v>
      </c>
    </row>
    <row r="88">
      <c r="A88" s="6">
        <v>173.0</v>
      </c>
      <c r="B88" s="6">
        <f t="shared" si="2"/>
        <v>66.80322026</v>
      </c>
    </row>
    <row r="89">
      <c r="A89" s="6">
        <v>167.0</v>
      </c>
      <c r="B89" s="6">
        <f t="shared" si="2"/>
        <v>63.66194273</v>
      </c>
    </row>
    <row r="90">
      <c r="A90" s="6">
        <v>170.0</v>
      </c>
      <c r="B90" s="6">
        <f t="shared" si="2"/>
        <v>65.2325815</v>
      </c>
    </row>
    <row r="91">
      <c r="A91" s="6">
        <v>171.0</v>
      </c>
      <c r="B91" s="6">
        <f t="shared" si="2"/>
        <v>65.75612775</v>
      </c>
    </row>
    <row r="92">
      <c r="A92" s="6">
        <v>173.0</v>
      </c>
      <c r="B92" s="6">
        <f t="shared" si="2"/>
        <v>66.80322026</v>
      </c>
    </row>
    <row r="93">
      <c r="A93" s="6">
        <v>187.0</v>
      </c>
      <c r="B93" s="6">
        <f t="shared" si="2"/>
        <v>74.13286784</v>
      </c>
    </row>
    <row r="94">
      <c r="A94" s="6">
        <v>166.0</v>
      </c>
      <c r="B94" s="6">
        <f t="shared" si="2"/>
        <v>63.13839648</v>
      </c>
    </row>
    <row r="95">
      <c r="A95" s="6">
        <v>170.0</v>
      </c>
      <c r="B95" s="6">
        <f t="shared" si="2"/>
        <v>65.2325815</v>
      </c>
    </row>
    <row r="96">
      <c r="A96" s="6">
        <v>178.0</v>
      </c>
      <c r="B96" s="6">
        <f t="shared" si="2"/>
        <v>69.42095154</v>
      </c>
    </row>
    <row r="97">
      <c r="A97" s="6">
        <v>173.0</v>
      </c>
      <c r="B97" s="6">
        <f t="shared" si="2"/>
        <v>66.80322026</v>
      </c>
    </row>
    <row r="98">
      <c r="A98" s="6">
        <v>179.0</v>
      </c>
      <c r="B98" s="6">
        <f t="shared" si="2"/>
        <v>69.9444978</v>
      </c>
    </row>
    <row r="99">
      <c r="A99" s="6">
        <v>171.0</v>
      </c>
      <c r="B99" s="6">
        <f t="shared" si="2"/>
        <v>65.75612775</v>
      </c>
    </row>
    <row r="100">
      <c r="A100" s="6">
        <v>174.0</v>
      </c>
      <c r="B100" s="6">
        <f t="shared" si="2"/>
        <v>67.32676652</v>
      </c>
    </row>
    <row r="101">
      <c r="A101" s="6">
        <v>164.0</v>
      </c>
      <c r="B101" s="6">
        <f t="shared" si="2"/>
        <v>62.09130396</v>
      </c>
    </row>
    <row r="102">
      <c r="A102" s="6">
        <v>173.0</v>
      </c>
      <c r="B102" s="6">
        <f t="shared" si="2"/>
        <v>66.80322026</v>
      </c>
    </row>
    <row r="103">
      <c r="A103" s="6">
        <v>168.0</v>
      </c>
      <c r="B103" s="6">
        <f t="shared" si="2"/>
        <v>64.18548899</v>
      </c>
    </row>
    <row r="104">
      <c r="A104" s="6">
        <v>166.0</v>
      </c>
      <c r="B104" s="6">
        <f t="shared" si="2"/>
        <v>63.13839648</v>
      </c>
    </row>
    <row r="105">
      <c r="A105" s="6">
        <v>177.0</v>
      </c>
      <c r="B105" s="6">
        <f t="shared" si="2"/>
        <v>68.89740529</v>
      </c>
    </row>
    <row r="106">
      <c r="A106" s="6">
        <v>170.0</v>
      </c>
      <c r="B106" s="6">
        <f t="shared" si="2"/>
        <v>65.2325815</v>
      </c>
    </row>
    <row r="107">
      <c r="A107" s="6">
        <v>167.0</v>
      </c>
      <c r="B107" s="6">
        <f t="shared" si="2"/>
        <v>63.66194273</v>
      </c>
    </row>
    <row r="108">
      <c r="A108" s="6">
        <v>174.0</v>
      </c>
      <c r="B108" s="6">
        <f t="shared" si="2"/>
        <v>67.32676652</v>
      </c>
    </row>
    <row r="109">
      <c r="A109" s="6">
        <v>164.0</v>
      </c>
      <c r="B109" s="6">
        <f t="shared" si="2"/>
        <v>62.09130396</v>
      </c>
    </row>
    <row r="110">
      <c r="A110" s="6">
        <v>164.0</v>
      </c>
      <c r="B110" s="6">
        <f t="shared" si="2"/>
        <v>62.09130396</v>
      </c>
    </row>
    <row r="111">
      <c r="A111" s="6">
        <v>178.0</v>
      </c>
      <c r="B111" s="6">
        <f t="shared" si="2"/>
        <v>69.42095154</v>
      </c>
    </row>
    <row r="112">
      <c r="A112" s="6">
        <v>173.0</v>
      </c>
      <c r="B112" s="6">
        <f t="shared" si="2"/>
        <v>66.80322026</v>
      </c>
    </row>
    <row r="113">
      <c r="A113" s="6">
        <v>179.0</v>
      </c>
      <c r="B113" s="6">
        <f t="shared" si="2"/>
        <v>69.9444978</v>
      </c>
    </row>
    <row r="114">
      <c r="A114" s="6">
        <v>165.0</v>
      </c>
      <c r="B114" s="6">
        <f t="shared" si="2"/>
        <v>62.61485022</v>
      </c>
    </row>
    <row r="115">
      <c r="A115" s="6">
        <v>171.0</v>
      </c>
      <c r="B115" s="6">
        <f t="shared" si="2"/>
        <v>65.75612775</v>
      </c>
    </row>
    <row r="116">
      <c r="A116" s="6">
        <v>171.0</v>
      </c>
      <c r="B116" s="6">
        <f t="shared" si="2"/>
        <v>65.75612775</v>
      </c>
    </row>
    <row r="117">
      <c r="A117" s="6">
        <v>170.0</v>
      </c>
      <c r="B117" s="6">
        <f t="shared" si="2"/>
        <v>65.2325815</v>
      </c>
    </row>
    <row r="118">
      <c r="A118" s="6">
        <v>170.0</v>
      </c>
      <c r="B118" s="6">
        <f t="shared" si="2"/>
        <v>65.2325815</v>
      </c>
    </row>
    <row r="119">
      <c r="A119" s="6">
        <v>165.0</v>
      </c>
      <c r="B119" s="6">
        <f t="shared" si="2"/>
        <v>62.61485022</v>
      </c>
    </row>
    <row r="120">
      <c r="A120" s="6">
        <v>156.0</v>
      </c>
      <c r="B120" s="6">
        <f t="shared" si="2"/>
        <v>57.90293392</v>
      </c>
    </row>
    <row r="121">
      <c r="A121" s="6">
        <v>164.0</v>
      </c>
      <c r="B121" s="6">
        <f t="shared" si="2"/>
        <v>62.09130396</v>
      </c>
    </row>
    <row r="122">
      <c r="A122" s="6">
        <v>158.0</v>
      </c>
      <c r="B122" s="6">
        <f t="shared" si="2"/>
        <v>58.95002643</v>
      </c>
    </row>
    <row r="123">
      <c r="A123" s="6">
        <v>165.0</v>
      </c>
      <c r="B123" s="6">
        <f t="shared" si="2"/>
        <v>62.61485022</v>
      </c>
    </row>
    <row r="124">
      <c r="A124" s="6">
        <v>172.0</v>
      </c>
      <c r="B124" s="6">
        <f t="shared" si="2"/>
        <v>66.27967401</v>
      </c>
    </row>
    <row r="125">
      <c r="A125" s="6">
        <v>178.0</v>
      </c>
      <c r="B125" s="6">
        <f t="shared" si="2"/>
        <v>69.42095154</v>
      </c>
    </row>
    <row r="126">
      <c r="A126" s="6">
        <v>159.0</v>
      </c>
      <c r="B126" s="6">
        <f t="shared" si="2"/>
        <v>59.47357269</v>
      </c>
    </row>
    <row r="127">
      <c r="A127" s="6">
        <v>162.0</v>
      </c>
      <c r="B127" s="6">
        <f t="shared" si="2"/>
        <v>61.04421145</v>
      </c>
    </row>
    <row r="128">
      <c r="A128" s="6">
        <v>166.0</v>
      </c>
      <c r="B128" s="6">
        <f t="shared" si="2"/>
        <v>63.13839648</v>
      </c>
    </row>
    <row r="129">
      <c r="A129" s="6">
        <v>172.0</v>
      </c>
      <c r="B129" s="6">
        <f t="shared" si="2"/>
        <v>66.27967401</v>
      </c>
    </row>
    <row r="130">
      <c r="A130" s="6">
        <v>169.0</v>
      </c>
      <c r="B130" s="6">
        <f t="shared" si="2"/>
        <v>64.70903524</v>
      </c>
    </row>
    <row r="131">
      <c r="A131" s="6">
        <v>176.0</v>
      </c>
      <c r="B131" s="6">
        <f t="shared" si="2"/>
        <v>68.37385903</v>
      </c>
    </row>
    <row r="132">
      <c r="A132" s="6">
        <v>167.0</v>
      </c>
      <c r="B132" s="6">
        <f t="shared" si="2"/>
        <v>63.66194273</v>
      </c>
    </row>
    <row r="133">
      <c r="A133" s="6">
        <v>167.0</v>
      </c>
      <c r="B133" s="6">
        <f t="shared" si="2"/>
        <v>63.66194273</v>
      </c>
    </row>
    <row r="134">
      <c r="A134" s="6">
        <v>168.0</v>
      </c>
      <c r="B134" s="6">
        <f t="shared" si="2"/>
        <v>64.18548899</v>
      </c>
    </row>
    <row r="135">
      <c r="A135" s="6">
        <v>167.0</v>
      </c>
      <c r="B135" s="6">
        <f t="shared" si="2"/>
        <v>63.66194273</v>
      </c>
    </row>
    <row r="136">
      <c r="A136" s="6">
        <v>169.0</v>
      </c>
      <c r="B136" s="6">
        <f t="shared" si="2"/>
        <v>64.70903524</v>
      </c>
    </row>
    <row r="137">
      <c r="A137" s="6">
        <v>167.0</v>
      </c>
      <c r="B137" s="6">
        <f t="shared" si="2"/>
        <v>63.66194273</v>
      </c>
    </row>
    <row r="138">
      <c r="A138" s="6">
        <v>196.0</v>
      </c>
      <c r="B138" s="6">
        <f t="shared" si="2"/>
        <v>78.84478414</v>
      </c>
    </row>
    <row r="139">
      <c r="A139" s="6">
        <v>169.0</v>
      </c>
      <c r="B139" s="6">
        <f t="shared" si="2"/>
        <v>64.70903524</v>
      </c>
    </row>
    <row r="140">
      <c r="A140" s="6">
        <v>163.0</v>
      </c>
      <c r="B140" s="6">
        <f t="shared" si="2"/>
        <v>61.56775771</v>
      </c>
    </row>
    <row r="141">
      <c r="A141" s="6">
        <v>164.0</v>
      </c>
      <c r="B141" s="6">
        <f t="shared" si="2"/>
        <v>62.09130396</v>
      </c>
    </row>
    <row r="142">
      <c r="A142" s="6">
        <v>164.0</v>
      </c>
      <c r="B142" s="6">
        <f t="shared" si="2"/>
        <v>62.09130396</v>
      </c>
    </row>
    <row r="143">
      <c r="A143" s="6">
        <v>164.0</v>
      </c>
      <c r="B143" s="6">
        <f t="shared" si="2"/>
        <v>62.09130396</v>
      </c>
    </row>
    <row r="144">
      <c r="A144" s="6">
        <v>178.0</v>
      </c>
      <c r="B144" s="6">
        <f t="shared" si="2"/>
        <v>69.42095154</v>
      </c>
    </row>
    <row r="145">
      <c r="A145" s="6">
        <v>176.0</v>
      </c>
      <c r="B145" s="6">
        <f t="shared" si="2"/>
        <v>68.37385903</v>
      </c>
    </row>
    <row r="146">
      <c r="A146" s="6">
        <v>167.0</v>
      </c>
      <c r="B146" s="6">
        <f t="shared" si="2"/>
        <v>63.66194273</v>
      </c>
    </row>
    <row r="147">
      <c r="A147" s="6">
        <v>165.0</v>
      </c>
      <c r="B147" s="6">
        <f t="shared" si="2"/>
        <v>62.61485022</v>
      </c>
    </row>
    <row r="148">
      <c r="A148" s="6">
        <v>172.0</v>
      </c>
      <c r="B148" s="6">
        <f t="shared" si="2"/>
        <v>66.27967401</v>
      </c>
    </row>
    <row r="149">
      <c r="A149" s="6">
        <v>168.0</v>
      </c>
      <c r="B149" s="6">
        <f t="shared" si="2"/>
        <v>64.18548899</v>
      </c>
    </row>
    <row r="150">
      <c r="A150" s="6">
        <v>170.0</v>
      </c>
      <c r="B150" s="6">
        <f t="shared" si="2"/>
        <v>65.2325815</v>
      </c>
    </row>
    <row r="151">
      <c r="A151" s="6">
        <v>187.0</v>
      </c>
      <c r="B151" s="6">
        <f t="shared" si="2"/>
        <v>74.13286784</v>
      </c>
    </row>
    <row r="152">
      <c r="A152" s="6">
        <v>165.0</v>
      </c>
      <c r="B152" s="6">
        <f t="shared" si="2"/>
        <v>62.61485022</v>
      </c>
    </row>
    <row r="153">
      <c r="A153" s="6">
        <v>171.0</v>
      </c>
      <c r="B153" s="6">
        <f t="shared" si="2"/>
        <v>65.75612775</v>
      </c>
    </row>
    <row r="154">
      <c r="A154" s="6">
        <v>171.0</v>
      </c>
      <c r="B154" s="6">
        <f t="shared" si="2"/>
        <v>65.75612775</v>
      </c>
    </row>
    <row r="155">
      <c r="A155" s="6">
        <v>169.0</v>
      </c>
      <c r="B155" s="6">
        <f t="shared" si="2"/>
        <v>64.70903524</v>
      </c>
    </row>
    <row r="156">
      <c r="A156" s="6">
        <v>163.0</v>
      </c>
      <c r="B156" s="6">
        <f t="shared" si="2"/>
        <v>61.56775771</v>
      </c>
    </row>
    <row r="157">
      <c r="A157" s="6">
        <v>161.0</v>
      </c>
      <c r="B157" s="6">
        <f t="shared" si="2"/>
        <v>60.5206652</v>
      </c>
    </row>
    <row r="158">
      <c r="A158" s="6">
        <v>175.0</v>
      </c>
      <c r="B158" s="6">
        <f t="shared" si="2"/>
        <v>67.85031278</v>
      </c>
    </row>
    <row r="159">
      <c r="A159" s="6">
        <v>172.0</v>
      </c>
      <c r="B159" s="6">
        <f t="shared" si="2"/>
        <v>66.27967401</v>
      </c>
    </row>
    <row r="160">
      <c r="A160" s="6">
        <v>176.0</v>
      </c>
      <c r="B160" s="6">
        <f t="shared" si="2"/>
        <v>68.37385903</v>
      </c>
    </row>
    <row r="161">
      <c r="A161" s="6">
        <v>180.0</v>
      </c>
      <c r="B161" s="6">
        <f t="shared" si="2"/>
        <v>70.46804405</v>
      </c>
    </row>
    <row r="162">
      <c r="A162" s="6">
        <v>172.0</v>
      </c>
      <c r="B162" s="6">
        <f t="shared" si="2"/>
        <v>66.27967401</v>
      </c>
    </row>
    <row r="163">
      <c r="A163" s="6">
        <v>174.0</v>
      </c>
      <c r="B163" s="6">
        <f t="shared" si="2"/>
        <v>67.32676652</v>
      </c>
    </row>
    <row r="164">
      <c r="A164" s="6">
        <v>164.0</v>
      </c>
      <c r="B164" s="6">
        <f t="shared" si="2"/>
        <v>62.09130396</v>
      </c>
    </row>
    <row r="165">
      <c r="A165" s="6">
        <v>169.0</v>
      </c>
      <c r="B165" s="6">
        <f t="shared" si="2"/>
        <v>64.70903524</v>
      </c>
    </row>
    <row r="166">
      <c r="A166" s="6">
        <v>157.0</v>
      </c>
      <c r="B166" s="6">
        <f t="shared" si="2"/>
        <v>58.42648018</v>
      </c>
    </row>
    <row r="167">
      <c r="A167" s="6">
        <v>178.0</v>
      </c>
      <c r="B167" s="6">
        <f t="shared" si="2"/>
        <v>69.42095154</v>
      </c>
    </row>
    <row r="168">
      <c r="A168" s="6">
        <v>176.0</v>
      </c>
      <c r="B168" s="6">
        <f t="shared" si="2"/>
        <v>68.37385903</v>
      </c>
    </row>
    <row r="169">
      <c r="A169" s="6">
        <v>161.0</v>
      </c>
      <c r="B169" s="6">
        <f t="shared" si="2"/>
        <v>60.5206652</v>
      </c>
    </row>
    <row r="170">
      <c r="A170" s="6">
        <v>176.0</v>
      </c>
      <c r="B170" s="6">
        <f t="shared" si="2"/>
        <v>68.37385903</v>
      </c>
    </row>
    <row r="171">
      <c r="A171" s="6">
        <v>165.0</v>
      </c>
      <c r="B171" s="6">
        <f t="shared" si="2"/>
        <v>62.61485022</v>
      </c>
    </row>
    <row r="172">
      <c r="A172" s="6">
        <v>161.0</v>
      </c>
      <c r="B172" s="6">
        <f t="shared" si="2"/>
        <v>60.5206652</v>
      </c>
    </row>
    <row r="173">
      <c r="A173" s="6">
        <v>182.0</v>
      </c>
      <c r="B173" s="6">
        <f t="shared" si="2"/>
        <v>71.51513656</v>
      </c>
    </row>
    <row r="174">
      <c r="A174" s="6">
        <v>176.0</v>
      </c>
      <c r="B174" s="6">
        <f t="shared" si="2"/>
        <v>68.37385903</v>
      </c>
    </row>
    <row r="175">
      <c r="A175" s="6">
        <v>168.0</v>
      </c>
      <c r="B175" s="6">
        <f t="shared" si="2"/>
        <v>64.18548899</v>
      </c>
    </row>
    <row r="176">
      <c r="A176" s="6">
        <v>164.0</v>
      </c>
      <c r="B176" s="6">
        <f t="shared" si="2"/>
        <v>62.09130396</v>
      </c>
    </row>
    <row r="177">
      <c r="A177" s="6">
        <v>165.0</v>
      </c>
      <c r="B177" s="6">
        <f t="shared" si="2"/>
        <v>62.61485022</v>
      </c>
    </row>
    <row r="178">
      <c r="A178" s="6">
        <v>163.0</v>
      </c>
      <c r="B178" s="6">
        <f t="shared" si="2"/>
        <v>61.56775771</v>
      </c>
    </row>
    <row r="179">
      <c r="A179" s="6">
        <v>171.0</v>
      </c>
      <c r="B179" s="6">
        <f t="shared" si="2"/>
        <v>65.75612775</v>
      </c>
    </row>
    <row r="180">
      <c r="A180" s="6">
        <v>172.0</v>
      </c>
      <c r="B180" s="6">
        <f t="shared" si="2"/>
        <v>66.27967401</v>
      </c>
    </row>
    <row r="181">
      <c r="A181" s="6">
        <v>175.0</v>
      </c>
      <c r="B181" s="6">
        <f t="shared" si="2"/>
        <v>67.85031278</v>
      </c>
    </row>
    <row r="182">
      <c r="A182" s="6">
        <v>172.0</v>
      </c>
      <c r="B182" s="6">
        <f t="shared" si="2"/>
        <v>66.27967401</v>
      </c>
    </row>
    <row r="183">
      <c r="A183" s="6">
        <v>162.0</v>
      </c>
      <c r="B183" s="6">
        <f t="shared" si="2"/>
        <v>61.04421145</v>
      </c>
    </row>
    <row r="184">
      <c r="A184" s="6">
        <v>163.0</v>
      </c>
      <c r="B184" s="6">
        <f t="shared" si="2"/>
        <v>61.56775771</v>
      </c>
    </row>
    <row r="185">
      <c r="A185" s="6">
        <v>173.0</v>
      </c>
      <c r="B185" s="6">
        <f t="shared" si="2"/>
        <v>66.80322026</v>
      </c>
    </row>
    <row r="186">
      <c r="A186" s="6">
        <v>174.0</v>
      </c>
      <c r="B186" s="6">
        <f t="shared" si="2"/>
        <v>67.32676652</v>
      </c>
    </row>
    <row r="187">
      <c r="A187" s="6">
        <v>164.0</v>
      </c>
      <c r="B187" s="6">
        <f t="shared" si="2"/>
        <v>62.09130396</v>
      </c>
    </row>
    <row r="188">
      <c r="A188" s="6">
        <v>176.0</v>
      </c>
      <c r="B188" s="6">
        <f t="shared" si="2"/>
        <v>68.37385903</v>
      </c>
    </row>
    <row r="189">
      <c r="A189" s="6">
        <v>171.0</v>
      </c>
      <c r="B189" s="6">
        <f t="shared" si="2"/>
        <v>65.75612775</v>
      </c>
    </row>
    <row r="190">
      <c r="A190" s="6">
        <v>173.0</v>
      </c>
      <c r="B190" s="6">
        <f t="shared" si="2"/>
        <v>66.80322026</v>
      </c>
    </row>
    <row r="191">
      <c r="A191" s="6">
        <v>169.0</v>
      </c>
      <c r="B191" s="6">
        <f t="shared" si="2"/>
        <v>64.70903524</v>
      </c>
    </row>
    <row r="192">
      <c r="A192" s="6">
        <v>166.0</v>
      </c>
      <c r="B192" s="6">
        <f t="shared" si="2"/>
        <v>63.13839648</v>
      </c>
    </row>
    <row r="193">
      <c r="A193" s="6">
        <v>173.0</v>
      </c>
      <c r="B193" s="6">
        <f t="shared" si="2"/>
        <v>66.80322026</v>
      </c>
    </row>
    <row r="194">
      <c r="A194" s="6">
        <v>172.0</v>
      </c>
      <c r="B194" s="6">
        <f t="shared" si="2"/>
        <v>66.27967401</v>
      </c>
    </row>
    <row r="195">
      <c r="A195" s="6">
        <v>173.0</v>
      </c>
      <c r="B195" s="6">
        <f t="shared" si="2"/>
        <v>66.80322026</v>
      </c>
    </row>
    <row r="196">
      <c r="A196" s="6">
        <v>161.0</v>
      </c>
      <c r="B196" s="6">
        <f t="shared" si="2"/>
        <v>60.5206652</v>
      </c>
    </row>
    <row r="197">
      <c r="A197" s="6">
        <v>169.0</v>
      </c>
      <c r="B197" s="6">
        <f t="shared" si="2"/>
        <v>64.70903524</v>
      </c>
    </row>
    <row r="198">
      <c r="A198" s="6">
        <v>172.0</v>
      </c>
      <c r="B198" s="6">
        <f t="shared" si="2"/>
        <v>66.27967401</v>
      </c>
    </row>
    <row r="199">
      <c r="A199" s="6">
        <v>168.0</v>
      </c>
      <c r="B199" s="6">
        <f t="shared" si="2"/>
        <v>64.18548899</v>
      </c>
    </row>
    <row r="200">
      <c r="A200" s="6">
        <v>171.0</v>
      </c>
      <c r="B200" s="6">
        <f t="shared" si="2"/>
        <v>65.75612775</v>
      </c>
    </row>
    <row r="201">
      <c r="A201" s="6">
        <v>173.0</v>
      </c>
      <c r="B201" s="6">
        <f t="shared" si="2"/>
        <v>66.80322026</v>
      </c>
    </row>
    <row r="202">
      <c r="A202" s="6">
        <v>170.0</v>
      </c>
      <c r="B202" s="6">
        <f t="shared" si="2"/>
        <v>65.2325815</v>
      </c>
    </row>
    <row r="203">
      <c r="A203" s="6">
        <v>163.0</v>
      </c>
      <c r="B203" s="6">
        <f t="shared" si="2"/>
        <v>61.56775771</v>
      </c>
    </row>
    <row r="204">
      <c r="A204" s="6">
        <v>167.0</v>
      </c>
      <c r="B204" s="6">
        <f t="shared" si="2"/>
        <v>63.66194273</v>
      </c>
    </row>
    <row r="205">
      <c r="A205" s="6">
        <v>171.0</v>
      </c>
      <c r="B205" s="6">
        <f t="shared" si="2"/>
        <v>65.75612775</v>
      </c>
    </row>
    <row r="206">
      <c r="A206" s="6">
        <v>169.0</v>
      </c>
      <c r="B206" s="6">
        <f t="shared" si="2"/>
        <v>64.70903524</v>
      </c>
    </row>
    <row r="207">
      <c r="A207" s="6">
        <v>170.0</v>
      </c>
      <c r="B207" s="6">
        <f t="shared" si="2"/>
        <v>65.2325815</v>
      </c>
    </row>
    <row r="208">
      <c r="A208" s="6">
        <v>166.0</v>
      </c>
      <c r="B208" s="6">
        <f t="shared" si="2"/>
        <v>63.13839648</v>
      </c>
    </row>
    <row r="209">
      <c r="A209" s="6">
        <v>172.0</v>
      </c>
      <c r="B209" s="6">
        <f t="shared" si="2"/>
        <v>66.27967401</v>
      </c>
    </row>
    <row r="210">
      <c r="A210" s="6">
        <v>171.0</v>
      </c>
      <c r="B210" s="6">
        <f t="shared" si="2"/>
        <v>65.75612775</v>
      </c>
    </row>
    <row r="211">
      <c r="A211" s="6">
        <v>166.0</v>
      </c>
      <c r="B211" s="6">
        <f t="shared" si="2"/>
        <v>63.13839648</v>
      </c>
    </row>
    <row r="212">
      <c r="A212" s="6">
        <v>177.0</v>
      </c>
      <c r="B212" s="6">
        <f t="shared" si="2"/>
        <v>68.89740529</v>
      </c>
    </row>
    <row r="213">
      <c r="A213" s="6">
        <v>171.0</v>
      </c>
      <c r="B213" s="6">
        <f t="shared" si="2"/>
        <v>65.75612775</v>
      </c>
    </row>
    <row r="214">
      <c r="A214" s="6">
        <v>164.0</v>
      </c>
      <c r="B214" s="6">
        <f t="shared" si="2"/>
        <v>62.09130396</v>
      </c>
    </row>
    <row r="215">
      <c r="A215" s="6">
        <v>169.0</v>
      </c>
      <c r="B215" s="6">
        <f t="shared" si="2"/>
        <v>64.70903524</v>
      </c>
    </row>
    <row r="216">
      <c r="A216" s="6">
        <v>167.0</v>
      </c>
      <c r="B216" s="6">
        <f t="shared" si="2"/>
        <v>63.66194273</v>
      </c>
    </row>
    <row r="217">
      <c r="A217" s="6">
        <v>168.0</v>
      </c>
      <c r="B217" s="6">
        <f t="shared" si="2"/>
        <v>64.18548899</v>
      </c>
    </row>
    <row r="218">
      <c r="A218" s="6">
        <v>169.0</v>
      </c>
      <c r="B218" s="6">
        <f t="shared" si="2"/>
        <v>64.70903524</v>
      </c>
    </row>
    <row r="219">
      <c r="A219" s="6">
        <v>165.0</v>
      </c>
      <c r="B219" s="6">
        <f t="shared" si="2"/>
        <v>62.61485022</v>
      </c>
    </row>
    <row r="220">
      <c r="A220" s="6">
        <v>174.0</v>
      </c>
      <c r="B220" s="6">
        <f t="shared" si="2"/>
        <v>67.32676652</v>
      </c>
    </row>
    <row r="221">
      <c r="A221" s="6">
        <v>171.0</v>
      </c>
      <c r="B221" s="6">
        <f t="shared" si="2"/>
        <v>65.75612775</v>
      </c>
    </row>
    <row r="222">
      <c r="A222" s="6">
        <v>168.0</v>
      </c>
      <c r="B222" s="6">
        <f t="shared" si="2"/>
        <v>64.18548899</v>
      </c>
    </row>
    <row r="223">
      <c r="A223" s="6">
        <v>171.0</v>
      </c>
      <c r="B223" s="6">
        <f t="shared" si="2"/>
        <v>65.75612775</v>
      </c>
    </row>
    <row r="224">
      <c r="A224" s="6">
        <v>171.0</v>
      </c>
      <c r="B224" s="6">
        <f t="shared" si="2"/>
        <v>65.75612775</v>
      </c>
    </row>
    <row r="225">
      <c r="A225" s="6">
        <v>172.0</v>
      </c>
      <c r="B225" s="6">
        <f t="shared" si="2"/>
        <v>66.27967401</v>
      </c>
    </row>
    <row r="226">
      <c r="A226" s="6">
        <v>167.0</v>
      </c>
      <c r="B226" s="6">
        <f t="shared" si="2"/>
        <v>63.66194273</v>
      </c>
    </row>
    <row r="227">
      <c r="A227" s="6"/>
    </row>
  </sheetData>
  <mergeCells count="1">
    <mergeCell ref="A25:E2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25.25"/>
    <col customWidth="1" min="3" max="3" width="21.88"/>
  </cols>
  <sheetData>
    <row r="1">
      <c r="A1" s="13" t="s">
        <v>36</v>
      </c>
      <c r="B1" s="1" t="s">
        <v>86</v>
      </c>
      <c r="C1" s="1" t="s">
        <v>84</v>
      </c>
      <c r="G1" s="1" t="s">
        <v>100</v>
      </c>
      <c r="M1" s="23" t="s">
        <v>101</v>
      </c>
      <c r="P1" s="1" t="s">
        <v>102</v>
      </c>
      <c r="Q1" s="1" t="s">
        <v>103</v>
      </c>
    </row>
    <row r="2">
      <c r="A2" s="16"/>
      <c r="B2" s="8">
        <f t="array" ref="B2:C2">LINEST(data!Q2:Q201, data!P2:P201)</f>
        <v>0.5334686108</v>
      </c>
      <c r="C2" s="8">
        <v>-25.43863948464315</v>
      </c>
      <c r="M2" s="23">
        <f>(1-CORREL(data!P2:P201, data!Q2:Q201)^2)/SQRT(200-2)</f>
        <v>0.05038804124</v>
      </c>
      <c r="P2" s="6">
        <f>AVERAGE(data!Q2:Q201)</f>
        <v>65.155</v>
      </c>
      <c r="Q2" s="6">
        <f>AVERAGE(data!P2:P201)</f>
        <v>169.82</v>
      </c>
    </row>
    <row r="3">
      <c r="A3" s="16"/>
      <c r="B3" s="12" t="s">
        <v>104</v>
      </c>
      <c r="C3" s="8">
        <f t="array" ref="C3">SUM((data!P2:P201*$B$2+$C$2-data!Q2:Q201)^2)/(200-2)</f>
        <v>25.0958008</v>
      </c>
      <c r="D3" s="24" t="s">
        <v>105</v>
      </c>
      <c r="E3" s="6">
        <f>SQRT(C3)</f>
        <v>5.009570919</v>
      </c>
      <c r="M3" s="1" t="s">
        <v>106</v>
      </c>
      <c r="Q3" s="1" t="s">
        <v>107</v>
      </c>
    </row>
    <row r="4">
      <c r="A4" s="16"/>
      <c r="B4" s="1" t="s">
        <v>108</v>
      </c>
      <c r="C4" s="1" t="s">
        <v>109</v>
      </c>
      <c r="D4" s="1" t="s">
        <v>110</v>
      </c>
      <c r="L4" s="1" t="s">
        <v>86</v>
      </c>
      <c r="M4" s="6">
        <f t="array" ref="M4:N8">LINEST(data!Q2:Q201, data!P2:P201,TRUE,TRUE)</f>
        <v>0.5334686108</v>
      </c>
      <c r="N4" s="6">
        <v>-25.43863948464315</v>
      </c>
      <c r="O4" s="1" t="s">
        <v>84</v>
      </c>
      <c r="Q4" s="6">
        <f t="array" ref="Q4">SUM((data!P2:P201-$Q$2)^2)</f>
        <v>7165.52</v>
      </c>
    </row>
    <row r="5">
      <c r="A5" s="16"/>
      <c r="B5" s="8">
        <f>E3/SQRT(Q4)</f>
        <v>0.05918023331</v>
      </c>
      <c r="C5" s="8">
        <f t="array" ref="C5">E3*SQRT(SUM(data!P2:P201^2)/200/Q4)</f>
        <v>10.05622803</v>
      </c>
      <c r="D5" s="6">
        <f>SQRT(C6*(200-2)/(1-C6))</f>
        <v>9.014303949</v>
      </c>
      <c r="L5" s="1" t="s">
        <v>111</v>
      </c>
      <c r="M5" s="6">
        <v>0.059180233305241525</v>
      </c>
      <c r="N5" s="6">
        <v>10.056228026653885</v>
      </c>
      <c r="O5" s="1" t="s">
        <v>112</v>
      </c>
      <c r="P5" s="1" t="s">
        <v>113</v>
      </c>
      <c r="Q5" s="1" t="s">
        <v>55</v>
      </c>
    </row>
    <row r="6">
      <c r="A6" s="16"/>
      <c r="B6" s="25" t="s">
        <v>114</v>
      </c>
      <c r="C6" s="6">
        <f t="array" ref="C6">SUM((data!P2:P201*$B$2+$C$2-$P$2)^2)/SUM((data!Q2:Q201-AVERAGE(data!Q2:Q201))^2)</f>
        <v>0.2909774118</v>
      </c>
      <c r="L6" s="1" t="s">
        <v>115</v>
      </c>
      <c r="M6" s="6">
        <v>0.2909774117643794</v>
      </c>
      <c r="N6" s="6">
        <v>5.009570919426872</v>
      </c>
      <c r="P6" s="1">
        <v>2.0</v>
      </c>
      <c r="Q6" s="1">
        <v>200.0</v>
      </c>
    </row>
    <row r="7">
      <c r="A7" s="16"/>
      <c r="B7" s="1" t="s">
        <v>116</v>
      </c>
      <c r="C7" s="6">
        <f>C6/(1-C6)*(200-2)</f>
        <v>81.25767569</v>
      </c>
      <c r="L7" s="1" t="s">
        <v>117</v>
      </c>
      <c r="M7" s="6">
        <v>81.25767568663291</v>
      </c>
      <c r="N7" s="6">
        <v>198.0</v>
      </c>
      <c r="O7" s="1" t="s">
        <v>118</v>
      </c>
    </row>
    <row r="8">
      <c r="A8" s="16"/>
      <c r="B8" s="1" t="s">
        <v>119</v>
      </c>
      <c r="C8" s="6">
        <f t="array" ref="C8">VAR(data!P2:P201*$B$2+$C$2)</f>
        <v>10.24736906</v>
      </c>
      <c r="M8" s="6">
        <v>2039.2264422400685</v>
      </c>
      <c r="N8" s="6">
        <v>4968.968557759944</v>
      </c>
    </row>
    <row r="9">
      <c r="A9" s="16"/>
      <c r="B9" s="1" t="s">
        <v>120</v>
      </c>
      <c r="C9" s="6">
        <f t="array" ref="C9">VAR(data!P2:P201*$B$2+$C$2-data!Q2:Q201)</f>
        <v>24.96969125</v>
      </c>
    </row>
    <row r="10">
      <c r="A10" s="16"/>
      <c r="B10" s="1" t="s">
        <v>121</v>
      </c>
      <c r="C10" s="24" t="s">
        <v>122</v>
      </c>
      <c r="D10" s="6">
        <f>B2</f>
        <v>0.5334686108</v>
      </c>
      <c r="E10" s="26" t="s">
        <v>123</v>
      </c>
      <c r="F10" s="6">
        <f>C2</f>
        <v>-25.43863948</v>
      </c>
    </row>
    <row r="11">
      <c r="A11" s="27" t="s">
        <v>42</v>
      </c>
      <c r="B11" s="28" t="s">
        <v>124</v>
      </c>
      <c r="C11" s="29">
        <f>C12*B2+C2</f>
        <v>70.58571046</v>
      </c>
      <c r="D11" s="30" t="s">
        <v>125</v>
      </c>
      <c r="E11" s="6">
        <f>C13*E15</f>
        <v>9.974633523</v>
      </c>
    </row>
    <row r="12">
      <c r="A12" s="16"/>
      <c r="B12" s="1" t="s">
        <v>126</v>
      </c>
      <c r="C12" s="1">
        <v>180.0</v>
      </c>
    </row>
    <row r="13">
      <c r="A13" s="16"/>
      <c r="B13" s="1" t="s">
        <v>127</v>
      </c>
      <c r="C13" s="6">
        <f>E3*SQRT(1+1/200+(C12-Q2)^2/Q4)</f>
        <v>5.05808576</v>
      </c>
    </row>
    <row r="14">
      <c r="A14" s="27" t="s">
        <v>44</v>
      </c>
      <c r="B14" s="28" t="s">
        <v>128</v>
      </c>
      <c r="C14" s="28" t="s">
        <v>129</v>
      </c>
      <c r="E14" s="1" t="s">
        <v>130</v>
      </c>
    </row>
    <row r="15">
      <c r="A15" s="16"/>
      <c r="B15" s="6">
        <f t="array" ref="B15:C15">$E$15*B5:C5</f>
        <v>0.1167044544</v>
      </c>
      <c r="C15" s="6">
        <v>19.831057429668434</v>
      </c>
      <c r="E15" s="6">
        <f>_xlfn.T.INV.2T(C16,200-2)</f>
        <v>1.972017478</v>
      </c>
    </row>
    <row r="16">
      <c r="A16" s="27" t="s">
        <v>49</v>
      </c>
      <c r="B16" s="28" t="s">
        <v>59</v>
      </c>
      <c r="C16" s="28">
        <v>0.05</v>
      </c>
    </row>
    <row r="17">
      <c r="A17" s="16"/>
      <c r="B17" s="1" t="s">
        <v>131</v>
      </c>
      <c r="C17" s="6" t="b">
        <f>NOT(AND((B2-B15) &lt; 0, 0&lt;B2+B15))</f>
        <v>1</v>
      </c>
    </row>
  </sheetData>
  <drawing r:id="rId1"/>
</worksheet>
</file>