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11A871B7-9013-4AE6-94BE-5806E5EBCCF1}" xr6:coauthVersionLast="47" xr6:coauthVersionMax="47" xr10:uidLastSave="{00000000-0000-0000-0000-000000000000}"/>
  <bookViews>
    <workbookView xWindow="0" yWindow="0" windowWidth="25800" windowHeight="21000" xr2:uid="{A7AC8158-DA02-46E4-A5CA-1A1CE842F4CC}"/>
  </bookViews>
  <sheets>
    <sheet name="Bond Prices" sheetId="1" r:id="rId1"/>
  </sheets>
  <definedNames>
    <definedName name="COUPON">'Bond Prices'!$B$10</definedName>
    <definedName name="CR">'Bond Prices'!$B$2</definedName>
    <definedName name="DR">'Bond Prices'!$B$9</definedName>
    <definedName name="my_custom_pricer">_xlfn.LAMBDA(_xlpm.cr,_xlpm.ytm,_xlpm.nop,_xlpm.ttm,_xlpm.principal, -PV(_xlpm.ytm/_xlpm.nop,_xlpm.ttm, _xlpm.principal*_xlpm.cr/_xlpm.nop,_xlpm.principal))</definedName>
    <definedName name="NOP">'Bond Prices'!$B$4</definedName>
    <definedName name="PRINCIPAL">'Bond Prices'!$B$6</definedName>
    <definedName name="TTM">'Bond Prices'!$B$5</definedName>
    <definedName name="YTM">'Bond Prices'!$B$3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D45" i="1"/>
  <c r="E45" i="1"/>
  <c r="D44" i="1"/>
  <c r="E44" i="1"/>
  <c r="C44" i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38" i="1" a="1"/>
  <c r="B38" i="1" s="1"/>
  <c r="B39" i="1" a="1"/>
  <c r="B39" i="1" s="1"/>
  <c r="B33" i="1"/>
  <c r="B34" i="1" s="1"/>
  <c r="B10" i="1"/>
  <c r="B9" i="1"/>
  <c r="B14" i="1"/>
  <c r="C14" i="1" s="1"/>
  <c r="F67" i="1"/>
  <c r="C39" i="1"/>
  <c r="C38" i="1"/>
  <c r="C35" i="1"/>
  <c r="C34" i="1"/>
  <c r="C30" i="1"/>
  <c r="C27" i="1"/>
  <c r="C24" i="1"/>
  <c r="E23" i="1"/>
  <c r="D22" i="1"/>
  <c r="C10" i="1"/>
  <c r="C9" i="1"/>
  <c r="C22" i="1"/>
  <c r="B59" i="1" l="1"/>
  <c r="C58" i="1"/>
  <c r="D58" i="1"/>
  <c r="E58" i="1"/>
  <c r="E49" i="1"/>
  <c r="D57" i="1"/>
  <c r="D53" i="1"/>
  <c r="D49" i="1"/>
  <c r="E53" i="1"/>
  <c r="C57" i="1"/>
  <c r="C53" i="1"/>
  <c r="C49" i="1"/>
  <c r="E57" i="1"/>
  <c r="E56" i="1"/>
  <c r="E52" i="1"/>
  <c r="E48" i="1"/>
  <c r="D56" i="1"/>
  <c r="D48" i="1"/>
  <c r="D52" i="1"/>
  <c r="C56" i="1"/>
  <c r="C52" i="1"/>
  <c r="C48" i="1"/>
  <c r="E55" i="1"/>
  <c r="E51" i="1"/>
  <c r="E47" i="1"/>
  <c r="D55" i="1"/>
  <c r="D51" i="1"/>
  <c r="D47" i="1"/>
  <c r="C55" i="1"/>
  <c r="C51" i="1"/>
  <c r="C47" i="1"/>
  <c r="E46" i="1"/>
  <c r="E54" i="1"/>
  <c r="D54" i="1"/>
  <c r="D50" i="1"/>
  <c r="D46" i="1"/>
  <c r="E50" i="1"/>
  <c r="C54" i="1"/>
  <c r="C50" i="1"/>
  <c r="C46" i="1"/>
  <c r="B30" i="1"/>
  <c r="B27" i="1"/>
  <c r="B35" i="1"/>
  <c r="D14" i="1"/>
  <c r="E14" i="1" s="1"/>
  <c r="B15" i="1"/>
  <c r="C15" i="1" s="1"/>
  <c r="B60" i="1" l="1"/>
  <c r="C59" i="1"/>
  <c r="D59" i="1"/>
  <c r="E59" i="1"/>
  <c r="D15" i="1"/>
  <c r="E15" i="1" s="1"/>
  <c r="B16" i="1"/>
  <c r="D16" i="1" s="1"/>
  <c r="E16" i="1" s="1"/>
  <c r="C16" i="1"/>
  <c r="B61" i="1" l="1"/>
  <c r="C60" i="1"/>
  <c r="D60" i="1"/>
  <c r="E60" i="1"/>
  <c r="B17" i="1"/>
  <c r="D17" i="1" s="1"/>
  <c r="E17" i="1" s="1"/>
  <c r="B18" i="1"/>
  <c r="D18" i="1" s="1"/>
  <c r="E18" i="1" s="1"/>
  <c r="C17" i="1"/>
  <c r="B62" i="1" l="1"/>
  <c r="C61" i="1"/>
  <c r="D61" i="1"/>
  <c r="E61" i="1"/>
  <c r="B19" i="1"/>
  <c r="D19" i="1" s="1"/>
  <c r="E19" i="1" s="1"/>
  <c r="C18" i="1"/>
  <c r="B63" i="1" l="1"/>
  <c r="C62" i="1"/>
  <c r="D62" i="1"/>
  <c r="E62" i="1"/>
  <c r="B20" i="1"/>
  <c r="D20" i="1" s="1"/>
  <c r="E20" i="1" s="1"/>
  <c r="C19" i="1"/>
  <c r="B64" i="1" l="1"/>
  <c r="C63" i="1"/>
  <c r="D63" i="1"/>
  <c r="E63" i="1"/>
  <c r="B21" i="1"/>
  <c r="C20" i="1"/>
  <c r="B65" i="1" l="1"/>
  <c r="C64" i="1"/>
  <c r="D64" i="1"/>
  <c r="E64" i="1"/>
  <c r="C21" i="1"/>
  <c r="D21" i="1"/>
  <c r="E21" i="1" s="1"/>
  <c r="B24" i="1" s="1"/>
  <c r="B66" i="1" l="1"/>
  <c r="C65" i="1"/>
  <c r="D65" i="1"/>
  <c r="E65" i="1"/>
  <c r="C66" i="1" l="1"/>
  <c r="B67" i="1"/>
  <c r="D66" i="1"/>
  <c r="E66" i="1"/>
  <c r="C67" i="1" l="1"/>
  <c r="D67" i="1"/>
  <c r="E6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<sst xmlns="http://schemas.openxmlformats.org/spreadsheetml/2006/main" count="27" uniqueCount="24">
  <si>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Coupon rate (CR)</t>
  </si>
  <si>
    <t>Yield-to-maturity (YTM)</t>
  </si>
  <si>
    <t>Payments per year (NOP)</t>
  </si>
  <si>
    <t>Time-to-maturity (TTM)</t>
  </si>
  <si>
    <t>Principal (PRINCIPAL)</t>
  </si>
  <si>
    <t>Period</t>
  </si>
  <si>
    <t>Time (yrs)</t>
  </si>
  <si>
    <t>Cash Flow</t>
  </si>
  <si>
    <t>PV(Cash Flow)</t>
  </si>
  <si>
    <t>INPUTS</t>
  </si>
  <si>
    <t>CALCULATIONS</t>
  </si>
  <si>
    <t>Discount Rate (DR)</t>
  </si>
  <si>
    <t>Coupon (COUPON)</t>
  </si>
  <si>
    <t>Bond Price</t>
  </si>
  <si>
    <t>Method #1: Discount each cash flow</t>
  </si>
  <si>
    <t>Method #2: PV formula</t>
  </si>
  <si>
    <t>Method #3: Annuity Formula</t>
  </si>
  <si>
    <t>Method #4: Price function</t>
  </si>
  <si>
    <t>Start Date</t>
  </si>
  <si>
    <t>End Date</t>
  </si>
  <si>
    <t>Method #5: Custom function (newer versions of excel)</t>
  </si>
  <si>
    <t>Fixed income prices and interest rates</t>
  </si>
  <si>
    <t>YTM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</si>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</sst>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2" fillId="0" borderId="0" xfId="0" applyNumberFormat="1" applyFont="1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0" fillId="0" borderId="0" xfId="0" applyFont="1"/>
    <xf numFmtId="165" fontId="0" fillId="0" borderId="0" xfId="0" applyNumberFormat="1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9FB0-8AB9-40A6-B2C1-CBFFCFACE539}">
  <dimension ref="A1:F67"/>
  <sheetViews>
    <sheetView tabSelected="1" zoomScale="190" zoomScaleNormal="190" workbookViewId="0"/>
  </sheetViews>
  <sheetFormatPr defaultRowHeight="15" x14ac:dyDescent="0.25"/>
  <cols>
    <col min="1" max="1" width="22.28515625" customWidth="1"/>
    <col min="2" max="5" width="14.140625" customWidth="1"/>
  </cols>
  <sheetData>
    <row r="1" spans="1:5" x14ac:dyDescent="0.25">
      <c r="A1" s="5" t="s">
        <v>9</v>
      </c>
    </row>
    <row r="2" spans="1:5" x14ac:dyDescent="0.25">
      <c r="A2" t="s">
        <v>0</v>
      </c>
      <c r="B2" s="2">
        <v>0.06</v>
      </c>
    </row>
    <row r="3" spans="1:5" x14ac:dyDescent="0.25">
      <c r="A3" t="s">
        <v>1</v>
      </c>
      <c r="B3" s="2">
        <v>0.05</v>
      </c>
    </row>
    <row r="4" spans="1:5" x14ac:dyDescent="0.25">
      <c r="A4" t="s">
        <v>2</v>
      </c>
      <c r="B4" s="3">
        <v>2</v>
      </c>
    </row>
    <row r="5" spans="1:5" x14ac:dyDescent="0.25">
      <c r="A5" t="s">
        <v>3</v>
      </c>
      <c r="B5" s="3">
        <v>8</v>
      </c>
    </row>
    <row r="6" spans="1:5" x14ac:dyDescent="0.25">
      <c r="A6" t="s">
        <v>4</v>
      </c>
      <c r="B6" s="3">
        <v>100</v>
      </c>
    </row>
    <row r="8" spans="1:5" x14ac:dyDescent="0.25">
      <c r="A8" s="5" t="s">
        <v>10</v>
      </c>
    </row>
    <row r="9" spans="1:5" x14ac:dyDescent="0.25">
      <c r="A9" s="6" t="s">
        <v>11</v>
      </c>
      <c r="B9" s="7">
        <f>YTM/NOP</f>
        <v>2.5000000000000001E-2</v>
      </c>
      <c r="C9" t="str">
        <f ca="1">_xlfn.FORMULATEXT(B9)</f>
        <v>=YTM/NOP</v>
      </c>
    </row>
    <row r="10" spans="1:5" x14ac:dyDescent="0.25">
      <c r="A10" s="6" t="s">
        <v>12</v>
      </c>
      <c r="B10" s="8">
        <f>PRINCIPAL*CR/NOP</f>
        <v>3</v>
      </c>
      <c r="C10" t="str">
        <f ca="1">_xlfn.FORMULATEXT(B10)</f>
        <v>=PRINCIPAL*CR/NOP</v>
      </c>
    </row>
    <row r="12" spans="1:5" x14ac:dyDescent="0.25">
      <c r="A12" s="5" t="s">
        <v>14</v>
      </c>
    </row>
    <row r="13" spans="1:5" x14ac:dyDescent="0.25">
      <c r="B13" s="1" t="s">
        <v>5</v>
      </c>
      <c r="C13" s="1" t="s">
        <v>6</v>
      </c>
      <c r="D13" s="1" t="s">
        <v>7</v>
      </c>
      <c r="E13" s="1" t="s">
        <v>8</v>
      </c>
    </row>
    <row r="14" spans="1:5" x14ac:dyDescent="0.25">
      <c r="B14">
        <f>1</f>
        <v>1</v>
      </c>
      <c r="C14" s="4">
        <f>B14/NOP</f>
        <v>0.5</v>
      </c>
      <c r="D14" s="8">
        <f>COUPON + IF(B14=TTM,PRINCIPAL,0)</f>
        <v>3</v>
      </c>
      <c r="E14" s="8">
        <f>D14/(1+DR)^B14</f>
        <v>2.9268292682926833</v>
      </c>
    </row>
    <row r="15" spans="1:5" x14ac:dyDescent="0.25">
      <c r="B15">
        <f>B14+1</f>
        <v>2</v>
      </c>
      <c r="C15" s="4">
        <f>B15/NOP</f>
        <v>1</v>
      </c>
      <c r="D15" s="8">
        <f>COUPON + IF(B15=TTM,PRINCIPAL,0)</f>
        <v>3</v>
      </c>
      <c r="E15" s="8">
        <f>D15/(1+DR)^B15</f>
        <v>2.8554431885782274</v>
      </c>
    </row>
    <row r="16" spans="1:5" x14ac:dyDescent="0.25">
      <c r="B16">
        <f t="shared" ref="B16:B21" si="0">B15+1</f>
        <v>3</v>
      </c>
      <c r="C16" s="4">
        <f>B16/NOP</f>
        <v>1.5</v>
      </c>
      <c r="D16" s="8">
        <f>COUPON + IF(B16=TTM,PRINCIPAL,0)</f>
        <v>3</v>
      </c>
      <c r="E16" s="8">
        <f>D16/(1+DR)^B16</f>
        <v>2.7857982327592463</v>
      </c>
    </row>
    <row r="17" spans="1:5" x14ac:dyDescent="0.25">
      <c r="B17">
        <f t="shared" si="0"/>
        <v>4</v>
      </c>
      <c r="C17" s="4">
        <f>B17/NOP</f>
        <v>2</v>
      </c>
      <c r="D17" s="8">
        <f>COUPON + IF(B17=TTM,PRINCIPAL,0)</f>
        <v>3</v>
      </c>
      <c r="E17" s="8">
        <f>D17/(1+DR)^B17</f>
        <v>2.7178519343992651</v>
      </c>
    </row>
    <row r="18" spans="1:5" x14ac:dyDescent="0.25">
      <c r="B18">
        <f t="shared" si="0"/>
        <v>5</v>
      </c>
      <c r="C18" s="4">
        <f>B18/NOP</f>
        <v>2.5</v>
      </c>
      <c r="D18" s="8">
        <f>COUPON + IF(B18=TTM,PRINCIPAL,0)</f>
        <v>3</v>
      </c>
      <c r="E18" s="8">
        <f>D18/(1+DR)^B18</f>
        <v>2.6515628628285515</v>
      </c>
    </row>
    <row r="19" spans="1:5" x14ac:dyDescent="0.25">
      <c r="B19">
        <f t="shared" si="0"/>
        <v>6</v>
      </c>
      <c r="C19" s="4">
        <f>B19/NOP</f>
        <v>3</v>
      </c>
      <c r="D19" s="8">
        <f>COUPON + IF(B19=TTM,PRINCIPAL,0)</f>
        <v>3</v>
      </c>
      <c r="E19" s="8">
        <f>D19/(1+DR)^B19</f>
        <v>2.586890597881514</v>
      </c>
    </row>
    <row r="20" spans="1:5" x14ac:dyDescent="0.25">
      <c r="B20">
        <f t="shared" si="0"/>
        <v>7</v>
      </c>
      <c r="C20" s="4">
        <f>B20/NOP</f>
        <v>3.5</v>
      </c>
      <c r="D20" s="8">
        <f>COUPON + IF(B20=TTM,PRINCIPAL,0)</f>
        <v>3</v>
      </c>
      <c r="E20" s="8">
        <f>D20/(1+DR)^B20</f>
        <v>2.5237957052502571</v>
      </c>
    </row>
    <row r="21" spans="1:5" x14ac:dyDescent="0.25">
      <c r="B21">
        <f t="shared" si="0"/>
        <v>8</v>
      </c>
      <c r="C21" s="4">
        <f>B21/NOP</f>
        <v>4</v>
      </c>
      <c r="D21" s="8">
        <f>COUPON + IF(B21=TTM,PRINCIPAL,0)</f>
        <v>103</v>
      </c>
      <c r="E21" s="8">
        <f>D21/(1+DR)^B21</f>
        <v>84.536896793748468</v>
      </c>
    </row>
    <row r="22" spans="1:5" x14ac:dyDescent="0.25">
      <c r="C22" s="4" t="str">
        <f ca="1">_xlfn.FORMULATEXT(C21)</f>
        <v>=B21/NOP</v>
      </c>
      <c r="D22" s="8" t="str">
        <f ca="1">_xlfn.FORMULATEXT(D21)</f>
        <v>=COUPON + IF(B21=TTM,PRINCIPAL,0)</v>
      </c>
      <c r="E22" s="8"/>
    </row>
    <row r="23" spans="1:5" x14ac:dyDescent="0.25">
      <c r="E23" s="8" t="str">
        <f ca="1">_xlfn.FORMULATEXT(E21)</f>
        <v>=D21/(1+DR)^B21</v>
      </c>
    </row>
    <row r="24" spans="1:5" x14ac:dyDescent="0.25">
      <c r="A24" t="s">
        <v>13</v>
      </c>
      <c r="B24" s="8">
        <f>SUM(E14:E21)</f>
        <v>103.58506858373822</v>
      </c>
      <c r="C24" t="str">
        <f ca="1">_xlfn.FORMULATEXT(B24)</f>
        <v>=SUM(E14:E21)</v>
      </c>
    </row>
    <row r="26" spans="1:5" x14ac:dyDescent="0.25">
      <c r="A26" s="5" t="s">
        <v>15</v>
      </c>
    </row>
    <row r="27" spans="1:5" x14ac:dyDescent="0.25">
      <c r="A27" t="s">
        <v>13</v>
      </c>
      <c r="B27" s="8">
        <f>-PV(DR,TTM,COUPON,PRINCIPAL)</f>
        <v>103.58506858373816</v>
      </c>
      <c r="C27" t="str">
        <f ca="1">_xlfn.FORMULATEXT(B27)</f>
        <v>=-PV(DR,TTM,COUPON,PRINCIPAL)</v>
      </c>
    </row>
    <row r="29" spans="1:5" x14ac:dyDescent="0.25">
      <c r="A29" s="5" t="s">
        <v>16</v>
      </c>
    </row>
    <row r="30" spans="1:5" x14ac:dyDescent="0.25">
      <c r="A30" t="s">
        <v>13</v>
      </c>
      <c r="B30" s="8">
        <f>COUPON/DR*(1-1/(1+DR)^TTM)+PRINCIPAL/(1+DR)^TTM</f>
        <v>103.58506858373815</v>
      </c>
      <c r="C30" t="str">
        <f ca="1">_xlfn.FORMULATEXT(B30)</f>
        <v>=COUPON/DR*(1-1/(1+DR)^TTM)+PRINCIPAL/(1+DR)^TTM</v>
      </c>
    </row>
    <row r="32" spans="1:5" x14ac:dyDescent="0.25">
      <c r="A32" s="5" t="s">
        <v>17</v>
      </c>
    </row>
    <row r="33" spans="1:5" x14ac:dyDescent="0.25">
      <c r="A33" t="s">
        <v>18</v>
      </c>
      <c r="B33" s="9">
        <f ca="1">TODAY()</f>
        <v>45300</v>
      </c>
    </row>
    <row r="34" spans="1:5" x14ac:dyDescent="0.25">
      <c r="A34" t="s">
        <v>19</v>
      </c>
      <c r="B34" s="9">
        <f ca="1">EDATE(B33,12*TTM/NOP)</f>
        <v>46761</v>
      </c>
      <c r="C34" t="str">
        <f ca="1">_xlfn.FORMULATEXT(B34)</f>
        <v>=EDATE(B33,12*TTM/NOP)</v>
      </c>
    </row>
    <row r="35" spans="1:5" x14ac:dyDescent="0.25">
      <c r="A35" t="s">
        <v>13</v>
      </c>
      <c r="B35" s="8">
        <f ca="1">PRICE(B33,B34,CR,YTM,100,NOP)*PRINCIPAL/100</f>
        <v>103.58506858373821</v>
      </c>
      <c r="C35" t="str">
        <f ca="1">_xlfn.FORMULATEXT(B35)</f>
        <v>=PRICE(B33,B34,CR,YTM,100,NOP)*PRINCIPAL/100</v>
      </c>
    </row>
    <row r="37" spans="1:5" x14ac:dyDescent="0.25">
      <c r="A37" s="5" t="s">
        <v>20</v>
      </c>
    </row>
    <row r="38" spans="1:5" x14ac:dyDescent="0.25">
      <c r="B38" s="8" cm="1">
        <f t="array" ref="B38">_xlfn.LAMBDA(_xlpm.cr,_xlpm.ytm,_xlpm.nop,_xlpm.ttm,_xlpm.principal, -PV(_xlpm.ytm/_xlpm.nop,_xlpm.ttm, _xlpm.principal*_xlpm.cr/_xlpm.nop,_xlpm.principal))(CR,YTM,NOP,TTM,PRINCIPAL)</f>
        <v>103.58506858373816</v>
      </c>
      <c r="C38" t="str">
        <f ca="1">_xlfn.FORMULATEXT(B38)</f>
        <v>=LAMBDA(cr,ytm,nop,ttm,principal, -PV(ytm/nop,ttm, principal*cr/nop,principal))(CR,YTM,NOP,TTM,PRINCIPAL)</v>
      </c>
    </row>
    <row r="39" spans="1:5" x14ac:dyDescent="0.25">
      <c r="B39" s="8" cm="1">
        <f t="array" ref="B39">my_custom_pricer(CR,YTM,NOP,TTM,PRINCIPAL)</f>
        <v>103.58506858373816</v>
      </c>
      <c r="C39" t="str">
        <f ca="1">_xlfn.FORMULATEXT(B39)</f>
        <v>=my_custom_pricer(CR,YTM,NOP,TTM,PRINCIPAL)</v>
      </c>
    </row>
    <row r="41" spans="1:5" x14ac:dyDescent="0.25">
      <c r="A41" s="5" t="s">
        <v>21</v>
      </c>
    </row>
    <row r="42" spans="1:5" x14ac:dyDescent="0.25">
      <c r="C42" t="s">
        <v>23</v>
      </c>
    </row>
    <row r="43" spans="1:5" x14ac:dyDescent="0.25">
      <c r="B43" t="s">
        <v>22</v>
      </c>
      <c r="C43">
        <v>8</v>
      </c>
      <c r="D43">
        <v>16</v>
      </c>
      <c r="E43">
        <v>40</v>
      </c>
    </row>
    <row r="44" spans="1:5" x14ac:dyDescent="0.25">
      <c r="B44" s="10">
        <v>5.0000000000000001E-3</v>
      </c>
      <c r="C44" s="8">
        <f>-PV($B44/NOP,C$43,COUPON,PRINCIPAL)</f>
        <v>121.75454840493165</v>
      </c>
      <c r="D44" s="8">
        <f>-PV($B44/NOP,D$43,COUPON,PRINCIPAL)</f>
        <v>143.07886010413384</v>
      </c>
      <c r="E44" s="8">
        <f>-PV($B44/NOP,E$43,COUPON,PRINCIPAL)</f>
        <v>204.55462423559726</v>
      </c>
    </row>
    <row r="45" spans="1:5" x14ac:dyDescent="0.25">
      <c r="B45" s="10">
        <f>B44+0.5%</f>
        <v>0.01</v>
      </c>
      <c r="C45" s="8">
        <f>-PV($B45/NOP,C$43,COUPON,PRINCIPAL)</f>
        <v>119.55739809922599</v>
      </c>
      <c r="D45" s="8">
        <f>-PV($B45/NOP,D$43,COUPON,PRINCIPAL)</f>
        <v>138.34981255762875</v>
      </c>
      <c r="E45" s="8">
        <f>-PV($B45/NOP,E$43,COUPON,PRINCIPAL)</f>
        <v>190.43056966020518</v>
      </c>
    </row>
    <row r="46" spans="1:5" x14ac:dyDescent="0.25">
      <c r="B46" s="10">
        <f t="shared" ref="B46:B66" si="1">B45+0.5%</f>
        <v>1.4999999999999999E-2</v>
      </c>
      <c r="C46" s="8">
        <f>-PV($B46/NOP,C$43,COUPON,PRINCIPAL)</f>
        <v>117.40737980590401</v>
      </c>
      <c r="D46" s="8">
        <f>-PV($B46/NOP,D$43,COUPON,PRINCIPAL)</f>
        <v>133.8047033727847</v>
      </c>
      <c r="E46" s="8">
        <f>-PV($B46/NOP,E$43,COUPON,PRINCIPAL)</f>
        <v>177.50561149007291</v>
      </c>
    </row>
    <row r="47" spans="1:5" x14ac:dyDescent="0.25">
      <c r="B47" s="10">
        <f t="shared" si="1"/>
        <v>0.02</v>
      </c>
      <c r="C47" s="8">
        <f>-PV($B47/NOP,C$43,COUPON,PRINCIPAL)</f>
        <v>115.30335550353757</v>
      </c>
      <c r="D47" s="8">
        <f>-PV($B47/NOP,D$43,COUPON,PRINCIPAL)</f>
        <v>129.43574755873689</v>
      </c>
      <c r="E47" s="8">
        <f>-PV($B47/NOP,E$43,COUPON,PRINCIPAL)</f>
        <v>165.66937222791239</v>
      </c>
    </row>
    <row r="48" spans="1:5" x14ac:dyDescent="0.25">
      <c r="B48" s="10">
        <f t="shared" si="1"/>
        <v>2.5000000000000001E-2</v>
      </c>
      <c r="C48" s="8">
        <f>-PV($B48/NOP,C$43,COUPON,PRINCIPAL)</f>
        <v>113.24421751414602</v>
      </c>
      <c r="D48" s="8">
        <f>-PV($B48/NOP,D$43,COUPON,PRINCIPAL)</f>
        <v>125.23551147427767</v>
      </c>
      <c r="E48" s="8">
        <f>-PV($B48/NOP,E$43,COUPON,PRINCIPAL)</f>
        <v>154.82213303620551</v>
      </c>
    </row>
    <row r="49" spans="2:5" x14ac:dyDescent="0.25">
      <c r="B49" s="10">
        <f t="shared" si="1"/>
        <v>3.0000000000000002E-2</v>
      </c>
      <c r="C49" s="8">
        <f>-PV($B49/NOP,C$43,COUPON,PRINCIPAL)</f>
        <v>111.22888761990126</v>
      </c>
      <c r="D49" s="8">
        <f>-PV($B49/NOP,D$43,COUPON,PRINCIPAL)</f>
        <v>121.19689606799879</v>
      </c>
      <c r="E49" s="8">
        <f>-PV($B49/NOP,E$43,COUPON,PRINCIPAL)</f>
        <v>144.87376780626153</v>
      </c>
    </row>
    <row r="50" spans="2:5" x14ac:dyDescent="0.25">
      <c r="B50" s="10">
        <f t="shared" si="1"/>
        <v>3.5000000000000003E-2</v>
      </c>
      <c r="C50" s="8">
        <f>-PV($B50/NOP,C$43,COUPON,PRINCIPAL)</f>
        <v>109.25631620767767</v>
      </c>
      <c r="D50" s="8">
        <f>-PV($B50/NOP,D$43,COUPON,PRINCIPAL)</f>
        <v>117.31312095904411</v>
      </c>
      <c r="E50" s="8">
        <f>-PV($B50/NOP,E$43,COUPON,PRINCIPAL)</f>
        <v>135.74278693663399</v>
      </c>
    </row>
    <row r="51" spans="2:5" x14ac:dyDescent="0.25">
      <c r="B51" s="10">
        <f t="shared" si="1"/>
        <v>0.04</v>
      </c>
      <c r="C51" s="8">
        <f>-PV($B51/NOP,C$43,COUPON,PRINCIPAL)</f>
        <v>107.32548144049441</v>
      </c>
      <c r="D51" s="8">
        <f>-PV($B51/NOP,D$43,COUPON,PRINCIPAL)</f>
        <v>113.57770931428827</v>
      </c>
      <c r="E51" s="8">
        <f>-PV($B51/NOP,E$43,COUPON,PRINCIPAL)</f>
        <v>127.35547924073818</v>
      </c>
    </row>
    <row r="52" spans="2:5" x14ac:dyDescent="0.25">
      <c r="B52" s="10">
        <f t="shared" si="1"/>
        <v>4.4999999999999998E-2</v>
      </c>
      <c r="C52" s="8">
        <f>-PV($B52/NOP,C$43,COUPON,PRINCIPAL)</f>
        <v>105.4353884549457</v>
      </c>
      <c r="D52" s="8">
        <f>-PV($B52/NOP,D$43,COUPON,PRINCIPAL)</f>
        <v>109.98447348020669</v>
      </c>
      <c r="E52" s="8">
        <f>-PV($B52/NOP,E$43,COUPON,PRINCIPAL)</f>
        <v>119.64514165431029</v>
      </c>
    </row>
    <row r="53" spans="2:5" x14ac:dyDescent="0.25">
      <c r="B53" s="10">
        <f t="shared" si="1"/>
        <v>4.9999999999999996E-2</v>
      </c>
      <c r="C53" s="8">
        <f>-PV($B53/NOP,C$43,COUPON,PRINCIPAL)</f>
        <v>103.58506858373816</v>
      </c>
      <c r="D53" s="8">
        <f>-PV($B53/NOP,D$43,COUPON,PRINCIPAL)</f>
        <v>106.527501329971</v>
      </c>
      <c r="E53" s="8">
        <f>-PV($B53/NOP,E$43,COUPON,PRINCIPAL)</f>
        <v>112.5513875260439</v>
      </c>
    </row>
    <row r="54" spans="2:5" x14ac:dyDescent="0.25">
      <c r="B54" s="10">
        <f>B53+0.5%</f>
        <v>5.4999999999999993E-2</v>
      </c>
      <c r="C54" s="8">
        <f>-PV($B54/NOP,C$43,COUPON,PRINCIPAL)</f>
        <v>101.77357860249342</v>
      </c>
      <c r="D54" s="8">
        <f>-PV($B54/NOP,D$43,COUPON,PRINCIPAL)</f>
        <v>103.20114328847238</v>
      </c>
      <c r="E54" s="8">
        <f>-PV($B54/NOP,E$43,COUPON,PRINCIPAL)</f>
        <v>106.01952526501199</v>
      </c>
    </row>
    <row r="55" spans="2:5" x14ac:dyDescent="0.25">
      <c r="B55" s="10">
        <f t="shared" si="1"/>
        <v>5.9999999999999991E-2</v>
      </c>
      <c r="C55" s="8">
        <f>-PV($B55/NOP,C$43,COUPON,PRINCIPAL)</f>
        <v>100</v>
      </c>
      <c r="D55" s="8">
        <f>-PV($B55/NOP,D$43,COUPON,PRINCIPAL)</f>
        <v>100.00000000000001</v>
      </c>
      <c r="E55" s="8">
        <f>-PV($B55/NOP,E$43,COUPON,PRINCIPAL)</f>
        <v>100</v>
      </c>
    </row>
    <row r="56" spans="2:5" x14ac:dyDescent="0.25">
      <c r="B56" s="10">
        <f t="shared" si="1"/>
        <v>6.4999999999999988E-2</v>
      </c>
      <c r="C56" s="8">
        <f>-PV($B56/NOP,C$43,COUPON,PRINCIPAL)</f>
        <v>98.263438271129658</v>
      </c>
      <c r="D56" s="8">
        <f>-PV($B56/NOP,D$43,COUPON,PRINCIPAL)</f>
        <v>96.918910605222337</v>
      </c>
      <c r="E56" s="8">
        <f>-PV($B56/NOP,E$43,COUPON,PRINCIPAL)</f>
        <v>94.447891690873405</v>
      </c>
    </row>
    <row r="57" spans="2:5" x14ac:dyDescent="0.25">
      <c r="B57" s="10">
        <f t="shared" si="1"/>
        <v>6.9999999999999993E-2</v>
      </c>
      <c r="C57" s="8">
        <f>-PV($B57/NOP,C$43,COUPON,PRINCIPAL)</f>
        <v>96.563022231660725</v>
      </c>
      <c r="D57" s="8">
        <f>-PV($B57/NOP,D$43,COUPON,PRINCIPAL)</f>
        <v>93.952941595925537</v>
      </c>
      <c r="E57" s="8">
        <f>-PV($B57/NOP,E$43,COUPON,PRINCIPAL)</f>
        <v>89.322463831351257</v>
      </c>
    </row>
    <row r="58" spans="2:5" x14ac:dyDescent="0.25">
      <c r="B58" s="10">
        <f>B57+0.5%</f>
        <v>7.4999999999999997E-2</v>
      </c>
      <c r="C58" s="8">
        <f>-PV($B58/NOP,C$43,COUPON,PRINCIPAL)</f>
        <v>94.897903354278654</v>
      </c>
      <c r="D58" s="8">
        <f>-PV($B58/NOP,D$43,COUPON,PRINCIPAL)</f>
        <v>91.097376217671354</v>
      </c>
      <c r="E58" s="8">
        <f>-PV($B58/NOP,E$43,COUPON,PRINCIPAL)</f>
        <v>84.586757505620014</v>
      </c>
    </row>
    <row r="59" spans="2:5" x14ac:dyDescent="0.25">
      <c r="B59" s="10">
        <f t="shared" si="1"/>
        <v>0.08</v>
      </c>
      <c r="C59" s="8">
        <f>-PV($B59/NOP,C$43,COUPON,PRINCIPAL)</f>
        <v>93.267255125049587</v>
      </c>
      <c r="D59" s="8">
        <f>-PV($B59/NOP,D$43,COUPON,PRINCIPAL)</f>
        <v>88.347704392146028</v>
      </c>
      <c r="E59" s="8">
        <f>-PV($B59/NOP,E$43,COUPON,PRINCIPAL)</f>
        <v>80.207226116573523</v>
      </c>
    </row>
    <row r="60" spans="2:5" x14ac:dyDescent="0.25">
      <c r="B60" s="10">
        <f t="shared" si="1"/>
        <v>8.5000000000000006E-2</v>
      </c>
      <c r="C60" s="8">
        <f>-PV($B60/NOP,C$43,COUPON,PRINCIPAL)</f>
        <v>91.670272419687734</v>
      </c>
      <c r="D60" s="8">
        <f>-PV($B60/NOP,D$43,COUPON,PRINCIPAL)</f>
        <v>85.699613132490782</v>
      </c>
      <c r="E60" s="8">
        <f>-PV($B60/NOP,E$43,COUPON,PRINCIPAL)</f>
        <v>76.153406598615845</v>
      </c>
    </row>
    <row r="61" spans="2:5" x14ac:dyDescent="0.25">
      <c r="B61" s="10">
        <f t="shared" si="1"/>
        <v>9.0000000000000011E-2</v>
      </c>
      <c r="C61" s="8">
        <f>-PV($B61/NOP,C$43,COUPON,PRINCIPAL)</f>
        <v>90.106170898961935</v>
      </c>
      <c r="D61" s="8">
        <f>-PV($B61/NOP,D$43,COUPON,PRINCIPAL)</f>
        <v>83.148977426340281</v>
      </c>
      <c r="E61" s="8">
        <f>-PV($B61/NOP,E$43,COUPON,PRINCIPAL)</f>
        <v>72.39762336958033</v>
      </c>
    </row>
    <row r="62" spans="2:5" x14ac:dyDescent="0.25">
      <c r="B62" s="10">
        <f t="shared" si="1"/>
        <v>9.5000000000000015E-2</v>
      </c>
      <c r="C62" s="8">
        <f>-PV($B62/NOP,C$43,COUPON,PRINCIPAL)</f>
        <v>88.574186422609358</v>
      </c>
      <c r="D62" s="8">
        <f>-PV($B62/NOP,D$43,COUPON,PRINCIPAL)</f>
        <v>80.691851562647855</v>
      </c>
      <c r="E62" s="8">
        <f>-PV($B62/NOP,E$43,COUPON,PRINCIPAL)</f>
        <v>68.914721670304914</v>
      </c>
    </row>
    <row r="63" spans="2:5" x14ac:dyDescent="0.25">
      <c r="B63" s="10">
        <f t="shared" si="1"/>
        <v>0.10000000000000002</v>
      </c>
      <c r="C63" s="8">
        <f>-PV($B63/NOP,C$43,COUPON,PRINCIPAL)</f>
        <v>87.073574481147475</v>
      </c>
      <c r="D63" s="8">
        <f>-PV($B63/NOP,D$43,COUPON,PRINCIPAL)</f>
        <v>78.324460879656016</v>
      </c>
      <c r="E63" s="8">
        <f>-PV($B63/NOP,E$43,COUPON,PRINCIPAL)</f>
        <v>65.681827292011107</v>
      </c>
    </row>
    <row r="64" spans="2:5" x14ac:dyDescent="0.25">
      <c r="B64" s="10">
        <f t="shared" si="1"/>
        <v>0.10500000000000002</v>
      </c>
      <c r="C64" s="8">
        <f>-PV($B64/NOP,C$43,COUPON,PRINCIPAL)</f>
        <v>85.603609644995132</v>
      </c>
      <c r="D64" s="8">
        <f>-PV($B64/NOP,D$43,COUPON,PRINCIPAL)</f>
        <v>76.043193912576086</v>
      </c>
      <c r="E64" s="8">
        <f>-PV($B64/NOP,E$43,COUPON,PRINCIPAL)</f>
        <v>62.678130005512621</v>
      </c>
    </row>
    <row r="65" spans="2:6" x14ac:dyDescent="0.25">
      <c r="B65" s="10">
        <f t="shared" si="1"/>
        <v>0.11000000000000003</v>
      </c>
      <c r="C65" s="8">
        <f>-PV($B65/NOP,C$43,COUPON,PRINCIPAL)</f>
        <v>84.163585030336932</v>
      </c>
      <c r="D65" s="8">
        <f>-PV($B65/NOP,D$43,COUPON,PRINCIPAL)</f>
        <v>73.844594920683946</v>
      </c>
      <c r="E65" s="8">
        <f>-PV($B65/NOP,E$43,COUPON,PRINCIPAL)</f>
        <v>59.884688286569656</v>
      </c>
    </row>
    <row r="66" spans="2:6" x14ac:dyDescent="0.25">
      <c r="B66" s="10">
        <f t="shared" si="1"/>
        <v>0.11500000000000003</v>
      </c>
      <c r="C66" s="8">
        <f>-PV($B66/NOP,C$43,COUPON,PRINCIPAL)</f>
        <v>82.75281178118216</v>
      </c>
      <c r="D66" s="8">
        <f>-PV($B66/NOP,D$43,COUPON,PRINCIPAL)</f>
        <v>71.725356774612109</v>
      </c>
      <c r="E66" s="8">
        <f>-PV($B66/NOP,E$43,COUPON,PRINCIPAL)</f>
        <v>57.284253182069484</v>
      </c>
    </row>
    <row r="67" spans="2:6" x14ac:dyDescent="0.25">
      <c r="B67" s="10">
        <f>B66+0.5%</f>
        <v>0.12000000000000004</v>
      </c>
      <c r="C67" s="8">
        <f>-PV($B67/NOP,C$43,COUPON,PRINCIPAL)</f>
        <v>81.370618567091327</v>
      </c>
      <c r="D67" s="8">
        <f>-PV($B67/NOP,D$43,COUPON,PRINCIPAL)</f>
        <v>69.682314185638688</v>
      </c>
      <c r="E67" s="8">
        <f>-PV($B67/NOP,E$43,COUPON,PRINCIPAL)</f>
        <v>54.861109385425266</v>
      </c>
      <c r="F67" t="str">
        <f ca="1">_xlfn.FORMULATEXT(E67)</f>
        <v>=-PV($B67/NOP,E$43,COUPON,PRINCIPAL)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Bond Prices</vt:lpstr>
      <vt:lpstr>COUPON</vt:lpstr>
      <vt:lpstr>CR</vt:lpstr>
      <vt:lpstr>DR</vt:lpstr>
      <vt:lpstr>NOP</vt:lpstr>
      <vt:lpstr>PRINCIPAL</vt:lpstr>
      <vt:lpstr>TTM</vt:lpstr>
      <vt:lpstr>YTM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2024-01-09T15:01:20Z</dcterms:created>
  <dcterms:modified xsi:type="dcterms:W3CDTF">2024-01-09T15:37:30Z</dcterms:modified>
</cp:coreProperties>
</file>