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busi448\excel\"/>
    </mc:Choice>
  </mc:AlternateContent>
  <xr:revisionPtr revIDLastSave="0" documentId="13_ncr:1_{BA822A3A-9B82-4B30-9D68-33D47AE5DA5B}" xr6:coauthVersionLast="47" xr6:coauthVersionMax="47" xr10:uidLastSave="{00000000-0000-0000-0000-000000000000}"/>
  <bookViews>
    <workbookView xWindow="-110" yWindow="-110" windowWidth="25820" windowHeight="14620" xr2:uid="{5848BE99-6E0D-4909-AB0F-14A0FC8BB61A}"/>
  </bookViews>
  <sheets>
    <sheet name="Duration" sheetId="1" r:id="rId1"/>
  </sheets>
  <definedNames>
    <definedName name="CR">Duration!$C$2</definedName>
    <definedName name="FACE">Duration!$C$4</definedName>
    <definedName name="NOP">Duration!$C$3</definedName>
    <definedName name="TTM">Duration!$C$34</definedName>
    <definedName name="YTM">Duration!$C$33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62" i="1"/>
  <c r="D63" i="1"/>
  <c r="D64" i="1"/>
  <c r="D56" i="1"/>
  <c r="C58" i="1"/>
  <c r="C59" i="1" s="1"/>
  <c r="C60" i="1" s="1"/>
  <c r="C61" i="1" s="1"/>
  <c r="C62" i="1" s="1"/>
  <c r="C63" i="1" s="1"/>
  <c r="C64" i="1" s="1"/>
  <c r="C57" i="1"/>
  <c r="C56" i="1"/>
  <c r="G46" i="1"/>
  <c r="H64" i="1"/>
  <c r="F66" i="1"/>
  <c r="E65" i="1"/>
  <c r="C49" i="1" l="1"/>
  <c r="C53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37" i="1"/>
  <c r="D38" i="1"/>
  <c r="D39" i="1"/>
  <c r="D40" i="1"/>
  <c r="D41" i="1"/>
  <c r="D42" i="1"/>
  <c r="D43" i="1"/>
  <c r="D44" i="1"/>
  <c r="D37" i="1"/>
  <c r="D7" i="1"/>
  <c r="C7" i="1"/>
  <c r="E7" i="1" s="1"/>
  <c r="D53" i="1"/>
  <c r="D49" i="1"/>
  <c r="D48" i="1"/>
  <c r="G7" i="1"/>
  <c r="E59" i="1" l="1"/>
  <c r="E63" i="1"/>
  <c r="E60" i="1"/>
  <c r="F60" i="1" s="1"/>
  <c r="E58" i="1"/>
  <c r="F58" i="1" s="1"/>
  <c r="E61" i="1"/>
  <c r="E62" i="1"/>
  <c r="E57" i="1"/>
  <c r="F57" i="1" s="1"/>
  <c r="E56" i="1"/>
  <c r="F56" i="1" s="1"/>
  <c r="E64" i="1"/>
  <c r="G56" i="1"/>
  <c r="G57" i="1"/>
  <c r="G61" i="1"/>
  <c r="G62" i="1"/>
  <c r="G58" i="1"/>
  <c r="G59" i="1"/>
  <c r="G63" i="1"/>
  <c r="G60" i="1"/>
  <c r="G64" i="1"/>
  <c r="F7" i="1"/>
  <c r="C8" i="1"/>
  <c r="F37" i="1"/>
  <c r="F62" i="1" l="1"/>
  <c r="F63" i="1"/>
  <c r="F64" i="1"/>
  <c r="F61" i="1"/>
  <c r="F59" i="1"/>
  <c r="D8" i="1"/>
  <c r="C9" i="1"/>
  <c r="E8" i="1"/>
  <c r="F8" i="1"/>
  <c r="F46" i="1"/>
  <c r="C10" i="1" l="1"/>
  <c r="E9" i="1"/>
  <c r="D9" i="1"/>
  <c r="F9" i="1"/>
  <c r="G44" i="1"/>
  <c r="H44" i="1" s="1"/>
  <c r="G38" i="1"/>
  <c r="H38" i="1" s="1"/>
  <c r="G40" i="1"/>
  <c r="H40" i="1" s="1"/>
  <c r="G39" i="1"/>
  <c r="H39" i="1" s="1"/>
  <c r="G43" i="1"/>
  <c r="H43" i="1" s="1"/>
  <c r="G41" i="1"/>
  <c r="H41" i="1" s="1"/>
  <c r="G42" i="1"/>
  <c r="H42" i="1" s="1"/>
  <c r="G37" i="1"/>
  <c r="H37" i="1" s="1"/>
  <c r="C48" i="1" s="1"/>
  <c r="C11" i="1" l="1"/>
  <c r="F10" i="1"/>
  <c r="D10" i="1"/>
  <c r="E10" i="1"/>
  <c r="C12" i="1" l="1"/>
  <c r="F11" i="1"/>
  <c r="D11" i="1"/>
  <c r="E11" i="1"/>
  <c r="C13" i="1" l="1"/>
  <c r="D12" i="1"/>
  <c r="E12" i="1"/>
  <c r="F12" i="1"/>
  <c r="C14" i="1" l="1"/>
  <c r="E13" i="1"/>
  <c r="F13" i="1"/>
  <c r="D13" i="1"/>
  <c r="C15" i="1" l="1"/>
  <c r="F14" i="1"/>
  <c r="D14" i="1"/>
  <c r="E14" i="1"/>
  <c r="C16" i="1" l="1"/>
  <c r="D15" i="1"/>
  <c r="E15" i="1"/>
  <c r="F15" i="1"/>
  <c r="C17" i="1" l="1"/>
  <c r="D16" i="1"/>
  <c r="E16" i="1"/>
  <c r="F16" i="1"/>
  <c r="C18" i="1" l="1"/>
  <c r="E17" i="1"/>
  <c r="F17" i="1"/>
  <c r="D17" i="1"/>
  <c r="C19" i="1" l="1"/>
  <c r="F18" i="1"/>
  <c r="D18" i="1"/>
  <c r="E18" i="1"/>
  <c r="C20" i="1" l="1"/>
  <c r="D19" i="1"/>
  <c r="E19" i="1"/>
  <c r="F19" i="1"/>
  <c r="C21" i="1" l="1"/>
  <c r="D20" i="1"/>
  <c r="F20" i="1"/>
  <c r="E20" i="1"/>
  <c r="C22" i="1" l="1"/>
  <c r="D21" i="1"/>
  <c r="E21" i="1"/>
  <c r="F21" i="1"/>
  <c r="C23" i="1" l="1"/>
  <c r="F22" i="1"/>
  <c r="E22" i="1"/>
  <c r="D22" i="1"/>
  <c r="C24" i="1" l="1"/>
  <c r="D23" i="1"/>
  <c r="E23" i="1"/>
  <c r="F23" i="1"/>
  <c r="C25" i="1" l="1"/>
  <c r="D24" i="1"/>
  <c r="F24" i="1"/>
  <c r="E24" i="1"/>
  <c r="C26" i="1" l="1"/>
  <c r="E25" i="1"/>
  <c r="D25" i="1"/>
  <c r="F25" i="1"/>
  <c r="C27" i="1" l="1"/>
  <c r="F26" i="1"/>
  <c r="D26" i="1"/>
  <c r="E26" i="1"/>
  <c r="C28" i="1" l="1"/>
  <c r="E27" i="1"/>
  <c r="F27" i="1"/>
  <c r="D27" i="1"/>
  <c r="C29" i="1" l="1"/>
  <c r="D28" i="1"/>
  <c r="E28" i="1"/>
  <c r="F28" i="1"/>
  <c r="C30" i="1" l="1"/>
  <c r="E29" i="1"/>
  <c r="F29" i="1"/>
  <c r="D29" i="1"/>
  <c r="E30" i="1" l="1"/>
  <c r="F30" i="1"/>
  <c r="D30" i="1"/>
</calcChain>
</file>

<file path=xl/sharedStrings.xml><?xml version="1.0" encoding="utf-8"?>
<sst xmlns="http://schemas.openxmlformats.org/spreadsheetml/2006/main" count="25" uniqueCount="24">
  <si>
    <t>Coupon rate (CR)</t>
  </si>
  <si>
    <t>Payments per year (NOP)</t>
  </si>
  <si>
    <t>Principal (FACE)</t>
  </si>
  <si>
    <t>YTM</t>
  </si>
  <si>
    <t>Time-to-Maturity</t>
  </si>
  <si>
    <t>Duration</t>
  </si>
  <si>
    <t>Period</t>
  </si>
  <si>
    <t>Time (years)</t>
  </si>
  <si>
    <t>Cash Flow</t>
  </si>
  <si>
    <t>PV(CF)</t>
  </si>
  <si>
    <t>Time*Fraction</t>
  </si>
  <si>
    <t>Price</t>
  </si>
  <si>
    <t>Duration (brute force)</t>
  </si>
  <si>
    <t>Duration (formula)</t>
  </si>
  <si>
    <t>Annual Yield to maturity (YTM)</t>
  </si>
  <si>
    <t>Periods to maturity (TTM)</t>
  </si>
  <si>
    <t>Actual Price Change</t>
  </si>
  <si>
    <t>Prices and Yields</t>
  </si>
  <si>
    <t>Duration and Price Changes</t>
  </si>
  <si>
    <t>Modified Duration</t>
  </si>
  <si>
    <t>Change in YTM</t>
  </si>
  <si>
    <t>Yield</t>
  </si>
  <si>
    <t>Approximate Price Change</t>
  </si>
  <si>
    <t>Fraction of Total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</si>
</sst>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%"/>
    <numFmt numFmtId="165" formatCode="#,##0.000"/>
    <numFmt numFmtId="166" formatCode="#,##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Continuous"/>
    </xf>
    <xf numFmtId="8" fontId="0" fillId="0" borderId="0" xfId="0" applyNumberFormat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7F4C-8A3F-48B5-945E-FA569862B459}">
  <dimension ref="B1:H68"/>
  <sheetViews>
    <sheetView tabSelected="1" workbookViewId="0"/>
  </sheetViews>
  <sheetFormatPr defaultRowHeight="14.5" x14ac:dyDescent="0.35"/>
  <cols>
    <col min="1" max="1" width="2.6328125" customWidth="1"/>
    <col min="2" max="2" width="25" bestFit="1" customWidth="1"/>
    <col min="3" max="8" width="13" customWidth="1"/>
  </cols>
  <sheetData>
    <row r="1" spans="2:7" x14ac:dyDescent="0.35">
      <c r="B1" s="16" t="s">
        <v>17</v>
      </c>
    </row>
    <row r="2" spans="2:7" x14ac:dyDescent="0.35">
      <c r="B2" t="s">
        <v>0</v>
      </c>
      <c r="C2" s="20">
        <v>0.06</v>
      </c>
    </row>
    <row r="3" spans="2:7" x14ac:dyDescent="0.35">
      <c r="B3" t="s">
        <v>1</v>
      </c>
      <c r="C3" s="21">
        <v>2</v>
      </c>
    </row>
    <row r="4" spans="2:7" x14ac:dyDescent="0.35">
      <c r="B4" t="s">
        <v>2</v>
      </c>
      <c r="C4" s="21">
        <v>100</v>
      </c>
    </row>
    <row r="5" spans="2:7" x14ac:dyDescent="0.35">
      <c r="D5" s="2" t="s">
        <v>4</v>
      </c>
      <c r="E5" s="2"/>
      <c r="F5" s="2"/>
    </row>
    <row r="6" spans="2:7" x14ac:dyDescent="0.35">
      <c r="C6" s="18" t="s">
        <v>3</v>
      </c>
      <c r="D6" s="18">
        <v>8</v>
      </c>
      <c r="E6" s="18">
        <v>16</v>
      </c>
      <c r="F6" s="18">
        <v>40</v>
      </c>
    </row>
    <row r="7" spans="2:7" x14ac:dyDescent="0.35">
      <c r="C7" s="1">
        <f>0.005</f>
        <v>5.0000000000000001E-3</v>
      </c>
      <c r="D7" s="4">
        <f>-PV($C7/NOP,D$6,FACE*CR/NOP,FACE)</f>
        <v>121.75454840493165</v>
      </c>
      <c r="E7" s="5">
        <f>-PV($C7/NOP,E$6,FACE*CR/NOP,FACE)</f>
        <v>143.07886010413384</v>
      </c>
      <c r="F7" s="6">
        <f>-PV($C7/NOP,F$6,FACE*CR/NOP,FACE)</f>
        <v>204.55462423559726</v>
      </c>
      <c r="G7" t="str">
        <f ca="1">_xlfn.FORMULATEXT(F7)</f>
        <v>=-PV($C7/NOP,F$6,FACE*CR/NOP,FACE)</v>
      </c>
    </row>
    <row r="8" spans="2:7" x14ac:dyDescent="0.35">
      <c r="C8" s="1">
        <f>C7+0.005</f>
        <v>0.01</v>
      </c>
      <c r="D8" s="7">
        <f>-PV($C8/NOP,D$6,FACE*CR/NOP,FACE)</f>
        <v>119.55739809922599</v>
      </c>
      <c r="E8" s="8">
        <f>-PV($C8/NOP,E$6,FACE*CR/NOP,FACE)</f>
        <v>138.34981255762875</v>
      </c>
      <c r="F8" s="9">
        <f>-PV($C8/NOP,F$6,FACE*CR/NOP,FACE)</f>
        <v>190.43056966020518</v>
      </c>
    </row>
    <row r="9" spans="2:7" x14ac:dyDescent="0.35">
      <c r="C9" s="1">
        <f t="shared" ref="C9:C30" si="0">C8+0.005</f>
        <v>1.4999999999999999E-2</v>
      </c>
      <c r="D9" s="7">
        <f>-PV($C9/NOP,D$6,FACE*CR/NOP,FACE)</f>
        <v>117.40737980590401</v>
      </c>
      <c r="E9" s="8">
        <f>-PV($C9/NOP,E$6,FACE*CR/NOP,FACE)</f>
        <v>133.8047033727847</v>
      </c>
      <c r="F9" s="9">
        <f>-PV($C9/NOP,F$6,FACE*CR/NOP,FACE)</f>
        <v>177.50561149007291</v>
      </c>
    </row>
    <row r="10" spans="2:7" x14ac:dyDescent="0.35">
      <c r="C10" s="1">
        <f t="shared" si="0"/>
        <v>0.02</v>
      </c>
      <c r="D10" s="7">
        <f>-PV($C10/NOP,D$6,FACE*CR/NOP,FACE)</f>
        <v>115.30335550353757</v>
      </c>
      <c r="E10" s="8">
        <f>-PV($C10/NOP,E$6,FACE*CR/NOP,FACE)</f>
        <v>129.43574755873689</v>
      </c>
      <c r="F10" s="9">
        <f>-PV($C10/NOP,F$6,FACE*CR/NOP,FACE)</f>
        <v>165.66937222791239</v>
      </c>
    </row>
    <row r="11" spans="2:7" x14ac:dyDescent="0.35">
      <c r="C11" s="1">
        <f t="shared" si="0"/>
        <v>2.5000000000000001E-2</v>
      </c>
      <c r="D11" s="7">
        <f>-PV($C11/NOP,D$6,FACE*CR/NOP,FACE)</f>
        <v>113.24421751414602</v>
      </c>
      <c r="E11" s="8">
        <f>-PV($C11/NOP,E$6,FACE*CR/NOP,FACE)</f>
        <v>125.23551147427767</v>
      </c>
      <c r="F11" s="9">
        <f>-PV($C11/NOP,F$6,FACE*CR/NOP,FACE)</f>
        <v>154.82213303620551</v>
      </c>
    </row>
    <row r="12" spans="2:7" x14ac:dyDescent="0.35">
      <c r="C12" s="1">
        <f t="shared" si="0"/>
        <v>3.0000000000000002E-2</v>
      </c>
      <c r="D12" s="7">
        <f>-PV($C12/NOP,D$6,FACE*CR/NOP,FACE)</f>
        <v>111.22888761990126</v>
      </c>
      <c r="E12" s="8">
        <f>-PV($C12/NOP,E$6,FACE*CR/NOP,FACE)</f>
        <v>121.19689606799879</v>
      </c>
      <c r="F12" s="9">
        <f>-PV($C12/NOP,F$6,FACE*CR/NOP,FACE)</f>
        <v>144.87376780626153</v>
      </c>
    </row>
    <row r="13" spans="2:7" x14ac:dyDescent="0.35">
      <c r="C13" s="1">
        <f t="shared" si="0"/>
        <v>3.5000000000000003E-2</v>
      </c>
      <c r="D13" s="7">
        <f>-PV($C13/NOP,D$6,FACE*CR/NOP,FACE)</f>
        <v>109.25631620767767</v>
      </c>
      <c r="E13" s="8">
        <f>-PV($C13/NOP,E$6,FACE*CR/NOP,FACE)</f>
        <v>117.31312095904411</v>
      </c>
      <c r="F13" s="9">
        <f>-PV($C13/NOP,F$6,FACE*CR/NOP,FACE)</f>
        <v>135.74278693663399</v>
      </c>
    </row>
    <row r="14" spans="2:7" x14ac:dyDescent="0.35">
      <c r="C14" s="1">
        <f t="shared" si="0"/>
        <v>0.04</v>
      </c>
      <c r="D14" s="7">
        <f>-PV($C14/NOP,D$6,FACE*CR/NOP,FACE)</f>
        <v>107.32548144049441</v>
      </c>
      <c r="E14" s="8">
        <f>-PV($C14/NOP,E$6,FACE*CR/NOP,FACE)</f>
        <v>113.57770931428827</v>
      </c>
      <c r="F14" s="9">
        <f>-PV($C14/NOP,F$6,FACE*CR/NOP,FACE)</f>
        <v>127.35547924073818</v>
      </c>
    </row>
    <row r="15" spans="2:7" x14ac:dyDescent="0.35">
      <c r="C15" s="1">
        <f t="shared" si="0"/>
        <v>4.4999999999999998E-2</v>
      </c>
      <c r="D15" s="7">
        <f>-PV($C15/NOP,D$6,FACE*CR/NOP,FACE)</f>
        <v>105.4353884549457</v>
      </c>
      <c r="E15" s="8">
        <f>-PV($C15/NOP,E$6,FACE*CR/NOP,FACE)</f>
        <v>109.98447348020669</v>
      </c>
      <c r="F15" s="9">
        <f>-PV($C15/NOP,F$6,FACE*CR/NOP,FACE)</f>
        <v>119.64514165431029</v>
      </c>
    </row>
    <row r="16" spans="2:7" x14ac:dyDescent="0.35">
      <c r="C16" s="1">
        <f t="shared" si="0"/>
        <v>4.9999999999999996E-2</v>
      </c>
      <c r="D16" s="7">
        <f>-PV($C16/NOP,D$6,FACE*CR/NOP,FACE)</f>
        <v>103.58506858373816</v>
      </c>
      <c r="E16" s="8">
        <f>-PV($C16/NOP,E$6,FACE*CR/NOP,FACE)</f>
        <v>106.527501329971</v>
      </c>
      <c r="F16" s="9">
        <f>-PV($C16/NOP,F$6,FACE*CR/NOP,FACE)</f>
        <v>112.5513875260439</v>
      </c>
    </row>
    <row r="17" spans="2:6" x14ac:dyDescent="0.35">
      <c r="C17" s="1">
        <f t="shared" si="0"/>
        <v>5.4999999999999993E-2</v>
      </c>
      <c r="D17" s="7">
        <f>-PV($C17/NOP,D$6,FACE*CR/NOP,FACE)</f>
        <v>101.77357860249342</v>
      </c>
      <c r="E17" s="8">
        <f>-PV($C17/NOP,E$6,FACE*CR/NOP,FACE)</f>
        <v>103.20114328847238</v>
      </c>
      <c r="F17" s="9">
        <f>-PV($C17/NOP,F$6,FACE*CR/NOP,FACE)</f>
        <v>106.01952526501199</v>
      </c>
    </row>
    <row r="18" spans="2:6" x14ac:dyDescent="0.35">
      <c r="C18" s="1">
        <f t="shared" si="0"/>
        <v>5.9999999999999991E-2</v>
      </c>
      <c r="D18" s="7">
        <f>-PV($C18/NOP,D$6,FACE*CR/NOP,FACE)</f>
        <v>100</v>
      </c>
      <c r="E18" s="8">
        <f>-PV($C18/NOP,E$6,FACE*CR/NOP,FACE)</f>
        <v>100.00000000000001</v>
      </c>
      <c r="F18" s="9">
        <f>-PV($C18/NOP,F$6,FACE*CR/NOP,FACE)</f>
        <v>100</v>
      </c>
    </row>
    <row r="19" spans="2:6" x14ac:dyDescent="0.35">
      <c r="C19" s="1">
        <f t="shared" si="0"/>
        <v>6.4999999999999988E-2</v>
      </c>
      <c r="D19" s="7">
        <f>-PV($C19/NOP,D$6,FACE*CR/NOP,FACE)</f>
        <v>98.263438271129658</v>
      </c>
      <c r="E19" s="8">
        <f>-PV($C19/NOP,E$6,FACE*CR/NOP,FACE)</f>
        <v>96.918910605222337</v>
      </c>
      <c r="F19" s="9">
        <f>-PV($C19/NOP,F$6,FACE*CR/NOP,FACE)</f>
        <v>94.447891690873405</v>
      </c>
    </row>
    <row r="20" spans="2:6" x14ac:dyDescent="0.35">
      <c r="C20" s="1">
        <f t="shared" si="0"/>
        <v>6.9999999999999993E-2</v>
      </c>
      <c r="D20" s="7">
        <f>-PV($C20/NOP,D$6,FACE*CR/NOP,FACE)</f>
        <v>96.563022231660725</v>
      </c>
      <c r="E20" s="8">
        <f>-PV($C20/NOP,E$6,FACE*CR/NOP,FACE)</f>
        <v>93.952941595925537</v>
      </c>
      <c r="F20" s="9">
        <f>-PV($C20/NOP,F$6,FACE*CR/NOP,FACE)</f>
        <v>89.322463831351257</v>
      </c>
    </row>
    <row r="21" spans="2:6" x14ac:dyDescent="0.35">
      <c r="C21" s="1">
        <f t="shared" si="0"/>
        <v>7.4999999999999997E-2</v>
      </c>
      <c r="D21" s="7">
        <f>-PV($C21/NOP,D$6,FACE*CR/NOP,FACE)</f>
        <v>94.897903354278654</v>
      </c>
      <c r="E21" s="8">
        <f>-PV($C21/NOP,E$6,FACE*CR/NOP,FACE)</f>
        <v>91.097376217671354</v>
      </c>
      <c r="F21" s="9">
        <f>-PV($C21/NOP,F$6,FACE*CR/NOP,FACE)</f>
        <v>84.586757505620014</v>
      </c>
    </row>
    <row r="22" spans="2:6" x14ac:dyDescent="0.35">
      <c r="C22" s="1">
        <f t="shared" si="0"/>
        <v>0.08</v>
      </c>
      <c r="D22" s="7">
        <f>-PV($C22/NOP,D$6,FACE*CR/NOP,FACE)</f>
        <v>93.267255125049587</v>
      </c>
      <c r="E22" s="8">
        <f>-PV($C22/NOP,E$6,FACE*CR/NOP,FACE)</f>
        <v>88.347704392146028</v>
      </c>
      <c r="F22" s="9">
        <f>-PV($C22/NOP,F$6,FACE*CR/NOP,FACE)</f>
        <v>80.207226116573523</v>
      </c>
    </row>
    <row r="23" spans="2:6" x14ac:dyDescent="0.35">
      <c r="C23" s="1">
        <f t="shared" si="0"/>
        <v>8.5000000000000006E-2</v>
      </c>
      <c r="D23" s="7">
        <f>-PV($C23/NOP,D$6,FACE*CR/NOP,FACE)</f>
        <v>91.670272419687734</v>
      </c>
      <c r="E23" s="8">
        <f>-PV($C23/NOP,E$6,FACE*CR/NOP,FACE)</f>
        <v>85.699613132490782</v>
      </c>
      <c r="F23" s="9">
        <f>-PV($C23/NOP,F$6,FACE*CR/NOP,FACE)</f>
        <v>76.153406598615845</v>
      </c>
    </row>
    <row r="24" spans="2:6" x14ac:dyDescent="0.35">
      <c r="C24" s="1">
        <f t="shared" si="0"/>
        <v>9.0000000000000011E-2</v>
      </c>
      <c r="D24" s="7">
        <f>-PV($C24/NOP,D$6,FACE*CR/NOP,FACE)</f>
        <v>90.106170898961935</v>
      </c>
      <c r="E24" s="8">
        <f>-PV($C24/NOP,E$6,FACE*CR/NOP,FACE)</f>
        <v>83.148977426340281</v>
      </c>
      <c r="F24" s="9">
        <f>-PV($C24/NOP,F$6,FACE*CR/NOP,FACE)</f>
        <v>72.39762336958033</v>
      </c>
    </row>
    <row r="25" spans="2:6" x14ac:dyDescent="0.35">
      <c r="C25" s="1">
        <f t="shared" si="0"/>
        <v>9.5000000000000015E-2</v>
      </c>
      <c r="D25" s="7">
        <f>-PV($C25/NOP,D$6,FACE*CR/NOP,FACE)</f>
        <v>88.574186422609358</v>
      </c>
      <c r="E25" s="8">
        <f>-PV($C25/NOP,E$6,FACE*CR/NOP,FACE)</f>
        <v>80.691851562647855</v>
      </c>
      <c r="F25" s="9">
        <f>-PV($C25/NOP,F$6,FACE*CR/NOP,FACE)</f>
        <v>68.914721670304914</v>
      </c>
    </row>
    <row r="26" spans="2:6" x14ac:dyDescent="0.35">
      <c r="C26" s="1">
        <f t="shared" si="0"/>
        <v>0.10000000000000002</v>
      </c>
      <c r="D26" s="7">
        <f>-PV($C26/NOP,D$6,FACE*CR/NOP,FACE)</f>
        <v>87.073574481147475</v>
      </c>
      <c r="E26" s="8">
        <f>-PV($C26/NOP,E$6,FACE*CR/NOP,FACE)</f>
        <v>78.324460879656016</v>
      </c>
      <c r="F26" s="9">
        <f>-PV($C26/NOP,F$6,FACE*CR/NOP,FACE)</f>
        <v>65.681827292011107</v>
      </c>
    </row>
    <row r="27" spans="2:6" x14ac:dyDescent="0.35">
      <c r="C27" s="1">
        <f t="shared" si="0"/>
        <v>0.10500000000000002</v>
      </c>
      <c r="D27" s="7">
        <f>-PV($C27/NOP,D$6,FACE*CR/NOP,FACE)</f>
        <v>85.603609644995132</v>
      </c>
      <c r="E27" s="8">
        <f>-PV($C27/NOP,E$6,FACE*CR/NOP,FACE)</f>
        <v>76.043193912576086</v>
      </c>
      <c r="F27" s="9">
        <f>-PV($C27/NOP,F$6,FACE*CR/NOP,FACE)</f>
        <v>62.678130005512621</v>
      </c>
    </row>
    <row r="28" spans="2:6" x14ac:dyDescent="0.35">
      <c r="C28" s="1">
        <f t="shared" si="0"/>
        <v>0.11000000000000003</v>
      </c>
      <c r="D28" s="7">
        <f>-PV($C28/NOP,D$6,FACE*CR/NOP,FACE)</f>
        <v>84.163585030336932</v>
      </c>
      <c r="E28" s="8">
        <f>-PV($C28/NOP,E$6,FACE*CR/NOP,FACE)</f>
        <v>73.844594920683946</v>
      </c>
      <c r="F28" s="9">
        <f>-PV($C28/NOP,F$6,FACE*CR/NOP,FACE)</f>
        <v>59.884688286569656</v>
      </c>
    </row>
    <row r="29" spans="2:6" x14ac:dyDescent="0.35">
      <c r="C29" s="1">
        <f t="shared" si="0"/>
        <v>0.11500000000000003</v>
      </c>
      <c r="D29" s="7">
        <f>-PV($C29/NOP,D$6,FACE*CR/NOP,FACE)</f>
        <v>82.75281178118216</v>
      </c>
      <c r="E29" s="8">
        <f>-PV($C29/NOP,E$6,FACE*CR/NOP,FACE)</f>
        <v>71.725356774612109</v>
      </c>
      <c r="F29" s="9">
        <f>-PV($C29/NOP,F$6,FACE*CR/NOP,FACE)</f>
        <v>57.284253182069484</v>
      </c>
    </row>
    <row r="30" spans="2:6" x14ac:dyDescent="0.35">
      <c r="C30" s="1">
        <f t="shared" si="0"/>
        <v>0.12000000000000004</v>
      </c>
      <c r="D30" s="10">
        <f>-PV($C30/NOP,D$6,FACE*CR/NOP,FACE)</f>
        <v>81.370618567091327</v>
      </c>
      <c r="E30" s="11">
        <f>-PV($C30/NOP,E$6,FACE*CR/NOP,FACE)</f>
        <v>69.682314185638688</v>
      </c>
      <c r="F30" s="12">
        <f>-PV($C30/NOP,F$6,FACE*CR/NOP,FACE)</f>
        <v>54.861109385425266</v>
      </c>
    </row>
    <row r="32" spans="2:6" x14ac:dyDescent="0.35">
      <c r="B32" s="16" t="s">
        <v>5</v>
      </c>
    </row>
    <row r="33" spans="2:8" x14ac:dyDescent="0.35">
      <c r="B33" t="s">
        <v>14</v>
      </c>
      <c r="C33" s="20">
        <v>0.05</v>
      </c>
    </row>
    <row r="34" spans="2:8" x14ac:dyDescent="0.35">
      <c r="B34" t="s">
        <v>15</v>
      </c>
      <c r="C34" s="21">
        <v>8</v>
      </c>
    </row>
    <row r="36" spans="2:8" ht="29" x14ac:dyDescent="0.35">
      <c r="C36" s="18" t="s">
        <v>6</v>
      </c>
      <c r="D36" s="18" t="s">
        <v>7</v>
      </c>
      <c r="E36" s="18" t="s">
        <v>8</v>
      </c>
      <c r="F36" s="18" t="s">
        <v>9</v>
      </c>
      <c r="G36" s="19" t="s">
        <v>23</v>
      </c>
      <c r="H36" s="18" t="s">
        <v>10</v>
      </c>
    </row>
    <row r="37" spans="2:8" x14ac:dyDescent="0.35">
      <c r="C37">
        <v>1</v>
      </c>
      <c r="D37">
        <f>C37/NOP</f>
        <v>0.5</v>
      </c>
      <c r="E37">
        <f>CR*FACE/NOP+IF(C37=$C$34,FACE,0)</f>
        <v>3</v>
      </c>
      <c r="F37" s="13">
        <f>E37/(1+YTM/NOP)^C37</f>
        <v>2.9268292682926833</v>
      </c>
      <c r="G37" s="14">
        <f>F37/$F$46</f>
        <v>2.8255320079521241E-2</v>
      </c>
      <c r="H37" s="15">
        <f>D37*G37</f>
        <v>1.412766003976062E-2</v>
      </c>
    </row>
    <row r="38" spans="2:8" x14ac:dyDescent="0.35">
      <c r="C38">
        <v>2</v>
      </c>
      <c r="D38">
        <f>C38/NOP</f>
        <v>1</v>
      </c>
      <c r="E38">
        <f>CR*FACE/NOP+IF(C38=$C$34,FACE,0)</f>
        <v>3</v>
      </c>
      <c r="F38" s="13">
        <f>E38/(1+YTM/NOP)^C38</f>
        <v>2.8554431885782274</v>
      </c>
      <c r="G38" s="14">
        <f t="shared" ref="G38:G44" si="1">F38/$F$46</f>
        <v>2.7566165931240231E-2</v>
      </c>
      <c r="H38" s="15">
        <f t="shared" ref="H38:H44" si="2">D38*G38</f>
        <v>2.7566165931240231E-2</v>
      </c>
    </row>
    <row r="39" spans="2:8" x14ac:dyDescent="0.35">
      <c r="C39">
        <v>3</v>
      </c>
      <c r="D39">
        <f>C39/NOP</f>
        <v>1.5</v>
      </c>
      <c r="E39">
        <f>CR*FACE/NOP+IF(C39=$C$34,FACE,0)</f>
        <v>3</v>
      </c>
      <c r="F39" s="13">
        <f>E39/(1+YTM/NOP)^C39</f>
        <v>2.7857982327592463</v>
      </c>
      <c r="G39" s="14">
        <f t="shared" si="1"/>
        <v>2.6893820420722178E-2</v>
      </c>
      <c r="H39" s="15">
        <f t="shared" si="2"/>
        <v>4.0340730631083267E-2</v>
      </c>
    </row>
    <row r="40" spans="2:8" x14ac:dyDescent="0.35">
      <c r="C40">
        <v>4</v>
      </c>
      <c r="D40">
        <f>C40/NOP</f>
        <v>2</v>
      </c>
      <c r="E40">
        <f>CR*FACE/NOP+IF(C40=$C$34,FACE,0)</f>
        <v>3</v>
      </c>
      <c r="F40" s="13">
        <f>E40/(1+YTM/NOP)^C40</f>
        <v>2.7178519343992651</v>
      </c>
      <c r="G40" s="14">
        <f t="shared" si="1"/>
        <v>2.6237873581192374E-2</v>
      </c>
      <c r="H40" s="15">
        <f t="shared" si="2"/>
        <v>5.2475747162384748E-2</v>
      </c>
    </row>
    <row r="41" spans="2:8" x14ac:dyDescent="0.35">
      <c r="C41">
        <v>5</v>
      </c>
      <c r="D41">
        <f>C41/NOP</f>
        <v>2.5</v>
      </c>
      <c r="E41">
        <f>CR*FACE/NOP+IF(C41=$C$34,FACE,0)</f>
        <v>3</v>
      </c>
      <c r="F41" s="13">
        <f>E41/(1+YTM/NOP)^C41</f>
        <v>2.6515628628285515</v>
      </c>
      <c r="G41" s="14">
        <f t="shared" si="1"/>
        <v>2.5597925445065731E-2</v>
      </c>
      <c r="H41" s="15">
        <f t="shared" si="2"/>
        <v>6.3994813612664334E-2</v>
      </c>
    </row>
    <row r="42" spans="2:8" x14ac:dyDescent="0.35">
      <c r="C42">
        <v>6</v>
      </c>
      <c r="D42">
        <f>C42/NOP</f>
        <v>3</v>
      </c>
      <c r="E42">
        <f>CR*FACE/NOP+IF(C42=$C$34,FACE,0)</f>
        <v>3</v>
      </c>
      <c r="F42" s="13">
        <f>E42/(1+YTM/NOP)^C42</f>
        <v>2.586890597881514</v>
      </c>
      <c r="G42" s="14">
        <f t="shared" si="1"/>
        <v>2.4973585800064133E-2</v>
      </c>
      <c r="H42" s="15">
        <f t="shared" si="2"/>
        <v>7.4920757400192398E-2</v>
      </c>
    </row>
    <row r="43" spans="2:8" x14ac:dyDescent="0.35">
      <c r="C43">
        <v>7</v>
      </c>
      <c r="D43">
        <f>C43/NOP</f>
        <v>3.5</v>
      </c>
      <c r="E43">
        <f>CR*FACE/NOP+IF(C43=$C$34,FACE,0)</f>
        <v>3</v>
      </c>
      <c r="F43" s="13">
        <f>E43/(1+YTM/NOP)^C43</f>
        <v>2.5237957052502571</v>
      </c>
      <c r="G43" s="14">
        <f t="shared" si="1"/>
        <v>2.4364473951282075E-2</v>
      </c>
      <c r="H43" s="15">
        <f t="shared" si="2"/>
        <v>8.5275658829487261E-2</v>
      </c>
    </row>
    <row r="44" spans="2:8" x14ac:dyDescent="0.35">
      <c r="C44">
        <v>8</v>
      </c>
      <c r="D44">
        <f>C44/NOP</f>
        <v>4</v>
      </c>
      <c r="E44">
        <f>CR*FACE/NOP+IF(C44=$C$34,FACE,0)</f>
        <v>103</v>
      </c>
      <c r="F44" s="13">
        <f>E44/(1+YTM/NOP)^C44</f>
        <v>84.536896793748468</v>
      </c>
      <c r="G44" s="14">
        <f t="shared" si="1"/>
        <v>0.81611083479091195</v>
      </c>
      <c r="H44" s="15">
        <f t="shared" si="2"/>
        <v>3.2644433391636478</v>
      </c>
    </row>
    <row r="45" spans="2:8" x14ac:dyDescent="0.35">
      <c r="G45" s="14"/>
    </row>
    <row r="46" spans="2:8" x14ac:dyDescent="0.35">
      <c r="E46" t="s">
        <v>11</v>
      </c>
      <c r="F46" s="13">
        <f>SUM(F37:F44)</f>
        <v>103.58506858373822</v>
      </c>
      <c r="G46" s="14" t="str">
        <f ca="1">_xlfn.FORMULATEXT(F46)</f>
        <v>=SUM(F37:F44)</v>
      </c>
      <c r="H46" s="13"/>
    </row>
    <row r="48" spans="2:8" x14ac:dyDescent="0.35">
      <c r="B48" t="s">
        <v>12</v>
      </c>
      <c r="C48" s="13">
        <f>SUM(H37:H44)</f>
        <v>3.6231448727704607</v>
      </c>
      <c r="D48" t="str">
        <f ca="1">_xlfn.FORMULATEXT(C48)</f>
        <v>=SUM(H37:H44)</v>
      </c>
    </row>
    <row r="49" spans="2:8" x14ac:dyDescent="0.35">
      <c r="B49" t="s">
        <v>13</v>
      </c>
      <c r="C49" s="13">
        <f ca="1">DURATION(TODAY(),EDATE(TODAY(),12*C34/NOP),CR,YTM,NOP)</f>
        <v>3.6231448727704612</v>
      </c>
      <c r="D49" t="str">
        <f ca="1">_xlfn.FORMULATEXT(C49)</f>
        <v>=DURATION(TODAY(),EDATE(TODAY(),12*C34/NOP),CR,YTM,NOP)</v>
      </c>
    </row>
    <row r="52" spans="2:8" x14ac:dyDescent="0.35">
      <c r="B52" s="16" t="s">
        <v>18</v>
      </c>
    </row>
    <row r="53" spans="2:8" x14ac:dyDescent="0.35">
      <c r="B53" t="s">
        <v>19</v>
      </c>
      <c r="C53" s="13">
        <f ca="1">C49/(1+YTM/NOP)</f>
        <v>3.5347754856297184</v>
      </c>
      <c r="D53" t="str">
        <f ca="1">_xlfn.FORMULATEXT(C53)</f>
        <v>=C49/(1+YTM/NOP)</v>
      </c>
    </row>
    <row r="55" spans="2:8" ht="29" x14ac:dyDescent="0.35">
      <c r="C55" s="18" t="s">
        <v>20</v>
      </c>
      <c r="D55" s="18" t="s">
        <v>21</v>
      </c>
      <c r="E55" s="18" t="s">
        <v>11</v>
      </c>
      <c r="F55" s="19" t="s">
        <v>16</v>
      </c>
      <c r="G55" s="19" t="s">
        <v>22</v>
      </c>
    </row>
    <row r="56" spans="2:8" x14ac:dyDescent="0.35">
      <c r="C56" s="1">
        <f>-2%</f>
        <v>-0.02</v>
      </c>
      <c r="D56" s="1">
        <f>YTM+C56</f>
        <v>3.0000000000000002E-2</v>
      </c>
      <c r="E56" s="3">
        <f>-PV(D56/NOP,TTM,$E$37,FACE)</f>
        <v>111.22888761990126</v>
      </c>
      <c r="F56" s="1">
        <f>E56/E$60-1</f>
        <v>7.3792672444714658E-2</v>
      </c>
      <c r="G56" s="1">
        <f ca="1">-$C$53*C56</f>
        <v>7.0695509712594376E-2</v>
      </c>
    </row>
    <row r="57" spans="2:8" x14ac:dyDescent="0.35">
      <c r="C57" s="1">
        <f>C56+0.5%</f>
        <v>-1.4999999999999999E-2</v>
      </c>
      <c r="D57" s="1">
        <f>YTM+C57</f>
        <v>3.5000000000000003E-2</v>
      </c>
      <c r="E57" s="3">
        <f>-PV(D57/NOP,TTM,$E$37,FACE)</f>
        <v>109.25631620767767</v>
      </c>
      <c r="F57" s="1">
        <f t="shared" ref="F57:F65" si="3">E57/E$60-1</f>
        <v>5.4749663262083637E-2</v>
      </c>
      <c r="G57" s="1">
        <f t="shared" ref="G57:G64" ca="1" si="4">-$C$53*C57</f>
        <v>5.3021632284445772E-2</v>
      </c>
    </row>
    <row r="58" spans="2:8" x14ac:dyDescent="0.35">
      <c r="C58" s="1">
        <f t="shared" ref="C58:C64" si="5">C57+0.5%</f>
        <v>-9.9999999999999985E-3</v>
      </c>
      <c r="D58" s="1">
        <f>YTM+C58</f>
        <v>4.0000000000000008E-2</v>
      </c>
      <c r="E58" s="3">
        <f>-PV(D58/NOP,TTM,$E$37,FACE)</f>
        <v>107.32548144049441</v>
      </c>
      <c r="F58" s="1">
        <f t="shared" si="3"/>
        <v>3.6109575519878145E-2</v>
      </c>
      <c r="G58" s="1">
        <f t="shared" ca="1" si="4"/>
        <v>3.5347754856297181E-2</v>
      </c>
    </row>
    <row r="59" spans="2:8" x14ac:dyDescent="0.35">
      <c r="C59" s="1">
        <f t="shared" si="5"/>
        <v>-4.9999999999999984E-3</v>
      </c>
      <c r="D59" s="1">
        <f>YTM+C59</f>
        <v>4.5000000000000005E-2</v>
      </c>
      <c r="E59" s="3">
        <f>-PV(D59/NOP,TTM,$E$37,FACE)</f>
        <v>105.4353884549457</v>
      </c>
      <c r="F59" s="1">
        <f t="shared" si="3"/>
        <v>1.7862804905242946E-2</v>
      </c>
      <c r="G59" s="1">
        <f t="shared" ca="1" si="4"/>
        <v>1.7673877428148587E-2</v>
      </c>
    </row>
    <row r="60" spans="2:8" x14ac:dyDescent="0.35">
      <c r="C60" s="1">
        <f t="shared" si="5"/>
        <v>0</v>
      </c>
      <c r="D60" s="1">
        <f>YTM+C60</f>
        <v>0.05</v>
      </c>
      <c r="E60" s="3">
        <f>-PV(D60/NOP,TTM,$E$37,FACE)</f>
        <v>103.58506858373816</v>
      </c>
      <c r="F60" s="1">
        <f t="shared" si="3"/>
        <v>0</v>
      </c>
      <c r="G60" s="1">
        <f t="shared" ca="1" si="4"/>
        <v>0</v>
      </c>
    </row>
    <row r="61" spans="2:8" x14ac:dyDescent="0.35">
      <c r="C61" s="1">
        <f t="shared" si="5"/>
        <v>5.0000000000000001E-3</v>
      </c>
      <c r="D61" s="1">
        <f>YTM+C61</f>
        <v>5.5E-2</v>
      </c>
      <c r="E61" s="3">
        <f>-PV(D61/NOP,TTM,$E$37,FACE)</f>
        <v>101.77357860249342</v>
      </c>
      <c r="F61" s="1">
        <f t="shared" si="3"/>
        <v>-1.7487944990646431E-2</v>
      </c>
      <c r="G61" s="1">
        <f t="shared" ca="1" si="4"/>
        <v>-1.7673877428148594E-2</v>
      </c>
    </row>
    <row r="62" spans="2:8" x14ac:dyDescent="0.35">
      <c r="C62" s="1">
        <f t="shared" si="5"/>
        <v>0.01</v>
      </c>
      <c r="D62" s="1">
        <f>YTM+C62</f>
        <v>6.0000000000000005E-2</v>
      </c>
      <c r="E62" s="3">
        <f>-PV(D62/NOP,TTM,$E$37,FACE)</f>
        <v>100</v>
      </c>
      <c r="F62" s="1">
        <f t="shared" si="3"/>
        <v>-3.4609897283023883E-2</v>
      </c>
      <c r="G62" s="1">
        <f t="shared" ca="1" si="4"/>
        <v>-3.5347754856297188E-2</v>
      </c>
    </row>
    <row r="63" spans="2:8" x14ac:dyDescent="0.35">
      <c r="C63" s="1">
        <f t="shared" si="5"/>
        <v>1.4999999999999999E-2</v>
      </c>
      <c r="D63" s="1">
        <f>YTM+C63</f>
        <v>6.5000000000000002E-2</v>
      </c>
      <c r="E63" s="3">
        <f>-PV(D63/NOP,TTM,$E$37,FACE)</f>
        <v>98.263438271129644</v>
      </c>
      <c r="F63" s="1">
        <f t="shared" si="3"/>
        <v>-5.1374492341109135E-2</v>
      </c>
      <c r="G63" s="1">
        <f t="shared" ca="1" si="4"/>
        <v>-5.3021632284445772E-2</v>
      </c>
    </row>
    <row r="64" spans="2:8" x14ac:dyDescent="0.35">
      <c r="C64" s="1">
        <f t="shared" si="5"/>
        <v>0.02</v>
      </c>
      <c r="D64" s="1">
        <f>YTM+C64</f>
        <v>7.0000000000000007E-2</v>
      </c>
      <c r="E64" s="3">
        <f>-PV(D64/NOP,TTM,$E$37,FACE)</f>
        <v>96.563022231660725</v>
      </c>
      <c r="F64" s="1">
        <f t="shared" si="3"/>
        <v>-6.7790140491154061E-2</v>
      </c>
      <c r="G64" s="1">
        <f t="shared" ca="1" si="4"/>
        <v>-7.0695509712594376E-2</v>
      </c>
      <c r="H64" t="str">
        <f ca="1">_xlfn.FORMULATEXT(G64)</f>
        <v>=-$C$53*C64</v>
      </c>
    </row>
    <row r="65" spans="3:6" x14ac:dyDescent="0.35">
      <c r="C65" s="17"/>
      <c r="E65" s="3" t="str">
        <f ca="1">_xlfn.FORMULATEXT(E64)</f>
        <v>=-PV(D64/NOP,TTM,$E$37,FACE)</v>
      </c>
    </row>
    <row r="66" spans="3:6" x14ac:dyDescent="0.35">
      <c r="C66" s="17"/>
      <c r="F66" s="1" t="str">
        <f ca="1">_xlfn.FORMULATEXT(F64)</f>
        <v>=E64/E$60-1</v>
      </c>
    </row>
    <row r="67" spans="3:6" x14ac:dyDescent="0.35">
      <c r="C67" s="17"/>
    </row>
    <row r="68" spans="3:6" x14ac:dyDescent="0.35">
      <c r="C6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Duration</vt:lpstr>
      <vt:lpstr>CR</vt:lpstr>
      <vt:lpstr>FACE</vt:lpstr>
      <vt:lpstr>NOP</vt:lpstr>
      <vt:lpstr>TTM</vt:lpstr>
      <vt:lpstr>YTM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Crotty</dc:creator>
  <cp:lastModifiedBy>Kevin Crotty</cp:lastModifiedBy>
  <dcterms:created xsi:type="dcterms:W3CDTF">2024-04-02T02:12:56Z</dcterms:created>
  <dcterms:modified xsi:type="dcterms:W3CDTF">2024-04-02T02:58:08Z</dcterms:modified>
</cp:coreProperties>
</file>