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si448\excel\"/>
    </mc:Choice>
  </mc:AlternateContent>
  <xr:revisionPtr revIDLastSave="0" documentId="13_ncr:1_{814380CC-E6FF-493F-BFD8-5D2E54CA3B1A}" xr6:coauthVersionLast="47" xr6:coauthVersionMax="47" xr10:uidLastSave="{00000000-0000-0000-0000-000000000000}"/>
  <bookViews>
    <workbookView xWindow="51480" yWindow="-120" windowWidth="18240" windowHeight="28440" xr2:uid="{5848BE99-6E0D-4909-AB0F-14A0FC8BB61A}"/>
  </bookViews>
  <sheets>
    <sheet name="Duration &amp; Convexity" sheetId="1" r:id="rId1"/>
  </sheets>
  <definedNames>
    <definedName name="CR">'Duration &amp; Convexity'!$C$2</definedName>
    <definedName name="FACE">'Duration &amp; Convexity'!$C$4</definedName>
    <definedName name="NOP">'Duration &amp; Convexity'!$C$3</definedName>
    <definedName name="TTM">'Duration &amp; Convexity'!$C$6</definedName>
    <definedName name="YTM">'Duration &amp; Convexity'!$C$5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6" i="1"/>
  <c r="C45" i="1"/>
  <c r="C44" i="1"/>
  <c r="C43" i="1"/>
  <c r="I10" i="1"/>
  <c r="I11" i="1"/>
  <c r="I12" i="1"/>
  <c r="I13" i="1"/>
  <c r="I14" i="1"/>
  <c r="I15" i="1"/>
  <c r="I16" i="1"/>
  <c r="I9" i="1"/>
  <c r="C29" i="1"/>
  <c r="D29" i="1" s="1"/>
  <c r="D49" i="1"/>
  <c r="D48" i="1"/>
  <c r="I37" i="1"/>
  <c r="D23" i="1"/>
  <c r="I17" i="1"/>
  <c r="G18" i="1"/>
  <c r="E38" i="1"/>
  <c r="F39" i="1"/>
  <c r="C30" i="1" l="1"/>
  <c r="C21" i="1"/>
  <c r="C26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9" i="1"/>
  <c r="D10" i="1"/>
  <c r="D11" i="1"/>
  <c r="D12" i="1"/>
  <c r="D13" i="1"/>
  <c r="D14" i="1"/>
  <c r="D15" i="1"/>
  <c r="D16" i="1"/>
  <c r="D9" i="1"/>
  <c r="D26" i="1"/>
  <c r="D21" i="1"/>
  <c r="D20" i="1"/>
  <c r="D30" i="1" l="1"/>
  <c r="E30" i="1" s="1"/>
  <c r="C31" i="1"/>
  <c r="E29" i="1"/>
  <c r="G29" i="1"/>
  <c r="G30" i="1"/>
  <c r="G31" i="1"/>
  <c r="F9" i="1"/>
  <c r="C32" i="1" l="1"/>
  <c r="D31" i="1"/>
  <c r="E31" i="1" s="1"/>
  <c r="F18" i="1"/>
  <c r="C33" i="1" l="1"/>
  <c r="D32" i="1"/>
  <c r="E32" i="1" s="1"/>
  <c r="G32" i="1"/>
  <c r="G16" i="1"/>
  <c r="H16" i="1" s="1"/>
  <c r="G10" i="1"/>
  <c r="H10" i="1" s="1"/>
  <c r="G12" i="1"/>
  <c r="H12" i="1" s="1"/>
  <c r="G11" i="1"/>
  <c r="H11" i="1" s="1"/>
  <c r="G15" i="1"/>
  <c r="H15" i="1" s="1"/>
  <c r="G13" i="1"/>
  <c r="H13" i="1" s="1"/>
  <c r="G14" i="1"/>
  <c r="H14" i="1" s="1"/>
  <c r="G9" i="1"/>
  <c r="H9" i="1" l="1"/>
  <c r="C23" i="1"/>
  <c r="C20" i="1"/>
  <c r="C34" i="1"/>
  <c r="D33" i="1"/>
  <c r="E33" i="1" s="1"/>
  <c r="G33" i="1"/>
  <c r="H29" i="1" l="1"/>
  <c r="H34" i="1"/>
  <c r="H30" i="1"/>
  <c r="H31" i="1"/>
  <c r="H32" i="1"/>
  <c r="H33" i="1"/>
  <c r="H35" i="1"/>
  <c r="F33" i="1"/>
  <c r="F30" i="1"/>
  <c r="F29" i="1"/>
  <c r="F31" i="1"/>
  <c r="F32" i="1"/>
  <c r="C35" i="1"/>
  <c r="D34" i="1"/>
  <c r="E34" i="1" s="1"/>
  <c r="F34" i="1" s="1"/>
  <c r="G34" i="1"/>
  <c r="C36" i="1" l="1"/>
  <c r="H36" i="1" s="1"/>
  <c r="D35" i="1"/>
  <c r="E35" i="1" s="1"/>
  <c r="F35" i="1" s="1"/>
  <c r="G35" i="1"/>
  <c r="C37" i="1" l="1"/>
  <c r="H37" i="1" s="1"/>
  <c r="D36" i="1"/>
  <c r="E36" i="1" s="1"/>
  <c r="F36" i="1" s="1"/>
  <c r="G36" i="1"/>
  <c r="D37" i="1" l="1"/>
  <c r="E37" i="1" s="1"/>
  <c r="F37" i="1" s="1"/>
  <c r="G37" i="1"/>
</calcChain>
</file>

<file path=xl/sharedStrings.xml><?xml version="1.0" encoding="utf-8"?>
<sst xmlns="http://schemas.openxmlformats.org/spreadsheetml/2006/main" count="32" uniqueCount="29">
  <si>
    <t>Coupon rate (CR)</t>
  </si>
  <si>
    <t>Payments per year (NOP)</t>
  </si>
  <si>
    <t>Principal (FACE)</t>
  </si>
  <si>
    <t>Period</t>
  </si>
  <si>
    <t>Time (years)</t>
  </si>
  <si>
    <t>Cash Flow</t>
  </si>
  <si>
    <t>PV(CF)</t>
  </si>
  <si>
    <t>Time*Fraction</t>
  </si>
  <si>
    <t>Price</t>
  </si>
  <si>
    <t>Duration (brute force)</t>
  </si>
  <si>
    <t>Duration (formula)</t>
  </si>
  <si>
    <t>Annual Yield to maturity (YTM)</t>
  </si>
  <si>
    <t>Periods to maturity (TTM)</t>
  </si>
  <si>
    <t>Actual Price Change</t>
  </si>
  <si>
    <t>Modified Duration</t>
  </si>
  <si>
    <t>Change in YTM</t>
  </si>
  <si>
    <t>Yield</t>
  </si>
  <si>
    <t>Fraction of Total PV</t>
  </si>
  <si>
    <t>Convexity</t>
  </si>
  <si>
    <t>Convexity Term</t>
  </si>
  <si>
    <t>Approximate Price Change
Using Only Duration</t>
  </si>
  <si>
    <t>Approximate Price Change
Using Duration &amp; Convexity</t>
  </si>
  <si>
    <t>Duration and Convexity</t>
  </si>
  <si>
    <t>Duration, Convexity, and Price Changes</t>
  </si>
  <si>
    <t>Using Prices to Estimate Duration and Convexity</t>
  </si>
  <si>
    <t>P0</t>
  </si>
  <si>
    <t>P+</t>
  </si>
  <si>
    <t>P-</t>
  </si>
  <si>
    <t>Change in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</si>
</sst>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%"/>
    <numFmt numFmtId="165" formatCode="#,##0.000"/>
    <numFmt numFmtId="166" formatCode="#,##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8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2" fillId="0" borderId="0" xfId="0" applyNumberFormat="1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7F4C-8A3F-48B5-945E-FA569862B459}">
  <dimension ref="B1:I49"/>
  <sheetViews>
    <sheetView tabSelected="1" workbookViewId="0"/>
  </sheetViews>
  <sheetFormatPr defaultRowHeight="15" x14ac:dyDescent="0.25"/>
  <cols>
    <col min="1" max="1" width="2.5703125" customWidth="1"/>
    <col min="2" max="2" width="27.85546875" customWidth="1"/>
    <col min="3" max="9" width="13.7109375" customWidth="1"/>
  </cols>
  <sheetData>
    <row r="1" spans="2:9" x14ac:dyDescent="0.25">
      <c r="B1" s="6" t="s">
        <v>22</v>
      </c>
    </row>
    <row r="2" spans="2:9" x14ac:dyDescent="0.25">
      <c r="B2" t="s">
        <v>0</v>
      </c>
      <c r="C2" s="10">
        <v>0.06</v>
      </c>
    </row>
    <row r="3" spans="2:9" x14ac:dyDescent="0.25">
      <c r="B3" t="s">
        <v>1</v>
      </c>
      <c r="C3" s="11">
        <v>2</v>
      </c>
    </row>
    <row r="4" spans="2:9" x14ac:dyDescent="0.25">
      <c r="B4" t="s">
        <v>2</v>
      </c>
      <c r="C4" s="11">
        <v>100</v>
      </c>
    </row>
    <row r="5" spans="2:9" x14ac:dyDescent="0.25">
      <c r="B5" t="s">
        <v>11</v>
      </c>
      <c r="C5" s="10">
        <v>0.05</v>
      </c>
    </row>
    <row r="6" spans="2:9" x14ac:dyDescent="0.25">
      <c r="B6" t="s">
        <v>12</v>
      </c>
      <c r="C6" s="11">
        <v>8</v>
      </c>
    </row>
    <row r="8" spans="2:9" ht="30" x14ac:dyDescent="0.25">
      <c r="C8" s="8" t="s">
        <v>3</v>
      </c>
      <c r="D8" s="8" t="s">
        <v>4</v>
      </c>
      <c r="E8" s="8" t="s">
        <v>5</v>
      </c>
      <c r="F8" s="8" t="s">
        <v>6</v>
      </c>
      <c r="G8" s="9" t="s">
        <v>17</v>
      </c>
      <c r="H8" s="8" t="s">
        <v>7</v>
      </c>
      <c r="I8" s="8" t="s">
        <v>19</v>
      </c>
    </row>
    <row r="9" spans="2:9" x14ac:dyDescent="0.25">
      <c r="C9">
        <v>1</v>
      </c>
      <c r="D9">
        <f t="shared" ref="D9:D16" si="0">C9/NOP</f>
        <v>0.5</v>
      </c>
      <c r="E9">
        <f t="shared" ref="E9:E16" si="1">CR*FACE/NOP+IF(C9=$C$6,FACE,0)</f>
        <v>3</v>
      </c>
      <c r="F9" s="3">
        <f t="shared" ref="F9:F16" si="2">E9/(1+YTM/NOP)^C9</f>
        <v>2.9268292682926833</v>
      </c>
      <c r="G9" s="4">
        <f>F9/$F$18</f>
        <v>2.8255320079521241E-2</v>
      </c>
      <c r="H9" s="5">
        <f>D9*G9</f>
        <v>1.412766003976062E-2</v>
      </c>
      <c r="I9">
        <f>C9*(C9+1)/(NOP)^2</f>
        <v>0.5</v>
      </c>
    </row>
    <row r="10" spans="2:9" x14ac:dyDescent="0.25">
      <c r="C10">
        <v>2</v>
      </c>
      <c r="D10">
        <f t="shared" si="0"/>
        <v>1</v>
      </c>
      <c r="E10">
        <f t="shared" si="1"/>
        <v>3</v>
      </c>
      <c r="F10" s="3">
        <f t="shared" si="2"/>
        <v>2.8554431885782274</v>
      </c>
      <c r="G10" s="4">
        <f t="shared" ref="G10:G16" si="3">F10/$F$18</f>
        <v>2.7566165931240231E-2</v>
      </c>
      <c r="H10" s="5">
        <f t="shared" ref="H10:H16" si="4">D10*G10</f>
        <v>2.7566165931240231E-2</v>
      </c>
      <c r="I10">
        <f>C10*(C10+1)/(NOP)^2</f>
        <v>1.5</v>
      </c>
    </row>
    <row r="11" spans="2:9" x14ac:dyDescent="0.25">
      <c r="C11">
        <v>3</v>
      </c>
      <c r="D11">
        <f t="shared" si="0"/>
        <v>1.5</v>
      </c>
      <c r="E11">
        <f t="shared" si="1"/>
        <v>3</v>
      </c>
      <c r="F11" s="3">
        <f t="shared" si="2"/>
        <v>2.7857982327592463</v>
      </c>
      <c r="G11" s="4">
        <f t="shared" si="3"/>
        <v>2.6893820420722178E-2</v>
      </c>
      <c r="H11" s="5">
        <f t="shared" si="4"/>
        <v>4.0340730631083267E-2</v>
      </c>
      <c r="I11">
        <f>C11*(C11+1)/(NOP)^2</f>
        <v>3</v>
      </c>
    </row>
    <row r="12" spans="2:9" x14ac:dyDescent="0.25">
      <c r="C12">
        <v>4</v>
      </c>
      <c r="D12">
        <f t="shared" si="0"/>
        <v>2</v>
      </c>
      <c r="E12">
        <f t="shared" si="1"/>
        <v>3</v>
      </c>
      <c r="F12" s="3">
        <f t="shared" si="2"/>
        <v>2.7178519343992651</v>
      </c>
      <c r="G12" s="4">
        <f t="shared" si="3"/>
        <v>2.6237873581192374E-2</v>
      </c>
      <c r="H12" s="5">
        <f t="shared" si="4"/>
        <v>5.2475747162384748E-2</v>
      </c>
      <c r="I12">
        <f>C12*(C12+1)/(NOP)^2</f>
        <v>5</v>
      </c>
    </row>
    <row r="13" spans="2:9" x14ac:dyDescent="0.25">
      <c r="C13">
        <v>5</v>
      </c>
      <c r="D13">
        <f t="shared" si="0"/>
        <v>2.5</v>
      </c>
      <c r="E13">
        <f t="shared" si="1"/>
        <v>3</v>
      </c>
      <c r="F13" s="3">
        <f t="shared" si="2"/>
        <v>2.6515628628285515</v>
      </c>
      <c r="G13" s="4">
        <f t="shared" si="3"/>
        <v>2.5597925445065731E-2</v>
      </c>
      <c r="H13" s="5">
        <f t="shared" si="4"/>
        <v>6.3994813612664334E-2</v>
      </c>
      <c r="I13">
        <f>C13*(C13+1)/(NOP)^2</f>
        <v>7.5</v>
      </c>
    </row>
    <row r="14" spans="2:9" x14ac:dyDescent="0.25">
      <c r="C14">
        <v>6</v>
      </c>
      <c r="D14">
        <f t="shared" si="0"/>
        <v>3</v>
      </c>
      <c r="E14">
        <f t="shared" si="1"/>
        <v>3</v>
      </c>
      <c r="F14" s="3">
        <f t="shared" si="2"/>
        <v>2.586890597881514</v>
      </c>
      <c r="G14" s="4">
        <f t="shared" si="3"/>
        <v>2.4973585800064133E-2</v>
      </c>
      <c r="H14" s="5">
        <f t="shared" si="4"/>
        <v>7.4920757400192398E-2</v>
      </c>
      <c r="I14">
        <f>C14*(C14+1)/(NOP)^2</f>
        <v>10.5</v>
      </c>
    </row>
    <row r="15" spans="2:9" x14ac:dyDescent="0.25">
      <c r="C15">
        <v>7</v>
      </c>
      <c r="D15">
        <f t="shared" si="0"/>
        <v>3.5</v>
      </c>
      <c r="E15">
        <f t="shared" si="1"/>
        <v>3</v>
      </c>
      <c r="F15" s="3">
        <f t="shared" si="2"/>
        <v>2.5237957052502571</v>
      </c>
      <c r="G15" s="4">
        <f t="shared" si="3"/>
        <v>2.4364473951282075E-2</v>
      </c>
      <c r="H15" s="5">
        <f t="shared" si="4"/>
        <v>8.5275658829487261E-2</v>
      </c>
      <c r="I15">
        <f>C15*(C15+1)/(NOP)^2</f>
        <v>14</v>
      </c>
    </row>
    <row r="16" spans="2:9" x14ac:dyDescent="0.25">
      <c r="C16">
        <v>8</v>
      </c>
      <c r="D16">
        <f t="shared" si="0"/>
        <v>4</v>
      </c>
      <c r="E16">
        <f t="shared" si="1"/>
        <v>103</v>
      </c>
      <c r="F16" s="3">
        <f t="shared" si="2"/>
        <v>84.536896793748468</v>
      </c>
      <c r="G16" s="4">
        <f t="shared" si="3"/>
        <v>0.81611083479091195</v>
      </c>
      <c r="H16" s="5">
        <f t="shared" si="4"/>
        <v>3.2644433391636478</v>
      </c>
      <c r="I16">
        <f>C16*(C16+1)/(NOP)^2</f>
        <v>18</v>
      </c>
    </row>
    <row r="17" spans="2:9" x14ac:dyDescent="0.25">
      <c r="G17" s="4"/>
      <c r="I17" t="str">
        <f ca="1">_xlfn.FORMULATEXT(I16)</f>
        <v>=C16*(C16+1)/(NOP)^2</v>
      </c>
    </row>
    <row r="18" spans="2:9" x14ac:dyDescent="0.25">
      <c r="E18" t="s">
        <v>8</v>
      </c>
      <c r="F18" s="3">
        <f>SUM(F9:F16)</f>
        <v>103.58506858373822</v>
      </c>
      <c r="G18" s="4" t="str">
        <f ca="1">_xlfn.FORMULATEXT(F18)</f>
        <v>=SUM(F9:F16)</v>
      </c>
      <c r="H18" s="3"/>
    </row>
    <row r="20" spans="2:9" x14ac:dyDescent="0.25">
      <c r="B20" t="s">
        <v>9</v>
      </c>
      <c r="C20" s="3">
        <f>SUM(H9:H16)</f>
        <v>3.6231448727704607</v>
      </c>
      <c r="D20" t="str">
        <f ca="1">_xlfn.FORMULATEXT(C20)</f>
        <v>=SUM(H9:H16)</v>
      </c>
    </row>
    <row r="21" spans="2:9" x14ac:dyDescent="0.25">
      <c r="B21" t="s">
        <v>10</v>
      </c>
      <c r="C21" s="3">
        <f ca="1">DURATION(TODAY(),EDATE(TODAY(),12*C6/NOP),CR,YTM,NOP)</f>
        <v>3.6231448727704612</v>
      </c>
      <c r="D21" t="str">
        <f ca="1">_xlfn.FORMULATEXT(C21)</f>
        <v>=DURATION(TODAY(),EDATE(TODAY(),12*C6/NOP),CR,YTM,NOP)</v>
      </c>
    </row>
    <row r="23" spans="2:9" x14ac:dyDescent="0.25">
      <c r="B23" t="s">
        <v>18</v>
      </c>
      <c r="C23" s="3">
        <f>(1/(1+YTM/NOP)^2)*SUMPRODUCT(G9:G16,I9:I16)</f>
        <v>14.993601419533878</v>
      </c>
      <c r="D23" t="str">
        <f ca="1">_xlfn.FORMULATEXT(C23)</f>
        <v>=(1/(1+YTM/NOP)^2)*SUMPRODUCT(G9:G16,I9:I16)</v>
      </c>
    </row>
    <row r="25" spans="2:9" x14ac:dyDescent="0.25">
      <c r="B25" s="6" t="s">
        <v>23</v>
      </c>
    </row>
    <row r="26" spans="2:9" x14ac:dyDescent="0.25">
      <c r="B26" t="s">
        <v>14</v>
      </c>
      <c r="C26" s="3">
        <f ca="1">C21/(1+YTM/NOP)</f>
        <v>3.5347754856297184</v>
      </c>
      <c r="D26" t="str">
        <f ca="1">_xlfn.FORMULATEXT(C26)</f>
        <v>=C21/(1+YTM/NOP)</v>
      </c>
    </row>
    <row r="28" spans="2:9" ht="75" x14ac:dyDescent="0.25">
      <c r="C28" s="8" t="s">
        <v>15</v>
      </c>
      <c r="D28" s="8" t="s">
        <v>16</v>
      </c>
      <c r="E28" s="8" t="s">
        <v>8</v>
      </c>
      <c r="F28" s="9" t="s">
        <v>13</v>
      </c>
      <c r="G28" s="9" t="s">
        <v>20</v>
      </c>
      <c r="H28" s="9" t="s">
        <v>21</v>
      </c>
    </row>
    <row r="29" spans="2:9" x14ac:dyDescent="0.25">
      <c r="C29" s="1">
        <f>-2%</f>
        <v>-0.02</v>
      </c>
      <c r="D29" s="1">
        <f t="shared" ref="D29:D37" si="5">YTM+C29</f>
        <v>3.0000000000000002E-2</v>
      </c>
      <c r="E29" s="2">
        <f t="shared" ref="E29:E37" si="6">-PV(D29/NOP,TTM,$E$9,FACE)</f>
        <v>111.22888761990126</v>
      </c>
      <c r="F29" s="1">
        <f>E29/E$33-1</f>
        <v>7.3792672444714658E-2</v>
      </c>
      <c r="G29" s="1">
        <f ca="1">-$C$26*C29</f>
        <v>7.0695509712594376E-2</v>
      </c>
      <c r="H29" s="1">
        <f ca="1">-$C$26*C29+0.5*$C$23*C29^2</f>
        <v>7.3694229996501145E-2</v>
      </c>
    </row>
    <row r="30" spans="2:9" x14ac:dyDescent="0.25">
      <c r="C30" s="1">
        <f>C29+0.5%</f>
        <v>-1.4999999999999999E-2</v>
      </c>
      <c r="D30" s="1">
        <f t="shared" si="5"/>
        <v>3.5000000000000003E-2</v>
      </c>
      <c r="E30" s="2">
        <f t="shared" si="6"/>
        <v>109.25631620767767</v>
      </c>
      <c r="F30" s="1">
        <f t="shared" ref="F30:F37" si="7">E30/E$33-1</f>
        <v>5.4749663262083637E-2</v>
      </c>
      <c r="G30" s="1">
        <f t="shared" ref="G30:G37" ca="1" si="8">-$C$26*C30</f>
        <v>5.3021632284445772E-2</v>
      </c>
      <c r="H30" s="1">
        <f ca="1">-$C$26*C30+0.5*$C$23*C30^2</f>
        <v>5.4708412444143331E-2</v>
      </c>
    </row>
    <row r="31" spans="2:9" x14ac:dyDescent="0.25">
      <c r="C31" s="1">
        <f t="shared" ref="C31:C37" si="9">C30+0.5%</f>
        <v>-9.9999999999999985E-3</v>
      </c>
      <c r="D31" s="1">
        <f t="shared" si="5"/>
        <v>4.0000000000000008E-2</v>
      </c>
      <c r="E31" s="2">
        <f t="shared" si="6"/>
        <v>107.32548144049441</v>
      </c>
      <c r="F31" s="1">
        <f t="shared" si="7"/>
        <v>3.6109575519878145E-2</v>
      </c>
      <c r="G31" s="1">
        <f t="shared" ca="1" si="8"/>
        <v>3.5347754856297181E-2</v>
      </c>
      <c r="H31" s="1">
        <f ca="1">-$C$26*C31+0.5*$C$23*C31^2</f>
        <v>3.6097434927273873E-2</v>
      </c>
    </row>
    <row r="32" spans="2:9" x14ac:dyDescent="0.25">
      <c r="C32" s="1">
        <f t="shared" si="9"/>
        <v>-4.9999999999999984E-3</v>
      </c>
      <c r="D32" s="1">
        <f t="shared" si="5"/>
        <v>4.5000000000000005E-2</v>
      </c>
      <c r="E32" s="2">
        <f t="shared" si="6"/>
        <v>105.4353884549457</v>
      </c>
      <c r="F32" s="1">
        <f t="shared" si="7"/>
        <v>1.7862804905242946E-2</v>
      </c>
      <c r="G32" s="1">
        <f t="shared" ca="1" si="8"/>
        <v>1.7673877428148587E-2</v>
      </c>
      <c r="H32" s="1">
        <f ca="1">-$C$26*C32+0.5*$C$23*C32^2</f>
        <v>1.7861297445892762E-2</v>
      </c>
    </row>
    <row r="33" spans="2:9" x14ac:dyDescent="0.25">
      <c r="C33" s="1">
        <f t="shared" si="9"/>
        <v>0</v>
      </c>
      <c r="D33" s="1">
        <f t="shared" si="5"/>
        <v>0.05</v>
      </c>
      <c r="E33" s="2">
        <f t="shared" si="6"/>
        <v>103.58506858373816</v>
      </c>
      <c r="F33" s="1">
        <f t="shared" si="7"/>
        <v>0</v>
      </c>
      <c r="G33" s="1">
        <f t="shared" ca="1" si="8"/>
        <v>0</v>
      </c>
      <c r="H33" s="1">
        <f ca="1">-$C$26*C33+0.5*$C$23*C33^2</f>
        <v>0</v>
      </c>
    </row>
    <row r="34" spans="2:9" x14ac:dyDescent="0.25">
      <c r="C34" s="1">
        <f t="shared" si="9"/>
        <v>5.0000000000000001E-3</v>
      </c>
      <c r="D34" s="1">
        <f t="shared" si="5"/>
        <v>5.5E-2</v>
      </c>
      <c r="E34" s="2">
        <f t="shared" si="6"/>
        <v>101.77357860249342</v>
      </c>
      <c r="F34" s="1">
        <f t="shared" si="7"/>
        <v>-1.7487944990646431E-2</v>
      </c>
      <c r="G34" s="1">
        <f t="shared" ca="1" si="8"/>
        <v>-1.7673877428148594E-2</v>
      </c>
      <c r="H34" s="1">
        <f ca="1">-$C$26*C34+0.5*$C$23*C34^2</f>
        <v>-1.7486457410404419E-2</v>
      </c>
    </row>
    <row r="35" spans="2:9" x14ac:dyDescent="0.25">
      <c r="C35" s="1">
        <f t="shared" si="9"/>
        <v>0.01</v>
      </c>
      <c r="D35" s="1">
        <f t="shared" si="5"/>
        <v>6.0000000000000005E-2</v>
      </c>
      <c r="E35" s="2">
        <f t="shared" si="6"/>
        <v>100</v>
      </c>
      <c r="F35" s="1">
        <f t="shared" si="7"/>
        <v>-3.4609897283023883E-2</v>
      </c>
      <c r="G35" s="1">
        <f t="shared" ca="1" si="8"/>
        <v>-3.5347754856297188E-2</v>
      </c>
      <c r="H35" s="1">
        <f ca="1">-$C$26*C35+0.5*$C$23*C35^2</f>
        <v>-3.4598074785320496E-2</v>
      </c>
    </row>
    <row r="36" spans="2:9" x14ac:dyDescent="0.25">
      <c r="C36" s="1">
        <f t="shared" si="9"/>
        <v>1.4999999999999999E-2</v>
      </c>
      <c r="D36" s="1">
        <f t="shared" si="5"/>
        <v>6.5000000000000002E-2</v>
      </c>
      <c r="E36" s="2">
        <f t="shared" si="6"/>
        <v>98.263438271129644</v>
      </c>
      <c r="F36" s="1">
        <f t="shared" si="7"/>
        <v>-5.1374492341109135E-2</v>
      </c>
      <c r="G36" s="1">
        <f t="shared" ca="1" si="8"/>
        <v>-5.3021632284445772E-2</v>
      </c>
      <c r="H36" s="1">
        <f ca="1">-$C$26*C36+0.5*$C$23*C36^2</f>
        <v>-5.1334852124748212E-2</v>
      </c>
    </row>
    <row r="37" spans="2:9" x14ac:dyDescent="0.25">
      <c r="C37" s="1">
        <f t="shared" si="9"/>
        <v>0.02</v>
      </c>
      <c r="D37" s="1">
        <f t="shared" si="5"/>
        <v>7.0000000000000007E-2</v>
      </c>
      <c r="E37" s="2">
        <f t="shared" si="6"/>
        <v>96.563022231660725</v>
      </c>
      <c r="F37" s="1">
        <f t="shared" si="7"/>
        <v>-6.7790140491154061E-2</v>
      </c>
      <c r="G37" s="1">
        <f t="shared" ca="1" si="8"/>
        <v>-7.0695509712594376E-2</v>
      </c>
      <c r="H37" s="1">
        <f ca="1">-$C$26*C37+0.5*$C$23*C37^2</f>
        <v>-6.7696789428687607E-2</v>
      </c>
      <c r="I37" t="str">
        <f ca="1">_xlfn.FORMULATEXT(H37)</f>
        <v>=-$C$26*C37+0.5*$C$23*C37^2</v>
      </c>
    </row>
    <row r="38" spans="2:9" x14ac:dyDescent="0.25">
      <c r="C38" s="7"/>
      <c r="E38" s="2" t="str">
        <f ca="1">_xlfn.FORMULATEXT(E37)</f>
        <v>=-PV(D37/NOP,TTM,$E$9,FACE)</v>
      </c>
    </row>
    <row r="39" spans="2:9" x14ac:dyDescent="0.25">
      <c r="C39" s="7"/>
      <c r="F39" s="1" t="str">
        <f ca="1">_xlfn.FORMULATEXT(F37)</f>
        <v>=E37/E$33-1</v>
      </c>
    </row>
    <row r="40" spans="2:9" x14ac:dyDescent="0.25">
      <c r="C40" s="7"/>
    </row>
    <row r="41" spans="2:9" x14ac:dyDescent="0.25">
      <c r="C41" s="7"/>
    </row>
    <row r="42" spans="2:9" x14ac:dyDescent="0.25">
      <c r="B42" s="6" t="s">
        <v>24</v>
      </c>
    </row>
    <row r="43" spans="2:9" x14ac:dyDescent="0.25">
      <c r="B43" s="12" t="s">
        <v>25</v>
      </c>
      <c r="C43" s="2">
        <f>E33</f>
        <v>103.58506858373816</v>
      </c>
    </row>
    <row r="44" spans="2:9" x14ac:dyDescent="0.25">
      <c r="B44" s="12" t="s">
        <v>26</v>
      </c>
      <c r="C44" s="2">
        <f>E34</f>
        <v>101.77357860249342</v>
      </c>
    </row>
    <row r="45" spans="2:9" x14ac:dyDescent="0.25">
      <c r="B45" s="12" t="s">
        <v>27</v>
      </c>
      <c r="C45" s="2">
        <f>E32</f>
        <v>105.4353884549457</v>
      </c>
    </row>
    <row r="46" spans="2:9" x14ac:dyDescent="0.25">
      <c r="B46" s="12" t="s">
        <v>28</v>
      </c>
      <c r="C46" s="1">
        <f>C34</f>
        <v>5.0000000000000001E-3</v>
      </c>
    </row>
    <row r="47" spans="2:9" x14ac:dyDescent="0.25">
      <c r="B47" s="6"/>
    </row>
    <row r="48" spans="2:9" x14ac:dyDescent="0.25">
      <c r="B48" t="s">
        <v>14</v>
      </c>
      <c r="C48" s="3">
        <f>(1/C43)*(C45-C44)/(2*C46)</f>
        <v>3.5350749895889413</v>
      </c>
      <c r="D48" t="str">
        <f ca="1">_xlfn.FORMULATEXT(C48)</f>
        <v>=(1/C43)*(C45-C44)/(2*C46)</v>
      </c>
    </row>
    <row r="49" spans="2:4" x14ac:dyDescent="0.25">
      <c r="B49" t="s">
        <v>18</v>
      </c>
      <c r="C49" s="3">
        <f>(1/C43)*((C45-C43)-(C43-C44))/(C46^2)</f>
        <v>14.99439658386442</v>
      </c>
      <c r="D49" t="str">
        <f ca="1">_xlfn.FORMULATEXT(C49)</f>
        <v>=(1/C43)*((C45-C43)-(C43-C44))/(C46^2)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Duration &amp; Convexity</vt:lpstr>
      <vt:lpstr>CR</vt:lpstr>
      <vt:lpstr>FACE</vt:lpstr>
      <vt:lpstr>NOP</vt:lpstr>
      <vt:lpstr>TTM</vt:lpstr>
      <vt:lpstr>YTM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Crotty</dc:creator>
  <cp:lastModifiedBy>Kevin Crotty</cp:lastModifiedBy>
  <dcterms:created xsi:type="dcterms:W3CDTF">2024-04-02T02:12:56Z</dcterms:created>
  <dcterms:modified xsi:type="dcterms:W3CDTF">2024-04-04T14:46:12Z</dcterms:modified>
</cp:coreProperties>
</file>