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ropbox\Applied Finance-MGMT 648\2U\Grades\"/>
    </mc:Choice>
  </mc:AlternateContent>
  <bookViews>
    <workbookView xWindow="3900" yWindow="600" windowWidth="9000" windowHeight="21000"/>
  </bookViews>
  <sheets>
    <sheet name="Part 1" sheetId="3" r:id="rId1"/>
    <sheet name="Part 2" sheetId="6" r:id="rId2"/>
    <sheet name="Part 3" sheetId="5" r:id="rId3"/>
  </sheets>
  <externalReferences>
    <externalReference r:id="rId4"/>
  </externalReferences>
  <definedNames>
    <definedName name="CR">'Part 1'!$C$8</definedName>
    <definedName name="CR_P2">'Part 2'!$B$4</definedName>
    <definedName name="CR_P3">'Part 3'!$C$3</definedName>
    <definedName name="CRD" localSheetId="1">'Part 2'!$B$4</definedName>
    <definedName name="DR">'Part 1'!$C$15</definedName>
    <definedName name="DR_P2">'Part 2'!$B$11</definedName>
    <definedName name="DR_P3">'Part 3'!$C$11</definedName>
    <definedName name="DRP" localSheetId="1">'Part 2'!$B$11</definedName>
    <definedName name="i" localSheetId="1">'[1]Part 1'!$C$16</definedName>
    <definedName name="i">'Part 1'!$C$16</definedName>
    <definedName name="I_P3">'Part 3'!$C$12</definedName>
    <definedName name="M" localSheetId="1">'[1]Part 1'!$C$12</definedName>
    <definedName name="M">'Part 1'!$C$12</definedName>
    <definedName name="M_P2">'Part 2'!$B$8</definedName>
    <definedName name="M_P3">'Part 3'!$C$7</definedName>
    <definedName name="MD" localSheetId="1">'Part 2'!$B$8</definedName>
    <definedName name="NOP" localSheetId="1">'[1]Part 1'!$C$10</definedName>
    <definedName name="NOP">'Part 1'!$C$10</definedName>
    <definedName name="NOP_P2">'Part 2'!$B$6</definedName>
    <definedName name="NOP_P3">'Part 3'!$C$5</definedName>
    <definedName name="NOPD" localSheetId="1">'Part 2'!$B$6</definedName>
    <definedName name="_xlnm.Print_Area" localSheetId="0">'Part 1'!$A$4:$H$43</definedName>
    <definedName name="T">'Part 1'!$C$11</definedName>
    <definedName name="T_P2">'Part 2'!$B$7</definedName>
    <definedName name="T_P3">'Part 3'!$C$6</definedName>
    <definedName name="YTM">'Part 1'!$C$9</definedName>
    <definedName name="YTM_P2">'Part 2'!$B$5</definedName>
    <definedName name="YTM_P3">'Part 3'!$C$4</definedName>
    <definedName name="YTMD" localSheetId="1">'Part 2'!$B$5</definedName>
  </definedNames>
  <calcPr calcId="162913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6" l="1"/>
  <c r="B20" i="6"/>
  <c r="C13" i="5"/>
  <c r="B31" i="6" l="1"/>
  <c r="B29" i="6"/>
  <c r="E15" i="6"/>
  <c r="F15" i="6" s="1"/>
  <c r="B12" i="6"/>
  <c r="E14" i="6" s="1"/>
  <c r="B11" i="6"/>
  <c r="E9" i="6"/>
  <c r="E8" i="6"/>
  <c r="F8" i="6"/>
  <c r="E7" i="6"/>
  <c r="F7" i="6" s="1"/>
  <c r="C12" i="5"/>
  <c r="F20" i="5"/>
  <c r="G19" i="5"/>
  <c r="F19" i="5"/>
  <c r="C15" i="5"/>
  <c r="D20" i="5"/>
  <c r="D39" i="5"/>
  <c r="E19" i="5"/>
  <c r="C18" i="5"/>
  <c r="C20" i="5" s="1"/>
  <c r="C11" i="5"/>
  <c r="B20" i="5"/>
  <c r="E20" i="5" s="1"/>
  <c r="B21" i="5"/>
  <c r="E21" i="5" s="1"/>
  <c r="B22" i="5"/>
  <c r="E22" i="5" s="1"/>
  <c r="B23" i="5"/>
  <c r="E23" i="5" s="1"/>
  <c r="C19" i="5"/>
  <c r="E13" i="6"/>
  <c r="F13" i="6"/>
  <c r="E39" i="5"/>
  <c r="G20" i="5"/>
  <c r="E6" i="6"/>
  <c r="E10" i="6"/>
  <c r="F10" i="6" s="1"/>
  <c r="E11" i="6"/>
  <c r="F11" i="6"/>
  <c r="C16" i="3"/>
  <c r="D24" i="3"/>
  <c r="C24" i="3"/>
  <c r="F25" i="3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C15" i="3"/>
  <c r="C19" i="3" s="1"/>
  <c r="F23" i="3" s="1"/>
  <c r="B25" i="3"/>
  <c r="D25" i="3" s="1"/>
  <c r="B26" i="3"/>
  <c r="D26" i="3" s="1"/>
  <c r="C25" i="3"/>
  <c r="B27" i="3"/>
  <c r="C27" i="3" s="1"/>
  <c r="C26" i="3"/>
  <c r="B28" i="3"/>
  <c r="B29" i="3" s="1"/>
  <c r="D27" i="3"/>
  <c r="D11" i="5"/>
  <c r="D15" i="5"/>
  <c r="C19" i="6"/>
  <c r="C42" i="5"/>
  <c r="C18" i="6"/>
  <c r="C33" i="6"/>
  <c r="C44" i="5"/>
  <c r="C32" i="6"/>
  <c r="C44" i="3"/>
  <c r="C31" i="6"/>
  <c r="D15" i="3"/>
  <c r="C17" i="6"/>
  <c r="C20" i="6"/>
  <c r="D16" i="3"/>
  <c r="C30" i="6"/>
  <c r="C43" i="5"/>
  <c r="D12" i="5"/>
  <c r="C21" i="6"/>
  <c r="D13" i="5"/>
  <c r="D19" i="3"/>
  <c r="G44" i="3"/>
  <c r="C29" i="6"/>
  <c r="F9" i="6" l="1"/>
  <c r="F6" i="6"/>
  <c r="F14" i="6"/>
  <c r="B30" i="3"/>
  <c r="D29" i="3"/>
  <c r="C29" i="3"/>
  <c r="C23" i="5"/>
  <c r="C39" i="5"/>
  <c r="F21" i="5"/>
  <c r="G22" i="5"/>
  <c r="G21" i="5"/>
  <c r="F22" i="5"/>
  <c r="E12" i="6"/>
  <c r="F12" i="6" s="1"/>
  <c r="B17" i="6" s="1"/>
  <c r="C21" i="5"/>
  <c r="C28" i="3"/>
  <c r="C22" i="5"/>
  <c r="D23" i="5"/>
  <c r="F23" i="5"/>
  <c r="F39" i="5"/>
  <c r="D28" i="3"/>
  <c r="D22" i="5"/>
  <c r="G23" i="5"/>
  <c r="G39" i="5"/>
  <c r="D21" i="5"/>
  <c r="B24" i="5"/>
  <c r="D19" i="5"/>
  <c r="B33" i="6" l="1"/>
  <c r="G8" i="6"/>
  <c r="B32" i="6"/>
  <c r="G7" i="6"/>
  <c r="G13" i="6"/>
  <c r="G11" i="6"/>
  <c r="G9" i="6"/>
  <c r="B30" i="6"/>
  <c r="G10" i="6"/>
  <c r="G6" i="6"/>
  <c r="B19" i="6"/>
  <c r="G14" i="6"/>
  <c r="G15" i="6"/>
  <c r="G12" i="6"/>
  <c r="E24" i="5"/>
  <c r="C24" i="5"/>
  <c r="F24" i="5"/>
  <c r="B25" i="5"/>
  <c r="G24" i="5"/>
  <c r="D24" i="5"/>
  <c r="C30" i="3"/>
  <c r="D30" i="3"/>
  <c r="B31" i="3"/>
  <c r="B18" i="6" l="1"/>
  <c r="G16" i="6"/>
  <c r="G25" i="5"/>
  <c r="C25" i="5"/>
  <c r="B26" i="5"/>
  <c r="E25" i="5"/>
  <c r="D25" i="5"/>
  <c r="F25" i="5"/>
  <c r="C31" i="3"/>
  <c r="D31" i="3"/>
  <c r="B32" i="3"/>
  <c r="B33" i="3" l="1"/>
  <c r="D32" i="3"/>
  <c r="C32" i="3"/>
  <c r="G26" i="5"/>
  <c r="B27" i="5"/>
  <c r="F26" i="5"/>
  <c r="E26" i="5"/>
  <c r="D26" i="5"/>
  <c r="C26" i="5"/>
  <c r="D27" i="5" l="1"/>
  <c r="F27" i="5"/>
  <c r="B28" i="5"/>
  <c r="C27" i="5"/>
  <c r="G27" i="5"/>
  <c r="E27" i="5"/>
  <c r="C33" i="3"/>
  <c r="B34" i="3"/>
  <c r="D33" i="3"/>
  <c r="D34" i="3" l="1"/>
  <c r="C34" i="3"/>
  <c r="B35" i="3"/>
  <c r="D28" i="5"/>
  <c r="G28" i="5"/>
  <c r="E28" i="5"/>
  <c r="F28" i="5"/>
  <c r="B29" i="5"/>
  <c r="C28" i="5"/>
  <c r="B36" i="3" l="1"/>
  <c r="D35" i="3"/>
  <c r="C35" i="3"/>
  <c r="E29" i="5"/>
  <c r="D29" i="5"/>
  <c r="G29" i="5"/>
  <c r="F29" i="5"/>
  <c r="B30" i="5"/>
  <c r="C29" i="5"/>
  <c r="D30" i="5" l="1"/>
  <c r="E30" i="5"/>
  <c r="B31" i="5"/>
  <c r="G30" i="5"/>
  <c r="C30" i="5"/>
  <c r="F30" i="5"/>
  <c r="C36" i="3"/>
  <c r="B37" i="3"/>
  <c r="D36" i="3"/>
  <c r="C37" i="3" l="1"/>
  <c r="B38" i="3"/>
  <c r="D37" i="3"/>
  <c r="B32" i="5"/>
  <c r="D31" i="5"/>
  <c r="G31" i="5"/>
  <c r="F31" i="5"/>
  <c r="E31" i="5"/>
  <c r="C31" i="5"/>
  <c r="E32" i="5" l="1"/>
  <c r="G32" i="5"/>
  <c r="F32" i="5"/>
  <c r="B33" i="5"/>
  <c r="D32" i="5"/>
  <c r="C32" i="5"/>
  <c r="C38" i="3"/>
  <c r="D38" i="3"/>
  <c r="B39" i="3"/>
  <c r="B40" i="3" l="1"/>
  <c r="D39" i="3"/>
  <c r="C39" i="3"/>
  <c r="B34" i="5"/>
  <c r="D33" i="5"/>
  <c r="G33" i="5"/>
  <c r="E33" i="5"/>
  <c r="C33" i="5"/>
  <c r="F33" i="5"/>
  <c r="F34" i="5" l="1"/>
  <c r="B35" i="5"/>
  <c r="G34" i="5"/>
  <c r="E34" i="5"/>
  <c r="C34" i="5"/>
  <c r="D34" i="5"/>
  <c r="D40" i="3"/>
  <c r="C40" i="3"/>
  <c r="B41" i="3"/>
  <c r="B36" i="5" l="1"/>
  <c r="D35" i="5"/>
  <c r="F35" i="5"/>
  <c r="G35" i="5"/>
  <c r="C35" i="5"/>
  <c r="E35" i="5"/>
  <c r="C41" i="3"/>
  <c r="D41" i="3"/>
  <c r="B42" i="3"/>
  <c r="D42" i="3" l="1"/>
  <c r="C42" i="3"/>
  <c r="G36" i="5"/>
  <c r="B37" i="5"/>
  <c r="F36" i="5"/>
  <c r="E36" i="5"/>
  <c r="C36" i="5"/>
  <c r="D36" i="5"/>
  <c r="B38" i="5" l="1"/>
  <c r="G37" i="5"/>
  <c r="D37" i="5"/>
  <c r="E37" i="5"/>
  <c r="F37" i="5"/>
  <c r="C37" i="5"/>
  <c r="C38" i="5" l="1"/>
  <c r="C40" i="5" s="1"/>
  <c r="G38" i="5"/>
  <c r="G40" i="5" s="1"/>
  <c r="E38" i="5"/>
  <c r="E40" i="5" s="1"/>
  <c r="D38" i="5"/>
  <c r="D40" i="5" s="1"/>
  <c r="F38" i="5"/>
  <c r="F40" i="5" s="1"/>
</calcChain>
</file>

<file path=xl/sharedStrings.xml><?xml version="1.0" encoding="utf-8"?>
<sst xmlns="http://schemas.openxmlformats.org/spreadsheetml/2006/main" count="77" uniqueCount="68">
  <si>
    <t>Inputs</t>
  </si>
  <si>
    <t>Annual Coupon Rate (CR)</t>
  </si>
  <si>
    <t>Number of Payments / Year (NOP)</t>
  </si>
  <si>
    <t>Number of Periods to Maturity (T)</t>
  </si>
  <si>
    <t>Face Value (M)</t>
  </si>
  <si>
    <t>Outputs</t>
  </si>
  <si>
    <t>Coupon Payment (I)</t>
  </si>
  <si>
    <t>Bond Price</t>
  </si>
  <si>
    <t>Discount Rate / Period (DR)</t>
  </si>
  <si>
    <t>Yield to Maturity (Annualized) (YTM)</t>
  </si>
  <si>
    <t>Calculation</t>
  </si>
  <si>
    <t>Bond Pricing</t>
  </si>
  <si>
    <t>YTM</t>
  </si>
  <si>
    <t>Data Table Method</t>
  </si>
  <si>
    <t>YTM:</t>
  </si>
  <si>
    <t>Displayed Formula:</t>
  </si>
  <si>
    <t>Named Cells/Locked Cells Method</t>
  </si>
  <si>
    <t>Plot of Bond Prices:</t>
  </si>
  <si>
    <t>Bond Price For Number of Periods to Maturity of:</t>
  </si>
  <si>
    <t>Name:</t>
  </si>
  <si>
    <t>Student ID:</t>
  </si>
  <si>
    <t>Calculations</t>
  </si>
  <si>
    <t>Annual Coupon Rate (CR_P3)</t>
  </si>
  <si>
    <t>Yield to Maturity (Annualized) (YTM_P3)</t>
  </si>
  <si>
    <t>Number of Payments / Year (NOP_P3)</t>
  </si>
  <si>
    <t>Number of Periods to Maturity (T_P3)</t>
  </si>
  <si>
    <t>Face Value (M_P3)</t>
  </si>
  <si>
    <t>Discount Rate / Period (DR_P3)</t>
  </si>
  <si>
    <t>Coupon Payment (I_P3)</t>
  </si>
  <si>
    <t>Duration</t>
  </si>
  <si>
    <t>Rates changes to:</t>
  </si>
  <si>
    <t>Maturity of Liability</t>
  </si>
  <si>
    <t>Future value at time 20 of payment #:</t>
  </si>
  <si>
    <t>Total Value of Bond and Reinvested Proceeds at Time 20</t>
  </si>
  <si>
    <t>Value of Bond at Time 20</t>
  </si>
  <si>
    <t>Duration of annuity contract</t>
  </si>
  <si>
    <t>Future value of annuity contract</t>
  </si>
  <si>
    <t>It is a zero-coupon bond.</t>
  </si>
  <si>
    <t>Duration of bond</t>
  </si>
  <si>
    <t>Displayed Formula for Year 1 Coupon FV:</t>
  </si>
  <si>
    <t>Displayed Formula for Bond Value at t=20:</t>
  </si>
  <si>
    <t>Displayed Formula for Total Value:</t>
  </si>
  <si>
    <t>Duration Calculation</t>
  </si>
  <si>
    <t>Annual Coupon Rate (CR_P2)</t>
  </si>
  <si>
    <t>Period</t>
  </si>
  <si>
    <t>Cash Flows</t>
  </si>
  <si>
    <t>PV</t>
  </si>
  <si>
    <t>CF weight</t>
  </si>
  <si>
    <t>Yield to Maturity (Annualized) (YTM_P2)</t>
  </si>
  <si>
    <t>Number of Payments / Year (NOP_P2)</t>
  </si>
  <si>
    <t>Number of Periods to Maturity (T_P2)</t>
  </si>
  <si>
    <t>Face Value (M_P2)</t>
  </si>
  <si>
    <t>Discount Rate / Period (DR_P2)</t>
  </si>
  <si>
    <t>Coupon Payment (I_P2)</t>
  </si>
  <si>
    <t>Price</t>
  </si>
  <si>
    <t>Duration (using sumproduct function)</t>
  </si>
  <si>
    <t>Duration 2</t>
  </si>
  <si>
    <t>Modified Duration</t>
  </si>
  <si>
    <t>Part b)</t>
  </si>
  <si>
    <t>Change in interest rate</t>
  </si>
  <si>
    <t>% change in price using duration</t>
  </si>
  <si>
    <t>$ change in price using duration</t>
  </si>
  <si>
    <t>Price if YTM increases by 1%</t>
  </si>
  <si>
    <t>Actual % change in price</t>
  </si>
  <si>
    <t>Actual $ change in price</t>
  </si>
  <si>
    <t>Reinvestment Risk</t>
  </si>
  <si>
    <t>Description of how value of reinvested coupons and value of the bond at t=20 changes with interest rates:</t>
  </si>
  <si>
    <t>When rates fall below the current rate, the t=20 bond value is higher, but the reinvested coupons have a lower future value.  When rates rise above the current rate, the opposite holds; the bond value is lower, but the reinvested coupons become worth more.  These effects offset and the firm always has enough to pay off the lump sum.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</si>
</sst>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164" formatCode="&quot;$&quot;#,##0.00"/>
    <numFmt numFmtId="165" formatCode="0.0"/>
    <numFmt numFmtId="166" formatCode="0.0%"/>
    <numFmt numFmtId="167" formatCode="#,##0.0"/>
    <numFmt numFmtId="168" formatCode="&quot;$&quot;#,##0.0"/>
    <numFmt numFmtId="169" formatCode="&quot;$&quot;#,##0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6"/>
      <color indexed="17"/>
      <name val="Arial"/>
      <family val="2"/>
    </font>
    <font>
      <i/>
      <sz val="10"/>
      <name val="Arial"/>
      <family val="2"/>
    </font>
    <font>
      <sz val="10"/>
      <color theme="4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Border="1"/>
    <xf numFmtId="165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ill="1"/>
    <xf numFmtId="8" fontId="0" fillId="0" borderId="0" xfId="0" applyNumberFormat="1" applyFill="1" applyBorder="1" applyAlignment="1">
      <alignment horizontal="center"/>
    </xf>
    <xf numFmtId="0" fontId="1" fillId="0" borderId="0" xfId="0" applyFont="1" applyAlignment="1">
      <alignment horizontal="right"/>
    </xf>
    <xf numFmtId="8" fontId="0" fillId="0" borderId="0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0" borderId="3" xfId="0" applyBorder="1"/>
    <xf numFmtId="0" fontId="0" fillId="0" borderId="7" xfId="0" applyBorder="1"/>
    <xf numFmtId="8" fontId="4" fillId="0" borderId="0" xfId="0" applyNumberFormat="1" applyFont="1" applyBorder="1"/>
    <xf numFmtId="0" fontId="0" fillId="0" borderId="6" xfId="0" applyBorder="1"/>
    <xf numFmtId="166" fontId="1" fillId="0" borderId="7" xfId="0" applyNumberFormat="1" applyFon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4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1" fillId="0" borderId="0" xfId="0" applyFont="1" applyFill="1"/>
    <xf numFmtId="10" fontId="0" fillId="0" borderId="1" xfId="0" applyNumberFormat="1" applyBorder="1"/>
    <xf numFmtId="0" fontId="2" fillId="0" borderId="0" xfId="2" applyFont="1" applyBorder="1"/>
    <xf numFmtId="0" fontId="1" fillId="0" borderId="0" xfId="2" applyBorder="1"/>
    <xf numFmtId="0" fontId="1" fillId="0" borderId="0" xfId="2"/>
    <xf numFmtId="0" fontId="1" fillId="0" borderId="0" xfId="2" applyFill="1" applyBorder="1"/>
    <xf numFmtId="0" fontId="1" fillId="0" borderId="0" xfId="2" applyBorder="1" applyAlignment="1">
      <alignment horizontal="right"/>
    </xf>
    <xf numFmtId="164" fontId="1" fillId="0" borderId="0" xfId="2" applyNumberFormat="1" applyBorder="1" applyAlignment="1">
      <alignment horizontal="right"/>
    </xf>
    <xf numFmtId="168" fontId="1" fillId="0" borderId="0" xfId="2" applyNumberFormat="1" applyBorder="1" applyAlignment="1">
      <alignment horizontal="right"/>
    </xf>
    <xf numFmtId="4" fontId="1" fillId="0" borderId="0" xfId="2" applyNumberFormat="1" applyBorder="1"/>
    <xf numFmtId="14" fontId="1" fillId="0" borderId="0" xfId="2" applyNumberFormat="1" applyBorder="1"/>
    <xf numFmtId="165" fontId="1" fillId="0" borderId="0" xfId="2" applyNumberFormat="1" applyBorder="1" applyAlignment="1">
      <alignment horizontal="center"/>
    </xf>
    <xf numFmtId="10" fontId="1" fillId="0" borderId="0" xfId="2" applyNumberFormat="1" applyBorder="1"/>
    <xf numFmtId="164" fontId="1" fillId="0" borderId="0" xfId="2" applyNumberFormat="1" applyBorder="1"/>
    <xf numFmtId="0" fontId="2" fillId="0" borderId="0" xfId="2" applyFont="1" applyFill="1" applyBorder="1"/>
    <xf numFmtId="0" fontId="1" fillId="0" borderId="0" xfId="2" applyBorder="1" applyAlignment="1">
      <alignment horizontal="left"/>
    </xf>
    <xf numFmtId="168" fontId="1" fillId="0" borderId="0" xfId="2" applyNumberFormat="1" applyBorder="1"/>
    <xf numFmtId="10" fontId="0" fillId="0" borderId="0" xfId="1" applyNumberFormat="1" applyFont="1" applyBorder="1"/>
    <xf numFmtId="164" fontId="1" fillId="0" borderId="0" xfId="2" applyNumberFormat="1" applyFill="1" applyBorder="1"/>
    <xf numFmtId="0" fontId="1" fillId="0" borderId="2" xfId="2" applyBorder="1"/>
    <xf numFmtId="0" fontId="1" fillId="0" borderId="3" xfId="2" applyBorder="1"/>
    <xf numFmtId="0" fontId="1" fillId="0" borderId="4" xfId="2" quotePrefix="1" applyFill="1" applyBorder="1"/>
    <xf numFmtId="0" fontId="1" fillId="0" borderId="7" xfId="2" applyBorder="1" applyAlignment="1">
      <alignment horizontal="right"/>
    </xf>
    <xf numFmtId="0" fontId="1" fillId="0" borderId="8" xfId="2" applyBorder="1"/>
    <xf numFmtId="4" fontId="1" fillId="0" borderId="8" xfId="2" applyNumberFormat="1" applyBorder="1"/>
    <xf numFmtId="0" fontId="1" fillId="0" borderId="9" xfId="2" applyBorder="1" applyAlignment="1">
      <alignment horizontal="right"/>
    </xf>
    <xf numFmtId="164" fontId="1" fillId="0" borderId="10" xfId="2" applyNumberFormat="1" applyBorder="1" applyAlignment="1">
      <alignment horizontal="right"/>
    </xf>
    <xf numFmtId="168" fontId="1" fillId="0" borderId="10" xfId="2" applyNumberFormat="1" applyBorder="1" applyAlignment="1">
      <alignment horizontal="right"/>
    </xf>
    <xf numFmtId="4" fontId="1" fillId="0" borderId="11" xfId="2" applyNumberFormat="1" applyBorder="1"/>
    <xf numFmtId="164" fontId="1" fillId="2" borderId="0" xfId="2" applyNumberFormat="1" applyFill="1" applyBorder="1"/>
    <xf numFmtId="2" fontId="1" fillId="2" borderId="0" xfId="2" applyNumberFormat="1" applyFill="1" applyBorder="1"/>
    <xf numFmtId="2" fontId="1" fillId="2" borderId="0" xfId="2" applyNumberFormat="1" applyFill="1" applyBorder="1" applyAlignment="1">
      <alignment horizontal="right"/>
    </xf>
    <xf numFmtId="10" fontId="0" fillId="2" borderId="0" xfId="1" applyNumberFormat="1" applyFont="1" applyFill="1" applyBorder="1"/>
    <xf numFmtId="8" fontId="0" fillId="2" borderId="0" xfId="1" applyNumberFormat="1" applyFont="1" applyFill="1" applyBorder="1"/>
    <xf numFmtId="169" fontId="1" fillId="2" borderId="0" xfId="2" applyNumberFormat="1" applyFill="1" applyBorder="1"/>
    <xf numFmtId="10" fontId="0" fillId="2" borderId="0" xfId="0" applyNumberFormat="1" applyFill="1"/>
    <xf numFmtId="164" fontId="0" fillId="2" borderId="0" xfId="0" applyNumberFormat="1" applyFill="1"/>
    <xf numFmtId="167" fontId="0" fillId="2" borderId="0" xfId="0" applyNumberFormat="1" applyFill="1"/>
    <xf numFmtId="8" fontId="0" fillId="2" borderId="0" xfId="0" applyNumberFormat="1" applyFill="1"/>
    <xf numFmtId="0" fontId="0" fillId="2" borderId="0" xfId="0" applyFill="1"/>
    <xf numFmtId="8" fontId="0" fillId="2" borderId="1" xfId="0" applyNumberFormat="1" applyFill="1" applyBorder="1"/>
    <xf numFmtId="10" fontId="5" fillId="0" borderId="0" xfId="1" applyNumberFormat="1" applyFont="1" applyFill="1"/>
    <xf numFmtId="0" fontId="5" fillId="0" borderId="0" xfId="0" applyFont="1" applyFill="1"/>
    <xf numFmtId="3" fontId="5" fillId="0" borderId="0" xfId="0" applyNumberFormat="1" applyFont="1" applyFill="1"/>
    <xf numFmtId="9" fontId="5" fillId="0" borderId="0" xfId="1" applyFont="1" applyFill="1" applyBorder="1"/>
    <xf numFmtId="10" fontId="5" fillId="0" borderId="0" xfId="1" applyNumberFormat="1" applyFont="1" applyFill="1" applyBorder="1"/>
    <xf numFmtId="0" fontId="5" fillId="0" borderId="0" xfId="2" applyFont="1" applyFill="1" applyBorder="1"/>
    <xf numFmtId="9" fontId="5" fillId="0" borderId="0" xfId="1" applyFont="1" applyFill="1"/>
    <xf numFmtId="8" fontId="0" fillId="2" borderId="0" xfId="0" applyNumberFormat="1" applyFill="1" applyBorder="1"/>
    <xf numFmtId="8" fontId="0" fillId="2" borderId="0" xfId="0" applyNumberFormat="1" applyFill="1" applyBorder="1" applyAlignment="1">
      <alignment horizontal="center"/>
    </xf>
    <xf numFmtId="8" fontId="0" fillId="2" borderId="8" xfId="0" applyNumberFormat="1" applyFill="1" applyBorder="1" applyAlignment="1">
      <alignment horizontal="center"/>
    </xf>
    <xf numFmtId="8" fontId="0" fillId="2" borderId="10" xfId="0" applyNumberFormat="1" applyFill="1" applyBorder="1" applyAlignment="1">
      <alignment horizontal="center"/>
    </xf>
    <xf numFmtId="8" fontId="0" fillId="2" borderId="11" xfId="0" applyNumberFormat="1" applyFill="1" applyBorder="1" applyAlignment="1">
      <alignment horizontal="center"/>
    </xf>
    <xf numFmtId="8" fontId="0" fillId="2" borderId="8" xfId="0" applyNumberFormat="1" applyFill="1" applyBorder="1"/>
    <xf numFmtId="8" fontId="0" fillId="2" borderId="10" xfId="0" applyNumberFormat="1" applyFill="1" applyBorder="1"/>
    <xf numFmtId="8" fontId="0" fillId="2" borderId="11" xfId="0" applyNumberFormat="1" applyFill="1" applyBorder="1"/>
    <xf numFmtId="0" fontId="6" fillId="0" borderId="0" xfId="0" applyFont="1"/>
    <xf numFmtId="0" fontId="6" fillId="0" borderId="0" xfId="2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2" applyFill="1" applyAlignment="1">
      <alignment horizontal="left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Bond Prices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4-year Bond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1'!$F$24:$F$42</c:f>
              <c:numCache>
                <c:formatCode>0.0%</c:formatCode>
                <c:ptCount val="1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3.0000000000000002E-2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5.4999999999999993E-2</c:v>
                </c:pt>
                <c:pt idx="10">
                  <c:v>5.9999999999999991E-2</c:v>
                </c:pt>
                <c:pt idx="11">
                  <c:v>6.4999999999999988E-2</c:v>
                </c:pt>
                <c:pt idx="12">
                  <c:v>6.9999999999999993E-2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9.0000000000000011E-2</c:v>
                </c:pt>
                <c:pt idx="17">
                  <c:v>9.5000000000000015E-2</c:v>
                </c:pt>
                <c:pt idx="18">
                  <c:v>0.10000000000000002</c:v>
                </c:pt>
              </c:numCache>
            </c:numRef>
          </c:cat>
          <c:val>
            <c:numRef>
              <c:f>'Part 1'!$G$24:$G$42</c:f>
              <c:numCache>
                <c:formatCode>"$"#,##0.00_);[Red]\("$"#,##0.00\)</c:formatCode>
                <c:ptCount val="19"/>
                <c:pt idx="0">
                  <c:v>119.55739809922599</c:v>
                </c:pt>
                <c:pt idx="1">
                  <c:v>117.40737980590401</c:v>
                </c:pt>
                <c:pt idx="2">
                  <c:v>115.30335550353757</c:v>
                </c:pt>
                <c:pt idx="3">
                  <c:v>113.24421751414602</c:v>
                </c:pt>
                <c:pt idx="4">
                  <c:v>111.22888761990126</c:v>
                </c:pt>
                <c:pt idx="5">
                  <c:v>109.25631620767767</c:v>
                </c:pt>
                <c:pt idx="6">
                  <c:v>107.32548144049441</c:v>
                </c:pt>
                <c:pt idx="7">
                  <c:v>105.4353884549457</c:v>
                </c:pt>
                <c:pt idx="8">
                  <c:v>103.58506858373816</c:v>
                </c:pt>
                <c:pt idx="9">
                  <c:v>101.77357860249342</c:v>
                </c:pt>
                <c:pt idx="10">
                  <c:v>100</c:v>
                </c:pt>
                <c:pt idx="11">
                  <c:v>98.263438271129658</c:v>
                </c:pt>
                <c:pt idx="12">
                  <c:v>96.563022231660725</c:v>
                </c:pt>
                <c:pt idx="13">
                  <c:v>94.897903354278654</c:v>
                </c:pt>
                <c:pt idx="14">
                  <c:v>93.267255125049587</c:v>
                </c:pt>
                <c:pt idx="15">
                  <c:v>91.670272419687734</c:v>
                </c:pt>
                <c:pt idx="16">
                  <c:v>90.106170898961935</c:v>
                </c:pt>
                <c:pt idx="17">
                  <c:v>88.574186422609358</c:v>
                </c:pt>
                <c:pt idx="18">
                  <c:v>87.073574481147475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1-4754-A454-B97AC8C09E91}"/>
            </c:ext>
          </c:extLst>
        </c:ser>
        <c:ser>
          <c:idx val="1"/>
          <c:order val="1"/>
          <c:tx>
            <c:v>10-year Bond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'Part 1'!$F$24:$F$42</c:f>
              <c:numCache>
                <c:formatCode>0.0%</c:formatCode>
                <c:ptCount val="1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3.0000000000000002E-2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5.4999999999999993E-2</c:v>
                </c:pt>
                <c:pt idx="10">
                  <c:v>5.9999999999999991E-2</c:v>
                </c:pt>
                <c:pt idx="11">
                  <c:v>6.4999999999999988E-2</c:v>
                </c:pt>
                <c:pt idx="12">
                  <c:v>6.9999999999999993E-2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9.0000000000000011E-2</c:v>
                </c:pt>
                <c:pt idx="17">
                  <c:v>9.5000000000000015E-2</c:v>
                </c:pt>
                <c:pt idx="18">
                  <c:v>0.10000000000000002</c:v>
                </c:pt>
              </c:numCache>
            </c:numRef>
          </c:cat>
          <c:val>
            <c:numRef>
              <c:f>'Part 1'!$H$24:$H$42</c:f>
              <c:numCache>
                <c:formatCode>"$"#,##0.00_);[Red]\("$"#,##0.00\)</c:formatCode>
                <c:ptCount val="19"/>
                <c:pt idx="0">
                  <c:v>147.46854786667325</c:v>
                </c:pt>
                <c:pt idx="1">
                  <c:v>141.64304431082542</c:v>
                </c:pt>
                <c:pt idx="2">
                  <c:v>136.0911059325409</c:v>
                </c:pt>
                <c:pt idx="3">
                  <c:v>130.79880323489476</c:v>
                </c:pt>
                <c:pt idx="4">
                  <c:v>125.75295817762267</c:v>
                </c:pt>
                <c:pt idx="5">
                  <c:v>120.94110163093787</c:v>
                </c:pt>
                <c:pt idx="6">
                  <c:v>116.35143334459711</c:v>
                </c:pt>
                <c:pt idx="7">
                  <c:v>111.97278427748192</c:v>
                </c:pt>
                <c:pt idx="8">
                  <c:v>107.79458114282339</c:v>
                </c:pt>
                <c:pt idx="9">
                  <c:v>103.80681303344392</c:v>
                </c:pt>
                <c:pt idx="10">
                  <c:v>100</c:v>
                </c:pt>
                <c:pt idx="11">
                  <c:v>96.365163463266455</c:v>
                </c:pt>
                <c:pt idx="12">
                  <c:v>92.893798349023882</c:v>
                </c:pt>
                <c:pt idx="13">
                  <c:v>89.577846841143383</c:v>
                </c:pt>
                <c:pt idx="14">
                  <c:v>86.409673655032293</c:v>
                </c:pt>
                <c:pt idx="15">
                  <c:v>83.382042739746538</c:v>
                </c:pt>
                <c:pt idx="16">
                  <c:v>80.488095322819476</c:v>
                </c:pt>
                <c:pt idx="17">
                  <c:v>77.721329217225474</c:v>
                </c:pt>
                <c:pt idx="18">
                  <c:v>75.07557931492002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1-4754-A454-B97AC8C09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011488"/>
        <c:axId val="416011816"/>
      </c:lineChart>
      <c:catAx>
        <c:axId val="416011488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11816"/>
        <c:crosses val="autoZero"/>
        <c:auto val="1"/>
        <c:lblAlgn val="ctr"/>
        <c:lblOffset val="100"/>
        <c:noMultiLvlLbl val="0"/>
      </c:catAx>
      <c:valAx>
        <c:axId val="41601181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11488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28988</xdr:colOff>
      <xdr:row>5</xdr:row>
      <xdr:rowOff>33129</xdr:rowOff>
    </xdr:from>
    <xdr:to>
      <xdr:col>7</xdr:col>
      <xdr:colOff>1536424</xdr:colOff>
      <xdr:row>19</xdr:row>
      <xdr:rowOff>82825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Applied%20Finance-MGMT%20648\Lecture%20Files\Daytime\Assignment%201\MGMT%20648%20-%20Spreadsheet%20Assignment%201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1"/>
      <sheetName val="Part 2"/>
      <sheetName val="Part 3"/>
    </sheetNames>
    <sheetDataSet>
      <sheetData sheetId="0">
        <row r="10">
          <cell r="C10">
            <v>2</v>
          </cell>
        </row>
        <row r="12">
          <cell r="C12">
            <v>100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tabSelected="1" zoomScale="85" zoomScaleNormal="85" workbookViewId="0"/>
  </sheetViews>
  <sheetFormatPr defaultRowHeight="12.75" x14ac:dyDescent="0.2"/>
  <cols>
    <col min="1" max="1" width="3.7109375" customWidth="1"/>
    <col min="2" max="2" width="29.28515625" customWidth="1"/>
    <col min="3" max="4" width="21.5703125" customWidth="1"/>
    <col min="5" max="6" width="9.28515625" bestFit="1" customWidth="1"/>
    <col min="7" max="8" width="21.5703125" customWidth="1"/>
    <col min="9" max="10" width="9.28515625" bestFit="1" customWidth="1"/>
    <col min="11" max="11" width="9.42578125" bestFit="1" customWidth="1"/>
  </cols>
  <sheetData>
    <row r="1" spans="2:5" ht="13.5" thickBot="1" x14ac:dyDescent="0.25"/>
    <row r="2" spans="2:5" x14ac:dyDescent="0.2">
      <c r="B2" s="27" t="s">
        <v>19</v>
      </c>
      <c r="C2" s="20"/>
      <c r="D2" s="28"/>
    </row>
    <row r="3" spans="2:5" ht="13.5" thickBot="1" x14ac:dyDescent="0.25">
      <c r="B3" s="29" t="s">
        <v>20</v>
      </c>
      <c r="C3" s="30"/>
      <c r="D3" s="31"/>
    </row>
    <row r="4" spans="2:5" ht="12.75" customHeight="1" x14ac:dyDescent="0.2"/>
    <row r="5" spans="2:5" ht="12.75" customHeight="1" x14ac:dyDescent="0.3">
      <c r="B5" s="89" t="s">
        <v>11</v>
      </c>
      <c r="C5" s="2"/>
      <c r="D5" s="2"/>
      <c r="E5" s="1" t="s">
        <v>17</v>
      </c>
    </row>
    <row r="7" spans="2:5" x14ac:dyDescent="0.2">
      <c r="B7" s="89" t="s">
        <v>0</v>
      </c>
    </row>
    <row r="8" spans="2:5" x14ac:dyDescent="0.2">
      <c r="B8" s="9" t="s">
        <v>1</v>
      </c>
      <c r="C8" s="80">
        <v>0.06</v>
      </c>
    </row>
    <row r="9" spans="2:5" x14ac:dyDescent="0.2">
      <c r="B9" s="9" t="s">
        <v>9</v>
      </c>
      <c r="C9" s="74">
        <v>3.6889999999999999E-2</v>
      </c>
    </row>
    <row r="10" spans="2:5" x14ac:dyDescent="0.2">
      <c r="B10" s="9" t="s">
        <v>2</v>
      </c>
      <c r="C10" s="75">
        <v>2</v>
      </c>
    </row>
    <row r="11" spans="2:5" x14ac:dyDescent="0.2">
      <c r="B11" s="9" t="s">
        <v>3</v>
      </c>
      <c r="C11" s="75">
        <v>8</v>
      </c>
      <c r="D11" s="6"/>
      <c r="E11" s="5"/>
    </row>
    <row r="12" spans="2:5" x14ac:dyDescent="0.2">
      <c r="B12" s="9" t="s">
        <v>4</v>
      </c>
      <c r="C12" s="75">
        <v>100</v>
      </c>
      <c r="D12" s="7"/>
    </row>
    <row r="13" spans="2:5" x14ac:dyDescent="0.2">
      <c r="D13" s="8"/>
    </row>
    <row r="14" spans="2:5" x14ac:dyDescent="0.2">
      <c r="B14" s="89" t="s">
        <v>10</v>
      </c>
    </row>
    <row r="15" spans="2:5" x14ac:dyDescent="0.2">
      <c r="B15" t="s">
        <v>8</v>
      </c>
      <c r="C15" s="68">
        <f>YTM/NOP</f>
        <v>1.8445E-2</v>
      </c>
      <c r="D15" t="str">
        <f ca="1">_xlfn.FORMULATEXT(C15)</f>
        <v>=YTM/NOP</v>
      </c>
    </row>
    <row r="16" spans="2:5" x14ac:dyDescent="0.2">
      <c r="B16" t="s">
        <v>6</v>
      </c>
      <c r="C16" s="69">
        <f>CR/NOP*M</f>
        <v>3</v>
      </c>
      <c r="D16" t="str">
        <f ca="1">_xlfn.FORMULATEXT(C16)</f>
        <v>=CR/NOP*M</v>
      </c>
    </row>
    <row r="17" spans="1:11" x14ac:dyDescent="0.2">
      <c r="A17" s="1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1"/>
      <c r="B18" s="89" t="s">
        <v>5</v>
      </c>
      <c r="D18" s="4"/>
      <c r="E18" s="4"/>
      <c r="F18" s="4"/>
      <c r="G18" s="4"/>
      <c r="H18" s="4"/>
      <c r="I18" s="4"/>
      <c r="J18" s="4"/>
      <c r="K18" s="4"/>
    </row>
    <row r="19" spans="1:11" x14ac:dyDescent="0.2">
      <c r="B19" t="s">
        <v>7</v>
      </c>
      <c r="C19" s="81">
        <f>-PV(DR,T,i,M)</f>
        <v>108.52160849251842</v>
      </c>
      <c r="D19" t="str">
        <f ca="1">_xlfn.FORMULATEXT(C19)</f>
        <v>=-PV(DR,T,i,M)</v>
      </c>
    </row>
    <row r="21" spans="1:11" ht="13.5" thickBot="1" x14ac:dyDescent="0.25">
      <c r="B21" s="1" t="s">
        <v>16</v>
      </c>
      <c r="E21" s="1" t="s">
        <v>13</v>
      </c>
    </row>
    <row r="22" spans="1:11" x14ac:dyDescent="0.2">
      <c r="B22" s="15"/>
      <c r="C22" s="91" t="s">
        <v>18</v>
      </c>
      <c r="D22" s="92"/>
      <c r="E22" s="15"/>
      <c r="F22" s="20"/>
      <c r="G22" s="91" t="s">
        <v>18</v>
      </c>
      <c r="H22" s="92"/>
    </row>
    <row r="23" spans="1:11" x14ac:dyDescent="0.2">
      <c r="B23" s="16" t="s">
        <v>12</v>
      </c>
      <c r="C23" s="13">
        <v>8</v>
      </c>
      <c r="D23" s="17">
        <v>20</v>
      </c>
      <c r="E23" s="21"/>
      <c r="F23" s="22">
        <f>C19</f>
        <v>108.52160849251842</v>
      </c>
      <c r="G23" s="14">
        <v>8</v>
      </c>
      <c r="H23" s="23">
        <v>20</v>
      </c>
    </row>
    <row r="24" spans="1:11" x14ac:dyDescent="0.2">
      <c r="B24" s="18">
        <v>0.01</v>
      </c>
      <c r="C24" s="82">
        <f t="shared" ref="C24:D42" si="0">-PV($B24/NOP,C$23,i,M)</f>
        <v>119.55739809922599</v>
      </c>
      <c r="D24" s="83">
        <f t="shared" si="0"/>
        <v>147.46854786667325</v>
      </c>
      <c r="E24" s="24" t="s">
        <v>14</v>
      </c>
      <c r="F24" s="25">
        <v>0.01</v>
      </c>
      <c r="G24" s="81">
        <f t="dataTable" ref="G24:H42" dt2D="1" dtr="1" r1="C11" r2="C9"/>
        <v>119.55739809922599</v>
      </c>
      <c r="H24" s="86">
        <v>147.46854786667325</v>
      </c>
    </row>
    <row r="25" spans="1:11" x14ac:dyDescent="0.2">
      <c r="B25" s="18">
        <f>B24+0.5%</f>
        <v>1.4999999999999999E-2</v>
      </c>
      <c r="C25" s="82">
        <f t="shared" si="0"/>
        <v>117.40737980590401</v>
      </c>
      <c r="D25" s="83">
        <f t="shared" si="0"/>
        <v>141.64304431082542</v>
      </c>
      <c r="E25" s="18"/>
      <c r="F25" s="25">
        <f>F24+0.5%</f>
        <v>1.4999999999999999E-2</v>
      </c>
      <c r="G25" s="81">
        <v>117.40737980590401</v>
      </c>
      <c r="H25" s="86">
        <v>141.64304431082542</v>
      </c>
    </row>
    <row r="26" spans="1:11" x14ac:dyDescent="0.2">
      <c r="B26" s="18">
        <f t="shared" ref="B26:B42" si="1">B25+0.5%</f>
        <v>0.02</v>
      </c>
      <c r="C26" s="82">
        <f t="shared" si="0"/>
        <v>115.30335550353757</v>
      </c>
      <c r="D26" s="83">
        <f t="shared" si="0"/>
        <v>136.0911059325409</v>
      </c>
      <c r="E26" s="18"/>
      <c r="F26" s="25">
        <f t="shared" ref="F26:F42" si="2">F25+0.5%</f>
        <v>0.02</v>
      </c>
      <c r="G26" s="81">
        <v>115.30335550353757</v>
      </c>
      <c r="H26" s="86">
        <v>136.0911059325409</v>
      </c>
    </row>
    <row r="27" spans="1:11" x14ac:dyDescent="0.2">
      <c r="B27" s="18">
        <f t="shared" si="1"/>
        <v>2.5000000000000001E-2</v>
      </c>
      <c r="C27" s="82">
        <f t="shared" si="0"/>
        <v>113.24421751414602</v>
      </c>
      <c r="D27" s="83">
        <f t="shared" si="0"/>
        <v>130.79880323489476</v>
      </c>
      <c r="E27" s="18"/>
      <c r="F27" s="25">
        <f t="shared" si="2"/>
        <v>2.5000000000000001E-2</v>
      </c>
      <c r="G27" s="81">
        <v>113.24421751414602</v>
      </c>
      <c r="H27" s="86">
        <v>130.79880323489476</v>
      </c>
    </row>
    <row r="28" spans="1:11" x14ac:dyDescent="0.2">
      <c r="B28" s="18">
        <f t="shared" si="1"/>
        <v>3.0000000000000002E-2</v>
      </c>
      <c r="C28" s="82">
        <f t="shared" si="0"/>
        <v>111.22888761990126</v>
      </c>
      <c r="D28" s="83">
        <f t="shared" si="0"/>
        <v>125.75295817762267</v>
      </c>
      <c r="E28" s="18"/>
      <c r="F28" s="25">
        <f t="shared" si="2"/>
        <v>3.0000000000000002E-2</v>
      </c>
      <c r="G28" s="81">
        <v>111.22888761990126</v>
      </c>
      <c r="H28" s="86">
        <v>125.75295817762267</v>
      </c>
    </row>
    <row r="29" spans="1:11" x14ac:dyDescent="0.2">
      <c r="B29" s="18">
        <f t="shared" si="1"/>
        <v>3.5000000000000003E-2</v>
      </c>
      <c r="C29" s="82">
        <f t="shared" si="0"/>
        <v>109.25631620767767</v>
      </c>
      <c r="D29" s="83">
        <f t="shared" si="0"/>
        <v>120.94110163093787</v>
      </c>
      <c r="E29" s="18"/>
      <c r="F29" s="25">
        <f t="shared" si="2"/>
        <v>3.5000000000000003E-2</v>
      </c>
      <c r="G29" s="81">
        <v>109.25631620767767</v>
      </c>
      <c r="H29" s="86">
        <v>120.94110163093787</v>
      </c>
    </row>
    <row r="30" spans="1:11" x14ac:dyDescent="0.2">
      <c r="B30" s="18">
        <f t="shared" si="1"/>
        <v>0.04</v>
      </c>
      <c r="C30" s="82">
        <f t="shared" si="0"/>
        <v>107.32548144049441</v>
      </c>
      <c r="D30" s="83">
        <f t="shared" si="0"/>
        <v>116.35143334459711</v>
      </c>
      <c r="E30" s="18"/>
      <c r="F30" s="25">
        <f t="shared" si="2"/>
        <v>0.04</v>
      </c>
      <c r="G30" s="81">
        <v>107.32548144049441</v>
      </c>
      <c r="H30" s="86">
        <v>116.35143334459711</v>
      </c>
    </row>
    <row r="31" spans="1:11" x14ac:dyDescent="0.2">
      <c r="B31" s="18">
        <f t="shared" si="1"/>
        <v>4.4999999999999998E-2</v>
      </c>
      <c r="C31" s="82">
        <f t="shared" si="0"/>
        <v>105.4353884549457</v>
      </c>
      <c r="D31" s="83">
        <f t="shared" si="0"/>
        <v>111.97278427748192</v>
      </c>
      <c r="E31" s="18"/>
      <c r="F31" s="25">
        <f t="shared" si="2"/>
        <v>4.4999999999999998E-2</v>
      </c>
      <c r="G31" s="81">
        <v>105.4353884549457</v>
      </c>
      <c r="H31" s="86">
        <v>111.97278427748192</v>
      </c>
    </row>
    <row r="32" spans="1:11" x14ac:dyDescent="0.2">
      <c r="B32" s="18">
        <f t="shared" si="1"/>
        <v>4.9999999999999996E-2</v>
      </c>
      <c r="C32" s="82">
        <f t="shared" si="0"/>
        <v>103.58506858373816</v>
      </c>
      <c r="D32" s="83">
        <f t="shared" si="0"/>
        <v>107.79458114282339</v>
      </c>
      <c r="E32" s="18"/>
      <c r="F32" s="25">
        <f t="shared" si="2"/>
        <v>4.9999999999999996E-2</v>
      </c>
      <c r="G32" s="81">
        <v>103.58506858373816</v>
      </c>
      <c r="H32" s="86">
        <v>107.79458114282339</v>
      </c>
    </row>
    <row r="33" spans="2:8" x14ac:dyDescent="0.2">
      <c r="B33" s="18">
        <f t="shared" si="1"/>
        <v>5.4999999999999993E-2</v>
      </c>
      <c r="C33" s="82">
        <f t="shared" si="0"/>
        <v>101.77357860249342</v>
      </c>
      <c r="D33" s="83">
        <f t="shared" si="0"/>
        <v>103.80681303344392</v>
      </c>
      <c r="E33" s="18"/>
      <c r="F33" s="25">
        <f t="shared" si="2"/>
        <v>5.4999999999999993E-2</v>
      </c>
      <c r="G33" s="81">
        <v>101.77357860249342</v>
      </c>
      <c r="H33" s="86">
        <v>103.80681303344392</v>
      </c>
    </row>
    <row r="34" spans="2:8" x14ac:dyDescent="0.2">
      <c r="B34" s="18">
        <f t="shared" si="1"/>
        <v>5.9999999999999991E-2</v>
      </c>
      <c r="C34" s="82">
        <f t="shared" si="0"/>
        <v>100</v>
      </c>
      <c r="D34" s="83">
        <f t="shared" si="0"/>
        <v>100</v>
      </c>
      <c r="E34" s="18"/>
      <c r="F34" s="25">
        <f t="shared" si="2"/>
        <v>5.9999999999999991E-2</v>
      </c>
      <c r="G34" s="81">
        <v>100</v>
      </c>
      <c r="H34" s="86">
        <v>100</v>
      </c>
    </row>
    <row r="35" spans="2:8" x14ac:dyDescent="0.2">
      <c r="B35" s="18">
        <f t="shared" si="1"/>
        <v>6.4999999999999988E-2</v>
      </c>
      <c r="C35" s="82">
        <f t="shared" si="0"/>
        <v>98.263438271129658</v>
      </c>
      <c r="D35" s="83">
        <f t="shared" si="0"/>
        <v>96.365163463266455</v>
      </c>
      <c r="E35" s="18"/>
      <c r="F35" s="25">
        <f t="shared" si="2"/>
        <v>6.4999999999999988E-2</v>
      </c>
      <c r="G35" s="81">
        <v>98.263438271129658</v>
      </c>
      <c r="H35" s="86">
        <v>96.365163463266455</v>
      </c>
    </row>
    <row r="36" spans="2:8" x14ac:dyDescent="0.2">
      <c r="B36" s="18">
        <f t="shared" si="1"/>
        <v>6.9999999999999993E-2</v>
      </c>
      <c r="C36" s="82">
        <f t="shared" si="0"/>
        <v>96.563022231660725</v>
      </c>
      <c r="D36" s="83">
        <f t="shared" si="0"/>
        <v>92.893798349023882</v>
      </c>
      <c r="E36" s="18"/>
      <c r="F36" s="25">
        <f t="shared" si="2"/>
        <v>6.9999999999999993E-2</v>
      </c>
      <c r="G36" s="81">
        <v>96.563022231660725</v>
      </c>
      <c r="H36" s="86">
        <v>92.893798349023882</v>
      </c>
    </row>
    <row r="37" spans="2:8" x14ac:dyDescent="0.2">
      <c r="B37" s="18">
        <f>B36+0.5%</f>
        <v>7.4999999999999997E-2</v>
      </c>
      <c r="C37" s="82">
        <f t="shared" si="0"/>
        <v>94.897903354278654</v>
      </c>
      <c r="D37" s="83">
        <f t="shared" si="0"/>
        <v>89.577846841143383</v>
      </c>
      <c r="E37" s="18"/>
      <c r="F37" s="25">
        <f>F36+0.5%</f>
        <v>7.4999999999999997E-2</v>
      </c>
      <c r="G37" s="81">
        <v>94.897903354278654</v>
      </c>
      <c r="H37" s="86">
        <v>89.577846841143383</v>
      </c>
    </row>
    <row r="38" spans="2:8" x14ac:dyDescent="0.2">
      <c r="B38" s="18">
        <f t="shared" si="1"/>
        <v>0.08</v>
      </c>
      <c r="C38" s="82">
        <f t="shared" si="0"/>
        <v>93.267255125049587</v>
      </c>
      <c r="D38" s="83">
        <f t="shared" si="0"/>
        <v>86.409673655032293</v>
      </c>
      <c r="E38" s="18"/>
      <c r="F38" s="25">
        <f t="shared" si="2"/>
        <v>0.08</v>
      </c>
      <c r="G38" s="81">
        <v>93.267255125049587</v>
      </c>
      <c r="H38" s="86">
        <v>86.409673655032293</v>
      </c>
    </row>
    <row r="39" spans="2:8" x14ac:dyDescent="0.2">
      <c r="B39" s="18">
        <f t="shared" si="1"/>
        <v>8.5000000000000006E-2</v>
      </c>
      <c r="C39" s="82">
        <f t="shared" si="0"/>
        <v>91.670272419687734</v>
      </c>
      <c r="D39" s="83">
        <f t="shared" si="0"/>
        <v>83.382042739746538</v>
      </c>
      <c r="E39" s="18"/>
      <c r="F39" s="25">
        <f t="shared" si="2"/>
        <v>8.5000000000000006E-2</v>
      </c>
      <c r="G39" s="81">
        <v>91.670272419687734</v>
      </c>
      <c r="H39" s="86">
        <v>83.382042739746538</v>
      </c>
    </row>
    <row r="40" spans="2:8" x14ac:dyDescent="0.2">
      <c r="B40" s="18">
        <f t="shared" si="1"/>
        <v>9.0000000000000011E-2</v>
      </c>
      <c r="C40" s="82">
        <f t="shared" si="0"/>
        <v>90.106170898961935</v>
      </c>
      <c r="D40" s="83">
        <f t="shared" si="0"/>
        <v>80.488095322819476</v>
      </c>
      <c r="E40" s="18"/>
      <c r="F40" s="25">
        <f t="shared" si="2"/>
        <v>9.0000000000000011E-2</v>
      </c>
      <c r="G40" s="81">
        <v>90.106170898961935</v>
      </c>
      <c r="H40" s="86">
        <v>80.488095322819476</v>
      </c>
    </row>
    <row r="41" spans="2:8" x14ac:dyDescent="0.2">
      <c r="B41" s="18">
        <f>B40+0.5%</f>
        <v>9.5000000000000015E-2</v>
      </c>
      <c r="C41" s="82">
        <f t="shared" si="0"/>
        <v>88.574186422609358</v>
      </c>
      <c r="D41" s="83">
        <f t="shared" si="0"/>
        <v>77.721329217225474</v>
      </c>
      <c r="E41" s="18"/>
      <c r="F41" s="25">
        <f>F40+0.5%</f>
        <v>9.5000000000000015E-2</v>
      </c>
      <c r="G41" s="81">
        <v>88.574186422609358</v>
      </c>
      <c r="H41" s="86">
        <v>77.721329217225474</v>
      </c>
    </row>
    <row r="42" spans="2:8" ht="13.5" thickBot="1" x14ac:dyDescent="0.25">
      <c r="B42" s="19">
        <f t="shared" si="1"/>
        <v>0.10000000000000002</v>
      </c>
      <c r="C42" s="84">
        <f t="shared" si="0"/>
        <v>87.073574481147475</v>
      </c>
      <c r="D42" s="85">
        <f t="shared" si="0"/>
        <v>75.07557931492002</v>
      </c>
      <c r="E42" s="19"/>
      <c r="F42" s="26">
        <f t="shared" si="2"/>
        <v>0.10000000000000002</v>
      </c>
      <c r="G42" s="87">
        <v>87.073574481147475</v>
      </c>
      <c r="H42" s="88">
        <v>75.07557931492002</v>
      </c>
    </row>
    <row r="43" spans="2:8" x14ac:dyDescent="0.2">
      <c r="D43" s="12"/>
      <c r="E43" s="11"/>
    </row>
    <row r="44" spans="2:8" x14ac:dyDescent="0.2">
      <c r="B44" s="11" t="s">
        <v>15</v>
      </c>
      <c r="C44" s="10" t="str">
        <f ca="1">_xlfn.FORMULATEXT(C42)</f>
        <v>=-PV($B42/NOP,C$23,i,M)</v>
      </c>
      <c r="F44" s="11" t="s">
        <v>15</v>
      </c>
      <c r="G44" t="str">
        <f ca="1">_xlfn.FORMULATEXT(G42)</f>
        <v>{=TABLE(C11,C9)}</v>
      </c>
    </row>
  </sheetData>
  <mergeCells count="2">
    <mergeCell ref="C22:D22"/>
    <mergeCell ref="G22:H22"/>
  </mergeCells>
  <phoneticPr fontId="0" type="noConversion"/>
  <pageMargins left="0.75" right="0.75" top="1" bottom="1" header="0.5" footer="0.5"/>
  <pageSetup orientation="landscape" horizontalDpi="4294967292" r:id="rId1"/>
  <headerFooter alignWithMargins="0">
    <oddHeader>&amp;CAssignment 1 - Sample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zoomScale="85" zoomScaleNormal="85" workbookViewId="0"/>
  </sheetViews>
  <sheetFormatPr defaultColWidth="9" defaultRowHeight="12.75" x14ac:dyDescent="0.2"/>
  <cols>
    <col min="1" max="1" width="34.7109375" style="37" customWidth="1"/>
    <col min="2" max="2" width="9.42578125" style="37" bestFit="1" customWidth="1"/>
    <col min="3" max="3" width="9" style="37"/>
    <col min="4" max="4" width="6.28515625" style="37" bestFit="1" customWidth="1"/>
    <col min="5" max="5" width="10.7109375" style="37" bestFit="1" customWidth="1"/>
    <col min="6" max="6" width="8.5703125" style="37" customWidth="1"/>
    <col min="7" max="7" width="11.140625" style="37" bestFit="1" customWidth="1"/>
    <col min="8" max="16384" width="9" style="37"/>
  </cols>
  <sheetData>
    <row r="1" spans="1:7" x14ac:dyDescent="0.2">
      <c r="A1" s="35" t="s">
        <v>42</v>
      </c>
      <c r="B1" s="36"/>
      <c r="C1" s="36"/>
      <c r="D1" s="36"/>
      <c r="E1" s="36"/>
      <c r="F1" s="36"/>
      <c r="G1" s="36"/>
    </row>
    <row r="2" spans="1:7" x14ac:dyDescent="0.2">
      <c r="A2" s="36"/>
      <c r="B2" s="36"/>
      <c r="C2" s="36"/>
      <c r="D2" s="36"/>
      <c r="E2" s="36"/>
      <c r="F2" s="36"/>
      <c r="G2" s="36"/>
    </row>
    <row r="3" spans="1:7" ht="13.5" thickBot="1" x14ac:dyDescent="0.25">
      <c r="A3" s="90" t="s">
        <v>0</v>
      </c>
      <c r="B3" s="36"/>
      <c r="C3" s="36"/>
      <c r="D3" s="93" t="s">
        <v>10</v>
      </c>
      <c r="E3" s="93"/>
      <c r="F3" s="93"/>
      <c r="G3" s="93"/>
    </row>
    <row r="4" spans="1:7" x14ac:dyDescent="0.2">
      <c r="A4" s="38" t="s">
        <v>43</v>
      </c>
      <c r="B4" s="77">
        <v>0.06</v>
      </c>
      <c r="C4" s="36"/>
      <c r="D4" s="52" t="s">
        <v>44</v>
      </c>
      <c r="E4" s="53" t="s">
        <v>45</v>
      </c>
      <c r="F4" s="53" t="s">
        <v>46</v>
      </c>
      <c r="G4" s="54" t="s">
        <v>47</v>
      </c>
    </row>
    <row r="5" spans="1:7" x14ac:dyDescent="0.2">
      <c r="A5" s="38" t="s">
        <v>48</v>
      </c>
      <c r="B5" s="78">
        <v>0.05</v>
      </c>
      <c r="C5" s="36"/>
      <c r="D5" s="55"/>
      <c r="E5" s="40"/>
      <c r="F5" s="39"/>
      <c r="G5" s="56"/>
    </row>
    <row r="6" spans="1:7" x14ac:dyDescent="0.2">
      <c r="A6" s="38" t="s">
        <v>49</v>
      </c>
      <c r="B6" s="79">
        <v>1</v>
      </c>
      <c r="C6" s="36"/>
      <c r="D6" s="55">
        <v>1</v>
      </c>
      <c r="E6" s="40">
        <f>$B$12</f>
        <v>60</v>
      </c>
      <c r="F6" s="41">
        <f t="shared" ref="F6:F15" si="0">E6/(1+DR_P2)^D6</f>
        <v>57.142857142857139</v>
      </c>
      <c r="G6" s="57">
        <f t="shared" ref="G6:G15" si="1">F6/$B$17</f>
        <v>5.3046729316439514E-2</v>
      </c>
    </row>
    <row r="7" spans="1:7" x14ac:dyDescent="0.2">
      <c r="A7" s="38" t="s">
        <v>50</v>
      </c>
      <c r="B7" s="79">
        <v>10</v>
      </c>
      <c r="C7" s="43"/>
      <c r="D7" s="55">
        <v>2</v>
      </c>
      <c r="E7" s="40">
        <f t="shared" ref="E7:E14" si="2">$B$12</f>
        <v>60</v>
      </c>
      <c r="F7" s="41">
        <f t="shared" si="0"/>
        <v>54.42176870748299</v>
      </c>
      <c r="G7" s="57">
        <f t="shared" si="1"/>
        <v>5.0520694587085253E-2</v>
      </c>
    </row>
    <row r="8" spans="1:7" x14ac:dyDescent="0.2">
      <c r="A8" s="38" t="s">
        <v>51</v>
      </c>
      <c r="B8" s="79">
        <v>1000</v>
      </c>
      <c r="C8" s="44"/>
      <c r="D8" s="55">
        <v>3</v>
      </c>
      <c r="E8" s="40">
        <f t="shared" si="2"/>
        <v>60</v>
      </c>
      <c r="F8" s="41">
        <f t="shared" si="0"/>
        <v>51.830255911888557</v>
      </c>
      <c r="G8" s="57">
        <f t="shared" si="1"/>
        <v>4.8114947225795478E-2</v>
      </c>
    </row>
    <row r="9" spans="1:7" x14ac:dyDescent="0.2">
      <c r="A9" s="36"/>
      <c r="B9" s="36"/>
      <c r="C9" s="36"/>
      <c r="D9" s="55">
        <v>4</v>
      </c>
      <c r="E9" s="40">
        <f t="shared" si="2"/>
        <v>60</v>
      </c>
      <c r="F9" s="41">
        <f t="shared" si="0"/>
        <v>49.362148487512918</v>
      </c>
      <c r="G9" s="57">
        <f t="shared" si="1"/>
        <v>4.5823759262662363E-2</v>
      </c>
    </row>
    <row r="10" spans="1:7" x14ac:dyDescent="0.2">
      <c r="A10" s="90" t="s">
        <v>10</v>
      </c>
      <c r="B10" s="36"/>
      <c r="C10" s="36"/>
      <c r="D10" s="55">
        <v>5</v>
      </c>
      <c r="E10" s="40">
        <f t="shared" si="2"/>
        <v>60</v>
      </c>
      <c r="F10" s="41">
        <f t="shared" si="0"/>
        <v>47.011569988107539</v>
      </c>
      <c r="G10" s="57">
        <f t="shared" si="1"/>
        <v>4.3641675488249869E-2</v>
      </c>
    </row>
    <row r="11" spans="1:7" x14ac:dyDescent="0.2">
      <c r="A11" s="36" t="s">
        <v>52</v>
      </c>
      <c r="B11" s="45">
        <f>+YTM_P2/NOP_P2</f>
        <v>0.05</v>
      </c>
      <c r="C11" s="36"/>
      <c r="D11" s="55">
        <v>6</v>
      </c>
      <c r="E11" s="40">
        <f t="shared" si="2"/>
        <v>60</v>
      </c>
      <c r="F11" s="41">
        <f t="shared" si="0"/>
        <v>44.77292379819766</v>
      </c>
      <c r="G11" s="57">
        <f t="shared" si="1"/>
        <v>4.1563500464999875E-2</v>
      </c>
    </row>
    <row r="12" spans="1:7" x14ac:dyDescent="0.2">
      <c r="A12" s="36" t="s">
        <v>53</v>
      </c>
      <c r="B12" s="46">
        <f>CR_P2*M_P2/NOP_P2</f>
        <v>60</v>
      </c>
      <c r="C12" s="36"/>
      <c r="D12" s="55">
        <v>7</v>
      </c>
      <c r="E12" s="40">
        <f t="shared" si="2"/>
        <v>60</v>
      </c>
      <c r="F12" s="41">
        <f t="shared" si="0"/>
        <v>42.640879807807288</v>
      </c>
      <c r="G12" s="57">
        <f t="shared" si="1"/>
        <v>3.9584286157142733E-2</v>
      </c>
    </row>
    <row r="13" spans="1:7" x14ac:dyDescent="0.2">
      <c r="A13" s="36"/>
      <c r="B13" s="36"/>
      <c r="C13" s="36"/>
      <c r="D13" s="55">
        <v>8</v>
      </c>
      <c r="E13" s="40">
        <f t="shared" si="2"/>
        <v>60</v>
      </c>
      <c r="F13" s="41">
        <f t="shared" si="0"/>
        <v>40.610361721721233</v>
      </c>
      <c r="G13" s="57">
        <f t="shared" si="1"/>
        <v>3.7699320149659751E-2</v>
      </c>
    </row>
    <row r="14" spans="1:7" x14ac:dyDescent="0.2">
      <c r="C14" s="36"/>
      <c r="D14" s="55">
        <v>9</v>
      </c>
      <c r="E14" s="40">
        <f t="shared" si="2"/>
        <v>60</v>
      </c>
      <c r="F14" s="41">
        <f t="shared" si="0"/>
        <v>38.676534973067838</v>
      </c>
      <c r="G14" s="57">
        <f t="shared" si="1"/>
        <v>3.5904114428247383E-2</v>
      </c>
    </row>
    <row r="15" spans="1:7" ht="13.5" thickBot="1" x14ac:dyDescent="0.25">
      <c r="C15" s="36"/>
      <c r="D15" s="58">
        <v>10</v>
      </c>
      <c r="E15" s="59">
        <f>$B$12+M_P2</f>
        <v>1060</v>
      </c>
      <c r="F15" s="60">
        <f t="shared" si="0"/>
        <v>650.7480487532049</v>
      </c>
      <c r="G15" s="61">
        <f t="shared" si="1"/>
        <v>0.60410097291971787</v>
      </c>
    </row>
    <row r="16" spans="1:7" x14ac:dyDescent="0.2">
      <c r="A16" s="90" t="s">
        <v>5</v>
      </c>
      <c r="C16" s="36"/>
      <c r="D16" s="39"/>
      <c r="E16" s="40"/>
      <c r="F16" s="41"/>
      <c r="G16" s="42">
        <f>SUM(G6:G15)</f>
        <v>1</v>
      </c>
    </row>
    <row r="17" spans="1:7" x14ac:dyDescent="0.2">
      <c r="A17" s="47" t="s">
        <v>54</v>
      </c>
      <c r="B17" s="62">
        <f>SUM(F6:F23)</f>
        <v>1077.217349291848</v>
      </c>
      <c r="C17" s="48" t="str">
        <f ca="1">_xlfn.FORMULATEXT(B17)</f>
        <v>=SUM(F6:F23)</v>
      </c>
      <c r="D17" s="39"/>
      <c r="E17" s="40"/>
      <c r="F17" s="41"/>
      <c r="G17" s="49"/>
    </row>
    <row r="18" spans="1:7" x14ac:dyDescent="0.2">
      <c r="A18" s="35" t="s">
        <v>29</v>
      </c>
      <c r="B18" s="63">
        <f>SUMPRODUCT(D6:D15,G6:G15)</f>
        <v>7.8921487007985771</v>
      </c>
      <c r="C18" s="48" t="str">
        <f t="shared" ref="C18:C21" ca="1" si="3">_xlfn.FORMULATEXT(B18)</f>
        <v>=SUMPRODUCT(D6:D15,G6:G15)</v>
      </c>
      <c r="D18" s="39"/>
      <c r="E18" s="40"/>
      <c r="F18" s="41"/>
      <c r="G18" s="49"/>
    </row>
    <row r="19" spans="1:7" x14ac:dyDescent="0.2">
      <c r="A19" s="35" t="s">
        <v>55</v>
      </c>
      <c r="B19" s="64">
        <f>SUMPRODUCT(D6:D15,F6:F15)/B17</f>
        <v>7.8921487007985753</v>
      </c>
      <c r="C19" s="48" t="str">
        <f t="shared" ca="1" si="3"/>
        <v>=SUMPRODUCT(D6:D15,F6:F15)/B17</v>
      </c>
      <c r="D19" s="39"/>
      <c r="E19" s="40"/>
      <c r="F19" s="41"/>
      <c r="G19" s="49"/>
    </row>
    <row r="20" spans="1:7" x14ac:dyDescent="0.2">
      <c r="A20" s="35" t="s">
        <v>56</v>
      </c>
      <c r="B20" s="64">
        <f ca="1">DURATION(TODAY(),EDATE(TODAY(),B7/NOP_P2*12),CR_P2,YTM_P2,1)</f>
        <v>7.8921487007985753</v>
      </c>
      <c r="C20" s="48" t="str">
        <f t="shared" ca="1" si="3"/>
        <v>=DURATION(TODAY(),EDATE(TODAY(),B7/NOP_P2*12),CR_P2,YTM_P2,1)</v>
      </c>
      <c r="D20" s="39"/>
      <c r="E20" s="40"/>
      <c r="F20" s="41"/>
      <c r="G20" s="49"/>
    </row>
    <row r="21" spans="1:7" x14ac:dyDescent="0.2">
      <c r="A21" s="35" t="s">
        <v>57</v>
      </c>
      <c r="B21" s="64">
        <f ca="1">MDURATION(TODAY(),EDATE(TODAY(),B7/NOP_P2*12),CR_P2,YTM_P2,1)</f>
        <v>7.516332095998643</v>
      </c>
      <c r="C21" s="48" t="str">
        <f t="shared" ca="1" si="3"/>
        <v>=MDURATION(TODAY(),EDATE(TODAY(),B7/NOP_P2*12),CR_P2,YTM_P2,1)</v>
      </c>
      <c r="D21" s="39"/>
      <c r="E21" s="40"/>
      <c r="F21" s="41"/>
      <c r="G21" s="49"/>
    </row>
    <row r="22" spans="1:7" x14ac:dyDescent="0.2">
      <c r="A22" s="36"/>
      <c r="B22" s="36"/>
      <c r="C22" s="46"/>
      <c r="D22" s="39"/>
      <c r="E22" s="40"/>
      <c r="F22" s="41"/>
      <c r="G22" s="49"/>
    </row>
    <row r="23" spans="1:7" x14ac:dyDescent="0.2">
      <c r="A23" s="36"/>
      <c r="B23" s="36"/>
      <c r="C23" s="36"/>
      <c r="D23" s="39"/>
      <c r="E23" s="40"/>
      <c r="F23" s="41"/>
      <c r="G23" s="49"/>
    </row>
    <row r="24" spans="1:7" x14ac:dyDescent="0.2">
      <c r="A24" s="35" t="s">
        <v>58</v>
      </c>
      <c r="B24" s="50"/>
      <c r="C24" s="36"/>
      <c r="D24" s="36"/>
      <c r="E24" s="36"/>
      <c r="F24" s="36"/>
      <c r="G24" s="36"/>
    </row>
    <row r="25" spans="1:7" x14ac:dyDescent="0.2">
      <c r="A25" s="90" t="s">
        <v>0</v>
      </c>
      <c r="B25" s="36"/>
      <c r="C25" s="36"/>
      <c r="D25" s="36"/>
      <c r="E25" s="36"/>
      <c r="F25" s="36"/>
      <c r="G25" s="36"/>
    </row>
    <row r="26" spans="1:7" x14ac:dyDescent="0.2">
      <c r="A26" s="38" t="s">
        <v>59</v>
      </c>
      <c r="B26" s="77">
        <v>0.01</v>
      </c>
      <c r="C26" s="36"/>
      <c r="D26" s="36"/>
      <c r="E26" s="36"/>
      <c r="F26" s="36"/>
      <c r="G26" s="36"/>
    </row>
    <row r="27" spans="1:7" x14ac:dyDescent="0.2">
      <c r="A27" s="38"/>
      <c r="B27" s="36"/>
      <c r="C27" s="36"/>
      <c r="D27" s="36"/>
      <c r="E27" s="36"/>
      <c r="F27" s="36"/>
      <c r="G27" s="36"/>
    </row>
    <row r="28" spans="1:7" x14ac:dyDescent="0.2">
      <c r="A28" s="90" t="s">
        <v>5</v>
      </c>
      <c r="B28" s="36"/>
      <c r="C28" s="36"/>
      <c r="D28" s="36"/>
      <c r="E28" s="36"/>
      <c r="F28" s="36"/>
      <c r="G28" s="36"/>
    </row>
    <row r="29" spans="1:7" x14ac:dyDescent="0.2">
      <c r="A29" s="36" t="s">
        <v>60</v>
      </c>
      <c r="B29" s="65">
        <f ca="1">-B20*(B26)/(1+DR_P2)</f>
        <v>-7.5163320959986429E-2</v>
      </c>
      <c r="C29" s="46" t="str">
        <f ca="1">_xlfn.FORMULATEXT(B29)</f>
        <v>=-B20*(B26)/(1+DR_P2)</v>
      </c>
      <c r="D29" s="36"/>
      <c r="E29" s="36"/>
      <c r="F29" s="36"/>
      <c r="G29" s="36"/>
    </row>
    <row r="30" spans="1:7" x14ac:dyDescent="0.2">
      <c r="A30" s="36" t="s">
        <v>61</v>
      </c>
      <c r="B30" s="66">
        <f ca="1">B29*B17</f>
        <v>-80.967233368488976</v>
      </c>
      <c r="C30" s="46" t="str">
        <f ca="1">_xlfn.FORMULATEXT(B30)</f>
        <v>=B29*B17</v>
      </c>
      <c r="D30" s="36"/>
      <c r="E30" s="36"/>
      <c r="F30" s="36"/>
      <c r="G30" s="36"/>
    </row>
    <row r="31" spans="1:7" x14ac:dyDescent="0.2">
      <c r="A31" s="36" t="s">
        <v>62</v>
      </c>
      <c r="B31" s="67">
        <f>-PV((YTM_P2+B26)/NOP_P2,NOP_P2*B7,CR_P2*M_P2/NOP_P2,M_P2)</f>
        <v>999.99999999999989</v>
      </c>
      <c r="C31" s="36" t="str">
        <f ca="1">_xlfn.FORMULATEXT(B31)</f>
        <v>=-PV((YTM_P2+B26)/NOP_P2,NOP_P2*B7,CR_P2*M_P2/NOP_P2,M_P2)</v>
      </c>
      <c r="D31" s="36"/>
      <c r="E31" s="36"/>
      <c r="F31" s="36"/>
      <c r="G31" s="36"/>
    </row>
    <row r="32" spans="1:7" x14ac:dyDescent="0.2">
      <c r="A32" s="36" t="s">
        <v>63</v>
      </c>
      <c r="B32" s="65">
        <f>(B31-B17)/B17</f>
        <v>-7.1682236962308521E-2</v>
      </c>
      <c r="C32" s="46" t="str">
        <f ca="1">_xlfn.FORMULATEXT(B32)</f>
        <v>=(B31-B17)/B17</v>
      </c>
      <c r="D32" s="36"/>
      <c r="E32" s="36"/>
      <c r="F32" s="36"/>
      <c r="G32" s="36"/>
    </row>
    <row r="33" spans="1:3" x14ac:dyDescent="0.2">
      <c r="A33" s="38" t="s">
        <v>64</v>
      </c>
      <c r="B33" s="66">
        <f>B31-B17</f>
        <v>-77.217349291848109</v>
      </c>
      <c r="C33" s="51" t="str">
        <f ca="1">_xlfn.FORMULATEXT(B33)</f>
        <v>=B31-B17</v>
      </c>
    </row>
  </sheetData>
  <mergeCells count="1">
    <mergeCell ref="D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85" zoomScaleNormal="85" workbookViewId="0"/>
  </sheetViews>
  <sheetFormatPr defaultRowHeight="12.75" x14ac:dyDescent="0.2"/>
  <cols>
    <col min="1" max="1" width="2.42578125" customWidth="1"/>
    <col min="2" max="2" width="47.42578125" bestFit="1" customWidth="1"/>
    <col min="3" max="7" width="14" customWidth="1"/>
  </cols>
  <sheetData>
    <row r="1" spans="1:5" x14ac:dyDescent="0.2">
      <c r="A1" s="1" t="s">
        <v>65</v>
      </c>
    </row>
    <row r="2" spans="1:5" x14ac:dyDescent="0.2">
      <c r="B2" s="89" t="s">
        <v>0</v>
      </c>
    </row>
    <row r="3" spans="1:5" x14ac:dyDescent="0.2">
      <c r="B3" s="33" t="s">
        <v>22</v>
      </c>
      <c r="C3" s="74">
        <v>3.0800000000000001E-2</v>
      </c>
      <c r="E3" s="3"/>
    </row>
    <row r="4" spans="1:5" x14ac:dyDescent="0.2">
      <c r="B4" s="33" t="s">
        <v>23</v>
      </c>
      <c r="C4" s="74">
        <v>3.0800000000000001E-2</v>
      </c>
    </row>
    <row r="5" spans="1:5" x14ac:dyDescent="0.2">
      <c r="B5" s="33" t="s">
        <v>24</v>
      </c>
      <c r="C5" s="75">
        <v>1</v>
      </c>
    </row>
    <row r="6" spans="1:5" x14ac:dyDescent="0.2">
      <c r="B6" s="33" t="s">
        <v>25</v>
      </c>
      <c r="C6" s="75">
        <v>30</v>
      </c>
    </row>
    <row r="7" spans="1:5" x14ac:dyDescent="0.2">
      <c r="B7" s="33" t="s">
        <v>26</v>
      </c>
      <c r="C7" s="76">
        <v>100000</v>
      </c>
    </row>
    <row r="8" spans="1:5" x14ac:dyDescent="0.2">
      <c r="B8" s="33" t="s">
        <v>31</v>
      </c>
      <c r="C8" s="76">
        <v>20</v>
      </c>
    </row>
    <row r="10" spans="1:5" x14ac:dyDescent="0.2">
      <c r="B10" s="89" t="s">
        <v>21</v>
      </c>
    </row>
    <row r="11" spans="1:5" x14ac:dyDescent="0.2">
      <c r="B11" s="32" t="s">
        <v>27</v>
      </c>
      <c r="C11" s="68">
        <f>YTM_P3/NOP_P3</f>
        <v>3.0800000000000001E-2</v>
      </c>
      <c r="D11" t="str">
        <f ca="1">_xlfn.FORMULATEXT(C11)</f>
        <v>=YTM_P3/NOP_P3</v>
      </c>
    </row>
    <row r="12" spans="1:5" x14ac:dyDescent="0.2">
      <c r="B12" s="32" t="s">
        <v>28</v>
      </c>
      <c r="C12" s="69">
        <f>CR_P3/NOP_P3*M_P3</f>
        <v>3080</v>
      </c>
      <c r="D12" t="str">
        <f ca="1">_xlfn.FORMULATEXT(C12)</f>
        <v>=CR_P3/NOP_P3*M_P3</v>
      </c>
    </row>
    <row r="13" spans="1:5" x14ac:dyDescent="0.2">
      <c r="B13" s="32" t="s">
        <v>38</v>
      </c>
      <c r="C13" s="70">
        <f ca="1">DURATION(TODAY(),EDATE(TODAY(),T_P3/NOP_P3*12),CR_P3,YTM_P3,NOP_P3)</f>
        <v>19.996794230766163</v>
      </c>
      <c r="D13" t="str">
        <f ca="1">_xlfn.FORMULATEXT(C13)</f>
        <v>=DURATION(TODAY(),EDATE(TODAY(),T_P3/NOP_P3*12),CR_P3,YTM_P3,NOP_P3)</v>
      </c>
    </row>
    <row r="15" spans="1:5" x14ac:dyDescent="0.2">
      <c r="B15" s="32" t="s">
        <v>36</v>
      </c>
      <c r="C15" s="71">
        <f>M_P3*(1+CR_P3)^C8</f>
        <v>183437.53153054893</v>
      </c>
      <c r="D15" t="str">
        <f ca="1">_xlfn.FORMULATEXT(C15)</f>
        <v>=M_P3*(1+CR_P3)^C8</v>
      </c>
    </row>
    <row r="16" spans="1:5" x14ac:dyDescent="0.2">
      <c r="B16" s="32" t="s">
        <v>35</v>
      </c>
      <c r="C16" s="72">
        <v>20</v>
      </c>
      <c r="D16" s="32" t="s">
        <v>37</v>
      </c>
    </row>
    <row r="17" spans="2:7" x14ac:dyDescent="0.2">
      <c r="C17" s="94" t="s">
        <v>30</v>
      </c>
      <c r="D17" s="94"/>
      <c r="E17" s="94"/>
      <c r="F17" s="94"/>
      <c r="G17" s="94"/>
    </row>
    <row r="18" spans="2:7" x14ac:dyDescent="0.2">
      <c r="B18" s="11" t="s">
        <v>32</v>
      </c>
      <c r="C18" s="34">
        <f>CR_P3</f>
        <v>3.0800000000000001E-2</v>
      </c>
      <c r="D18" s="34">
        <v>0.02</v>
      </c>
      <c r="E18" s="34">
        <v>0.04</v>
      </c>
      <c r="F18" s="34">
        <v>0.03</v>
      </c>
      <c r="G18" s="34">
        <v>3.2000000000000001E-2</v>
      </c>
    </row>
    <row r="19" spans="2:7" x14ac:dyDescent="0.2">
      <c r="B19">
        <v>1</v>
      </c>
      <c r="C19" s="71">
        <f t="shared" ref="C19:G28" si="0">I_P3*(1+C$18)^($C$8-$B19)</f>
        <v>5481.0593433652566</v>
      </c>
      <c r="D19" s="71">
        <f t="shared" si="0"/>
        <v>4486.9784113856185</v>
      </c>
      <c r="E19" s="71">
        <f t="shared" si="0"/>
        <v>6489.0954620605171</v>
      </c>
      <c r="F19" s="71">
        <f t="shared" si="0"/>
        <v>5400.7986434774684</v>
      </c>
      <c r="G19" s="71">
        <f t="shared" si="0"/>
        <v>5603.5721096841689</v>
      </c>
    </row>
    <row r="20" spans="2:7" x14ac:dyDescent="0.2">
      <c r="B20" s="32">
        <f>B19+1</f>
        <v>2</v>
      </c>
      <c r="C20" s="71">
        <f t="shared" si="0"/>
        <v>5317.2869066407229</v>
      </c>
      <c r="D20" s="71">
        <f t="shared" si="0"/>
        <v>4398.9984425349203</v>
      </c>
      <c r="E20" s="71">
        <f t="shared" si="0"/>
        <v>6239.5148673658814</v>
      </c>
      <c r="F20" s="71">
        <f t="shared" si="0"/>
        <v>5243.4938286189017</v>
      </c>
      <c r="G20" s="71">
        <f t="shared" si="0"/>
        <v>5429.8179357404742</v>
      </c>
    </row>
    <row r="21" spans="2:7" x14ac:dyDescent="0.2">
      <c r="B21" s="32">
        <f t="shared" ref="B21:B38" si="1">B20+1</f>
        <v>3</v>
      </c>
      <c r="C21" s="71">
        <f t="shared" si="0"/>
        <v>5158.4079420263124</v>
      </c>
      <c r="D21" s="71">
        <f t="shared" si="0"/>
        <v>4312.7435711126673</v>
      </c>
      <c r="E21" s="71">
        <f t="shared" si="0"/>
        <v>5999.5335263133475</v>
      </c>
      <c r="F21" s="71">
        <f t="shared" si="0"/>
        <v>5090.7707073969923</v>
      </c>
      <c r="G21" s="71">
        <f t="shared" si="0"/>
        <v>5261.4514881206151</v>
      </c>
    </row>
    <row r="22" spans="2:7" x14ac:dyDescent="0.2">
      <c r="B22" s="32">
        <f t="shared" si="1"/>
        <v>4</v>
      </c>
      <c r="C22" s="71">
        <f t="shared" si="0"/>
        <v>5004.2762340185418</v>
      </c>
      <c r="D22" s="71">
        <f t="shared" si="0"/>
        <v>4228.1799716790847</v>
      </c>
      <c r="E22" s="71">
        <f t="shared" si="0"/>
        <v>5768.7822368397565</v>
      </c>
      <c r="F22" s="71">
        <f t="shared" si="0"/>
        <v>4942.4958324242643</v>
      </c>
      <c r="G22" s="71">
        <f t="shared" si="0"/>
        <v>5098.3057055432309</v>
      </c>
    </row>
    <row r="23" spans="2:7" x14ac:dyDescent="0.2">
      <c r="B23" s="32">
        <f t="shared" si="1"/>
        <v>5</v>
      </c>
      <c r="C23" s="71">
        <f t="shared" si="0"/>
        <v>4854.7499359900476</v>
      </c>
      <c r="D23" s="71">
        <f t="shared" si="0"/>
        <v>4145.2744820383177</v>
      </c>
      <c r="E23" s="71">
        <f t="shared" si="0"/>
        <v>5546.9059969613036</v>
      </c>
      <c r="F23" s="71">
        <f t="shared" si="0"/>
        <v>4798.5396431303543</v>
      </c>
      <c r="G23" s="71">
        <f t="shared" si="0"/>
        <v>4940.2187069217343</v>
      </c>
    </row>
    <row r="24" spans="2:7" x14ac:dyDescent="0.2">
      <c r="B24" s="32">
        <f t="shared" si="1"/>
        <v>6</v>
      </c>
      <c r="C24" s="71">
        <f t="shared" si="0"/>
        <v>4709.6914396488628</v>
      </c>
      <c r="D24" s="71">
        <f t="shared" si="0"/>
        <v>4063.9945902336462</v>
      </c>
      <c r="E24" s="71">
        <f t="shared" si="0"/>
        <v>5333.5634586166379</v>
      </c>
      <c r="F24" s="71">
        <f t="shared" si="0"/>
        <v>4658.7763525537421</v>
      </c>
      <c r="G24" s="71">
        <f t="shared" si="0"/>
        <v>4787.0336307381158</v>
      </c>
    </row>
    <row r="25" spans="2:7" x14ac:dyDescent="0.2">
      <c r="B25" s="32">
        <f t="shared" si="1"/>
        <v>7</v>
      </c>
      <c r="C25" s="71">
        <f t="shared" si="0"/>
        <v>4568.9672483981985</v>
      </c>
      <c r="D25" s="71">
        <f t="shared" si="0"/>
        <v>3984.3084217976921</v>
      </c>
      <c r="E25" s="71">
        <f t="shared" si="0"/>
        <v>5128.4264025159982</v>
      </c>
      <c r="F25" s="71">
        <f t="shared" si="0"/>
        <v>4523.0838374308169</v>
      </c>
      <c r="G25" s="71">
        <f t="shared" si="0"/>
        <v>4638.5984793973994</v>
      </c>
    </row>
    <row r="26" spans="2:7" x14ac:dyDescent="0.2">
      <c r="B26" s="32">
        <f t="shared" si="1"/>
        <v>8</v>
      </c>
      <c r="C26" s="71">
        <f t="shared" si="0"/>
        <v>4432.4478544802087</v>
      </c>
      <c r="D26" s="71">
        <f t="shared" si="0"/>
        <v>3906.1847272526393</v>
      </c>
      <c r="E26" s="71">
        <f t="shared" si="0"/>
        <v>4931.1792331884599</v>
      </c>
      <c r="F26" s="71">
        <f t="shared" si="0"/>
        <v>4391.3435314862299</v>
      </c>
      <c r="G26" s="71">
        <f t="shared" si="0"/>
        <v>4494.7659684083328</v>
      </c>
    </row>
    <row r="27" spans="2:7" x14ac:dyDescent="0.2">
      <c r="B27" s="32">
        <f t="shared" si="1"/>
        <v>9</v>
      </c>
      <c r="C27" s="71">
        <f t="shared" si="0"/>
        <v>4300.0076197906556</v>
      </c>
      <c r="D27" s="71">
        <f t="shared" si="0"/>
        <v>3829.5928698555281</v>
      </c>
      <c r="E27" s="71">
        <f t="shared" si="0"/>
        <v>4741.5184934504414</v>
      </c>
      <c r="F27" s="71">
        <f t="shared" si="0"/>
        <v>4263.4403218312918</v>
      </c>
      <c r="G27" s="71">
        <f t="shared" si="0"/>
        <v>4355.3933802406327</v>
      </c>
    </row>
    <row r="28" spans="2:7" x14ac:dyDescent="0.2">
      <c r="B28" s="32">
        <f t="shared" si="1"/>
        <v>10</v>
      </c>
      <c r="C28" s="71">
        <f t="shared" si="0"/>
        <v>4171.5246602548086</v>
      </c>
      <c r="D28" s="71">
        <f t="shared" si="0"/>
        <v>3754.502813583852</v>
      </c>
      <c r="E28" s="71">
        <f t="shared" si="0"/>
        <v>4559.1523975485015</v>
      </c>
      <c r="F28" s="71">
        <f t="shared" si="0"/>
        <v>4139.2624483798954</v>
      </c>
      <c r="G28" s="71">
        <f t="shared" si="0"/>
        <v>4220.3424227137912</v>
      </c>
    </row>
    <row r="29" spans="2:7" x14ac:dyDescent="0.2">
      <c r="B29" s="32">
        <f t="shared" si="1"/>
        <v>11</v>
      </c>
      <c r="C29" s="71">
        <f t="shared" ref="C29:G38" si="2">I_P3*(1+C$18)^($C$8-$B29)</f>
        <v>4046.8807336581376</v>
      </c>
      <c r="D29" s="71">
        <f t="shared" si="2"/>
        <v>3680.8851113567175</v>
      </c>
      <c r="E29" s="71">
        <f t="shared" si="2"/>
        <v>4383.8003822581741</v>
      </c>
      <c r="F29" s="71">
        <f t="shared" si="2"/>
        <v>4018.7014061940731</v>
      </c>
      <c r="G29" s="71">
        <f t="shared" si="2"/>
        <v>4089.4790917769301</v>
      </c>
    </row>
    <row r="30" spans="2:7" x14ac:dyDescent="0.2">
      <c r="B30" s="32">
        <f t="shared" si="1"/>
        <v>12</v>
      </c>
      <c r="C30" s="71">
        <f t="shared" si="2"/>
        <v>3925.9611308286162</v>
      </c>
      <c r="D30" s="71">
        <f t="shared" si="2"/>
        <v>3608.710893486978</v>
      </c>
      <c r="E30" s="71">
        <f t="shared" si="2"/>
        <v>4215.1926752482441</v>
      </c>
      <c r="F30" s="71">
        <f t="shared" si="2"/>
        <v>3901.6518506738571</v>
      </c>
      <c r="G30" s="71">
        <f t="shared" si="2"/>
        <v>3962.6735385435363</v>
      </c>
    </row>
    <row r="31" spans="2:7" x14ac:dyDescent="0.2">
      <c r="B31" s="32">
        <f t="shared" si="1"/>
        <v>13</v>
      </c>
      <c r="C31" s="71">
        <f t="shared" si="2"/>
        <v>3808.654570070446</v>
      </c>
      <c r="D31" s="71">
        <f t="shared" si="2"/>
        <v>3537.9518563597817</v>
      </c>
      <c r="E31" s="71">
        <f t="shared" si="2"/>
        <v>4053.0698800463879</v>
      </c>
      <c r="F31" s="71">
        <f t="shared" si="2"/>
        <v>3788.0115055085994</v>
      </c>
      <c r="G31" s="71">
        <f t="shared" si="2"/>
        <v>3839.7999404491625</v>
      </c>
    </row>
    <row r="32" spans="2:7" x14ac:dyDescent="0.2">
      <c r="B32" s="32">
        <f t="shared" si="1"/>
        <v>14</v>
      </c>
      <c r="C32" s="71">
        <f t="shared" si="2"/>
        <v>3694.8530947520826</v>
      </c>
      <c r="D32" s="71">
        <f t="shared" si="2"/>
        <v>3468.58025133312</v>
      </c>
      <c r="E32" s="71">
        <f t="shared" si="2"/>
        <v>3897.1825769676811</v>
      </c>
      <c r="F32" s="71">
        <f t="shared" si="2"/>
        <v>3677.6810733093198</v>
      </c>
      <c r="G32" s="71">
        <f t="shared" si="2"/>
        <v>3720.7363764042279</v>
      </c>
    </row>
    <row r="33" spans="2:7" x14ac:dyDescent="0.2">
      <c r="B33" s="32">
        <f t="shared" si="1"/>
        <v>15</v>
      </c>
      <c r="C33" s="71">
        <f t="shared" si="2"/>
        <v>3584.4519739542902</v>
      </c>
      <c r="D33" s="71">
        <f t="shared" si="2"/>
        <v>3400.5688738560002</v>
      </c>
      <c r="E33" s="71">
        <f t="shared" si="2"/>
        <v>3747.2909393920013</v>
      </c>
      <c r="F33" s="71">
        <f t="shared" si="2"/>
        <v>3570.5641488439996</v>
      </c>
      <c r="G33" s="71">
        <f t="shared" si="2"/>
        <v>3605.3647058180509</v>
      </c>
    </row>
    <row r="34" spans="2:7" x14ac:dyDescent="0.2">
      <c r="B34" s="32">
        <f t="shared" si="1"/>
        <v>16</v>
      </c>
      <c r="C34" s="71">
        <f t="shared" si="2"/>
        <v>3477.3496060868165</v>
      </c>
      <c r="D34" s="71">
        <f t="shared" si="2"/>
        <v>3333.8910528000001</v>
      </c>
      <c r="E34" s="71">
        <f t="shared" si="2"/>
        <v>3603.1643648000008</v>
      </c>
      <c r="F34" s="71">
        <f t="shared" si="2"/>
        <v>3466.5671347999996</v>
      </c>
      <c r="G34" s="71">
        <f t="shared" si="2"/>
        <v>3493.5704513740798</v>
      </c>
    </row>
    <row r="35" spans="2:7" x14ac:dyDescent="0.2">
      <c r="B35" s="32">
        <f t="shared" si="1"/>
        <v>17</v>
      </c>
      <c r="C35" s="71">
        <f t="shared" si="2"/>
        <v>3373.4474253849594</v>
      </c>
      <c r="D35" s="71">
        <f t="shared" si="2"/>
        <v>3268.5206399999997</v>
      </c>
      <c r="E35" s="71">
        <f t="shared" si="2"/>
        <v>3464.5811200000003</v>
      </c>
      <c r="F35" s="71">
        <f t="shared" si="2"/>
        <v>3365.5991600000002</v>
      </c>
      <c r="G35" s="71">
        <f t="shared" si="2"/>
        <v>3385.2426854399996</v>
      </c>
    </row>
    <row r="36" spans="2:7" x14ac:dyDescent="0.2">
      <c r="B36" s="32">
        <f t="shared" si="1"/>
        <v>18</v>
      </c>
      <c r="C36" s="71">
        <f t="shared" si="2"/>
        <v>3272.6498111999999</v>
      </c>
      <c r="D36" s="71">
        <f t="shared" si="2"/>
        <v>3204.4319999999998</v>
      </c>
      <c r="E36" s="71">
        <f t="shared" si="2"/>
        <v>3331.3280000000004</v>
      </c>
      <c r="F36" s="71">
        <f t="shared" si="2"/>
        <v>3267.5719999999997</v>
      </c>
      <c r="G36" s="71">
        <f t="shared" si="2"/>
        <v>3280.2739200000001</v>
      </c>
    </row>
    <row r="37" spans="2:7" x14ac:dyDescent="0.2">
      <c r="B37" s="32">
        <f t="shared" si="1"/>
        <v>19</v>
      </c>
      <c r="C37" s="71">
        <f t="shared" si="2"/>
        <v>3174.864</v>
      </c>
      <c r="D37" s="71">
        <f t="shared" si="2"/>
        <v>3141.6</v>
      </c>
      <c r="E37" s="71">
        <f t="shared" si="2"/>
        <v>3203.2000000000003</v>
      </c>
      <c r="F37" s="71">
        <f t="shared" si="2"/>
        <v>3172.4</v>
      </c>
      <c r="G37" s="71">
        <f t="shared" si="2"/>
        <v>3178.56</v>
      </c>
    </row>
    <row r="38" spans="2:7" x14ac:dyDescent="0.2">
      <c r="B38" s="32">
        <f t="shared" si="1"/>
        <v>20</v>
      </c>
      <c r="C38" s="71">
        <f t="shared" si="2"/>
        <v>3080</v>
      </c>
      <c r="D38" s="71">
        <f t="shared" si="2"/>
        <v>3080</v>
      </c>
      <c r="E38" s="71">
        <f t="shared" si="2"/>
        <v>3080</v>
      </c>
      <c r="F38" s="71">
        <f t="shared" si="2"/>
        <v>3080</v>
      </c>
      <c r="G38" s="71">
        <f t="shared" si="2"/>
        <v>3080</v>
      </c>
    </row>
    <row r="39" spans="2:7" x14ac:dyDescent="0.2">
      <c r="B39" s="32" t="s">
        <v>34</v>
      </c>
      <c r="C39" s="73">
        <f>-PV(C18/NOP_P3,NOP_P3*(T_P3-$C$8),I_P3,M_P3)</f>
        <v>99999.999999999985</v>
      </c>
      <c r="D39" s="73">
        <f>-PV(D18/NOP_P3,NOP_P3*(T_P3-$C$8),I_P3,M_P3)</f>
        <v>109701.19180674161</v>
      </c>
      <c r="E39" s="73">
        <f>-PV(E18/NOP_P3,NOP_P3*(T_P3-$C$8),I_P3,M_P3)</f>
        <v>92537.975882993371</v>
      </c>
      <c r="F39" s="73">
        <f>-PV(F18/NOP_P3,NOP_P3*(T_P3-$C$8),I_P3,M_P3)</f>
        <v>100682.41622694208</v>
      </c>
      <c r="G39" s="73">
        <f>-PV(G18/NOP_P3,NOP_P3*(T_P3-$C$8),I_P3,M_P3)</f>
        <v>98986.744757448629</v>
      </c>
    </row>
    <row r="40" spans="2:7" x14ac:dyDescent="0.2">
      <c r="B40" s="32" t="s">
        <v>33</v>
      </c>
      <c r="C40" s="71">
        <f>SUM(C19:C39)</f>
        <v>183437.53153054896</v>
      </c>
      <c r="D40" s="71">
        <f>SUM(D19:D39)</f>
        <v>184537.09078740817</v>
      </c>
      <c r="E40" s="71">
        <f>SUM(E19:E39)</f>
        <v>184254.45789656672</v>
      </c>
      <c r="F40" s="71">
        <f>SUM(F19:F39)</f>
        <v>183443.16965300188</v>
      </c>
      <c r="G40" s="71">
        <f>SUM(G19:G39)</f>
        <v>183451.94529476314</v>
      </c>
    </row>
    <row r="42" spans="2:7" x14ac:dyDescent="0.2">
      <c r="B42" s="11" t="s">
        <v>39</v>
      </c>
      <c r="C42" s="12" t="str">
        <f ca="1">_xlfn.FORMULATEXT(C19)</f>
        <v>=I_P3*(1+C$18)^($C$8-$B19)</v>
      </c>
    </row>
    <row r="43" spans="2:7" x14ac:dyDescent="0.2">
      <c r="B43" s="11" t="s">
        <v>40</v>
      </c>
      <c r="C43" t="str">
        <f ca="1">_xlfn.FORMULATEXT(C39)</f>
        <v>=-PV(C18/NOP_P3,NOP_P3*(T_P3-$C$8),I_P3,M_P3)</v>
      </c>
    </row>
    <row r="44" spans="2:7" x14ac:dyDescent="0.2">
      <c r="B44" s="11" t="s">
        <v>41</v>
      </c>
      <c r="C44" t="str">
        <f ca="1">_xlfn.FORMULATEXT(C40)</f>
        <v>=SUM(C19:C39)</v>
      </c>
    </row>
    <row r="46" spans="2:7" x14ac:dyDescent="0.2">
      <c r="B46" s="37" t="s">
        <v>66</v>
      </c>
      <c r="C46" s="37"/>
      <c r="D46" s="37"/>
      <c r="E46" s="37"/>
      <c r="F46" s="37"/>
      <c r="G46" s="37"/>
    </row>
    <row r="47" spans="2:7" x14ac:dyDescent="0.2">
      <c r="B47" s="95" t="s">
        <v>67</v>
      </c>
      <c r="C47" s="95"/>
      <c r="D47" s="95"/>
      <c r="E47" s="95"/>
      <c r="F47" s="95"/>
      <c r="G47" s="95"/>
    </row>
    <row r="48" spans="2:7" ht="33" customHeight="1" x14ac:dyDescent="0.2">
      <c r="B48" s="95"/>
      <c r="C48" s="95"/>
      <c r="D48" s="95"/>
      <c r="E48" s="95"/>
      <c r="F48" s="95"/>
      <c r="G48" s="95"/>
    </row>
  </sheetData>
  <mergeCells count="2">
    <mergeCell ref="C17:G17"/>
    <mergeCell ref="B47:G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Part 1</vt:lpstr>
      <vt:lpstr>Part 2</vt:lpstr>
      <vt:lpstr>Part 3</vt:lpstr>
      <vt:lpstr>CR</vt:lpstr>
      <vt:lpstr>CR_P2</vt:lpstr>
      <vt:lpstr>CR_P3</vt:lpstr>
      <vt:lpstr>'Part 2'!CRD</vt:lpstr>
      <vt:lpstr>DR</vt:lpstr>
      <vt:lpstr>DR_P2</vt:lpstr>
      <vt:lpstr>DR_P3</vt:lpstr>
      <vt:lpstr>'Part 2'!DRP</vt:lpstr>
      <vt:lpstr>i</vt:lpstr>
      <vt:lpstr>I_P3</vt:lpstr>
      <vt:lpstr>M</vt:lpstr>
      <vt:lpstr>M_P2</vt:lpstr>
      <vt:lpstr>M_P3</vt:lpstr>
      <vt:lpstr>'Part 2'!MD</vt:lpstr>
      <vt:lpstr>NOP</vt:lpstr>
      <vt:lpstr>NOP_P2</vt:lpstr>
      <vt:lpstr>NOP_P3</vt:lpstr>
      <vt:lpstr>'Part 2'!NOPD</vt:lpstr>
      <vt:lpstr>'Part 1'!Print_Area</vt:lpstr>
      <vt:lpstr>T</vt:lpstr>
      <vt:lpstr>T_P2</vt:lpstr>
      <vt:lpstr>T_P3</vt:lpstr>
      <vt:lpstr>YTM</vt:lpstr>
      <vt:lpstr>YTM_P2</vt:lpstr>
      <vt:lpstr>YTM_P3</vt:lpstr>
      <vt:lpstr>'Part 2'!YTMD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Graduate School Jones G</dc:creator>
  <cp:lastModifiedBy>Kevin</cp:lastModifiedBy>
  <cp:lastPrinted>2000-12-20T16:56:57Z</cp:lastPrinted>
  <dcterms:created xsi:type="dcterms:W3CDTF">2000-12-19T19:51:56Z</dcterms:created>
  <dcterms:modified xsi:type="dcterms:W3CDTF">2022-10-06T02:51:23Z</dcterms:modified>
</cp:coreProperties>
</file>