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ropbox\Applied Finance-MGMT 648\2U\Assignments\"/>
    </mc:Choice>
  </mc:AlternateContent>
  <bookViews>
    <workbookView xWindow="0" yWindow="0" windowWidth="9860" windowHeight="10500"/>
  </bookViews>
  <sheets>
    <sheet name="A. FCF and Valuation" sheetId="2" r:id="rId1"/>
    <sheet name="B. Pro-forma (Debt Plug)" sheetId="1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J16" i="1"/>
  <c r="K16" i="1"/>
  <c r="K17" i="1" s="1"/>
  <c r="I17" i="1"/>
  <c r="J17" i="1"/>
  <c r="I20" i="1"/>
  <c r="J20" i="1"/>
  <c r="K20" i="1"/>
  <c r="H28" i="1"/>
  <c r="I28" i="1"/>
  <c r="J28" i="1"/>
  <c r="K28" i="1"/>
  <c r="H29" i="1"/>
  <c r="I29" i="1"/>
  <c r="J29" i="1"/>
  <c r="K29" i="1"/>
  <c r="H33" i="1"/>
  <c r="I33" i="1"/>
  <c r="J33" i="1"/>
  <c r="K33" i="1"/>
  <c r="H34" i="1"/>
  <c r="I34" i="1"/>
  <c r="J34" i="1"/>
  <c r="K34" i="1"/>
  <c r="H36" i="1"/>
  <c r="I36" i="1"/>
  <c r="J36" i="1"/>
  <c r="K36" i="1"/>
  <c r="H38" i="1"/>
  <c r="I38" i="1"/>
  <c r="J38" i="1"/>
  <c r="K38" i="1"/>
  <c r="H39" i="1"/>
  <c r="I39" i="1"/>
  <c r="J39" i="1"/>
  <c r="K39" i="1"/>
  <c r="G34" i="1"/>
  <c r="H16" i="1"/>
  <c r="H17" i="1"/>
  <c r="H20" i="1"/>
  <c r="G20" i="1"/>
  <c r="F46" i="1"/>
  <c r="D52" i="1"/>
  <c r="E52" i="1"/>
  <c r="F52" i="1"/>
  <c r="C52" i="1"/>
  <c r="G52" i="1" s="1"/>
  <c r="D50" i="1"/>
  <c r="E50" i="1"/>
  <c r="F50" i="1"/>
  <c r="C50" i="1"/>
  <c r="G50" i="1" s="1"/>
  <c r="D51" i="1"/>
  <c r="E51" i="1"/>
  <c r="F51" i="1"/>
  <c r="C51" i="1"/>
  <c r="G51" i="1" s="1"/>
  <c r="G39" i="1"/>
  <c r="G38" i="1"/>
  <c r="F49" i="1"/>
  <c r="F48" i="1"/>
  <c r="G36" i="1" s="1"/>
  <c r="F47" i="1"/>
  <c r="F45" i="1"/>
  <c r="D44" i="1"/>
  <c r="E44" i="1"/>
  <c r="F44" i="1"/>
  <c r="C44" i="1"/>
  <c r="G44" i="1" s="1"/>
  <c r="G15" i="1" s="1"/>
  <c r="B52" i="2"/>
  <c r="F50" i="2"/>
  <c r="B53" i="2" s="1"/>
  <c r="B54" i="2" s="1"/>
  <c r="D42" i="2"/>
  <c r="E42" i="2"/>
  <c r="F42" i="2"/>
  <c r="D43" i="2"/>
  <c r="E43" i="2"/>
  <c r="F43" i="2"/>
  <c r="E44" i="2"/>
  <c r="E45" i="2" s="1"/>
  <c r="E49" i="2" s="1"/>
  <c r="F44" i="2"/>
  <c r="F45" i="2"/>
  <c r="D46" i="2"/>
  <c r="E46" i="2"/>
  <c r="F46" i="2"/>
  <c r="D47" i="2"/>
  <c r="E47" i="2"/>
  <c r="F47" i="2"/>
  <c r="D48" i="2"/>
  <c r="E48" i="2"/>
  <c r="F48" i="2"/>
  <c r="F49" i="2"/>
  <c r="C49" i="2"/>
  <c r="C48" i="2"/>
  <c r="C47" i="2"/>
  <c r="C42" i="2"/>
  <c r="C43" i="2"/>
  <c r="C44" i="2"/>
  <c r="C45" i="2"/>
  <c r="C46" i="2"/>
  <c r="H15" i="1" l="1"/>
  <c r="I15" i="1" s="1"/>
  <c r="J15" i="1" s="1"/>
  <c r="K15" i="1" s="1"/>
  <c r="G29" i="1"/>
  <c r="G33" i="1"/>
  <c r="G16" i="1"/>
  <c r="G17" i="1" s="1"/>
  <c r="G28" i="1"/>
  <c r="D44" i="2"/>
  <c r="D45" i="2" s="1"/>
  <c r="D49" i="2" s="1"/>
  <c r="B6" i="2"/>
  <c r="G50" i="2"/>
  <c r="G49" i="2"/>
  <c r="C53" i="2"/>
  <c r="C54" i="2"/>
  <c r="C52" i="2"/>
  <c r="G18" i="1" l="1"/>
  <c r="H18" i="1"/>
  <c r="I18" i="1"/>
  <c r="J18" i="1"/>
  <c r="K18" i="1"/>
  <c r="G19" i="1"/>
  <c r="H19" i="1"/>
  <c r="I19" i="1"/>
  <c r="J19" i="1"/>
  <c r="K19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31" i="1"/>
  <c r="H31" i="1"/>
  <c r="I31" i="1"/>
  <c r="J31" i="1"/>
  <c r="K31" i="1"/>
  <c r="G32" i="1"/>
  <c r="H32" i="1"/>
  <c r="I32" i="1"/>
  <c r="J32" i="1"/>
  <c r="K32" i="1"/>
  <c r="G37" i="1"/>
  <c r="H37" i="1"/>
  <c r="I37" i="1"/>
  <c r="J37" i="1"/>
  <c r="K37" i="1"/>
  <c r="G40" i="1"/>
  <c r="H40" i="1"/>
  <c r="I40" i="1"/>
  <c r="J40" i="1"/>
  <c r="K40" i="1"/>
  <c r="G41" i="1"/>
  <c r="H41" i="1"/>
  <c r="I41" i="1"/>
  <c r="J41" i="1"/>
  <c r="K41" i="1"/>
</calcChain>
</file>

<file path=xl/sharedStrings.xml><?xml version="1.0" encoding="utf-8"?>
<sst xmlns="http://schemas.openxmlformats.org/spreadsheetml/2006/main" count="135" uniqueCount="80">
  <si>
    <t>t = -1</t>
  </si>
  <si>
    <t>t = 0</t>
  </si>
  <si>
    <t>t = -3</t>
  </si>
  <si>
    <t>t = -4</t>
  </si>
  <si>
    <t>t = -2</t>
  </si>
  <si>
    <t>Income Statement</t>
  </si>
  <si>
    <t>Sales</t>
  </si>
  <si>
    <t>COGS</t>
  </si>
  <si>
    <t>Interest Expense</t>
  </si>
  <si>
    <t>EBITDA</t>
  </si>
  <si>
    <t>EBIT</t>
  </si>
  <si>
    <t>Profit before tax</t>
  </si>
  <si>
    <t>Tax</t>
  </si>
  <si>
    <t>Net Income</t>
  </si>
  <si>
    <t xml:space="preserve">Forecast
t = 1 </t>
  </si>
  <si>
    <t>Forecast
t = 2</t>
  </si>
  <si>
    <t>Forecast
t = 3</t>
  </si>
  <si>
    <t>Forecast
t = 4</t>
  </si>
  <si>
    <t>Forecast
t = 5</t>
  </si>
  <si>
    <t>Balance Sheet</t>
  </si>
  <si>
    <t>Cash</t>
  </si>
  <si>
    <t>Other Current Assets</t>
  </si>
  <si>
    <t>Fixed Assets</t>
  </si>
  <si>
    <t>Gross PPE</t>
  </si>
  <si>
    <t>Accumulated Depreciation</t>
  </si>
  <si>
    <t>Net PPE</t>
  </si>
  <si>
    <t>Total Assets</t>
  </si>
  <si>
    <t>Current Liabilities</t>
  </si>
  <si>
    <t>Debt</t>
  </si>
  <si>
    <t>Common Stock</t>
  </si>
  <si>
    <t>Additional Paid-in-Capital</t>
  </si>
  <si>
    <t>Accumulated Retained Earnings</t>
  </si>
  <si>
    <t>Total Liabilities and Equity</t>
  </si>
  <si>
    <t>Depreciation Expense</t>
  </si>
  <si>
    <t>The firm does not pay dividends.</t>
  </si>
  <si>
    <t>Interest Income</t>
  </si>
  <si>
    <t>The firm does not intend to issue or repurchase equity.</t>
  </si>
  <si>
    <t>The firm plans to use retire debt using excess cash or issue new debt to satisfy any cash needs.</t>
  </si>
  <si>
    <t>Assume the firm will achieve its average sales growth over the last 4 periods going forward.</t>
  </si>
  <si>
    <t>The firm's tax rate is 21%.</t>
  </si>
  <si>
    <t>Name:</t>
  </si>
  <si>
    <t>Student ID:</t>
  </si>
  <si>
    <t>Dividends</t>
  </si>
  <si>
    <t>Retained Earnings</t>
  </si>
  <si>
    <t>Firm Free Cash Flows</t>
  </si>
  <si>
    <t>+Depreciation Expense</t>
  </si>
  <si>
    <t>+Interest Expense</t>
  </si>
  <si>
    <t>-Tax rate * Interest Expense</t>
  </si>
  <si>
    <t>Tax Rate</t>
  </si>
  <si>
    <t>Net operating profit after taxes (NOPAT)</t>
  </si>
  <si>
    <t>-Capital Expenditures</t>
  </si>
  <si>
    <t>-Change in Net Working Capital</t>
  </si>
  <si>
    <t>FCF to Firm</t>
  </si>
  <si>
    <t>PV(Explicit Forecast FCFs)</t>
  </si>
  <si>
    <t>WACC</t>
  </si>
  <si>
    <t>Terminal Growth Rate</t>
  </si>
  <si>
    <t>Terminal Value (t=5 value)</t>
  </si>
  <si>
    <t>PV(Terminal Value)</t>
  </si>
  <si>
    <t>Enterprise Value</t>
  </si>
  <si>
    <t>Assumptions</t>
  </si>
  <si>
    <t>Part B - Pro-forma</t>
  </si>
  <si>
    <t>Part A - Free Cash Flows and Valuation</t>
  </si>
  <si>
    <t>Notes and Assumptions</t>
  </si>
  <si>
    <t xml:space="preserve">
t = 0 </t>
  </si>
  <si>
    <t>Forecast
t = 1</t>
  </si>
  <si>
    <t>Sales Growth</t>
  </si>
  <si>
    <t>COGS/Sales</t>
  </si>
  <si>
    <t>Interest income and expense are calculated based on average balance sheet items and will maintain the same rates.</t>
  </si>
  <si>
    <t>Depreciation expense is based on average gross fixed assets and this rate will continue.</t>
  </si>
  <si>
    <t>Other Current Assets/Sales</t>
  </si>
  <si>
    <t>Current Liabilities/Sales</t>
  </si>
  <si>
    <t>Interest Income/Average Cash</t>
  </si>
  <si>
    <t>Interest Expense/Average Debt</t>
  </si>
  <si>
    <t>Depreciation Expense/Average Gross PPE</t>
  </si>
  <si>
    <t>Net Fixed Assets/Sales</t>
  </si>
  <si>
    <t>x</t>
  </si>
  <si>
    <t>Tax rate</t>
  </si>
  <si>
    <t>Average</t>
  </si>
  <si>
    <t>Margins, working capital (including cash), and net fixed assets will continue at their current year ratio to sales.</t>
  </si>
  <si>
    <t>Cash/Sales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</si>
</sst>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8" fontId="0" fillId="0" borderId="0" xfId="0" applyNumberFormat="1"/>
    <xf numFmtId="0" fontId="0" fillId="0" borderId="1" xfId="0" applyBorder="1"/>
    <xf numFmtId="8" fontId="0" fillId="0" borderId="1" xfId="0" applyNumberForma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wrapText="1"/>
    </xf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0" xfId="0" quotePrefix="1"/>
    <xf numFmtId="8" fontId="0" fillId="2" borderId="0" xfId="0" applyNumberFormat="1" applyFill="1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8" fontId="0" fillId="0" borderId="0" xfId="0" applyNumberFormat="1" applyFill="1"/>
    <xf numFmtId="9" fontId="2" fillId="0" borderId="0" xfId="0" applyNumberFormat="1" applyFont="1" applyFill="1"/>
    <xf numFmtId="164" fontId="2" fillId="0" borderId="0" xfId="0" applyNumberFormat="1" applyFont="1" applyFill="1"/>
    <xf numFmtId="8" fontId="0" fillId="2" borderId="1" xfId="0" applyNumberFormat="1" applyFill="1" applyBorder="1"/>
    <xf numFmtId="8" fontId="0" fillId="0" borderId="1" xfId="0" applyNumberFormat="1" applyFill="1" applyBorder="1"/>
    <xf numFmtId="0" fontId="0" fillId="0" borderId="0" xfId="0" applyFill="1"/>
    <xf numFmtId="0" fontId="0" fillId="0" borderId="1" xfId="0" applyFill="1" applyBorder="1"/>
    <xf numFmtId="9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55" zoomScaleNormal="55" workbookViewId="0"/>
  </sheetViews>
  <sheetFormatPr defaultRowHeight="14.5" x14ac:dyDescent="0.35"/>
  <cols>
    <col min="1" max="1" width="35.54296875" customWidth="1"/>
    <col min="2" max="6" width="12.7265625" customWidth="1"/>
  </cols>
  <sheetData>
    <row r="1" spans="1:6" ht="15" thickBot="1" x14ac:dyDescent="0.4">
      <c r="A1" s="4" t="s">
        <v>61</v>
      </c>
    </row>
    <row r="2" spans="1:6" x14ac:dyDescent="0.35">
      <c r="B2" s="9" t="s">
        <v>40</v>
      </c>
      <c r="C2" s="10"/>
      <c r="D2" s="11"/>
    </row>
    <row r="3" spans="1:6" ht="15" thickBot="1" x14ac:dyDescent="0.4">
      <c r="B3" s="12" t="s">
        <v>41</v>
      </c>
      <c r="C3" s="13"/>
      <c r="D3" s="14"/>
    </row>
    <row r="5" spans="1:6" x14ac:dyDescent="0.35">
      <c r="A5" s="4" t="s">
        <v>59</v>
      </c>
    </row>
    <row r="6" spans="1:6" x14ac:dyDescent="0.35">
      <c r="A6" t="s">
        <v>48</v>
      </c>
      <c r="B6" s="21">
        <f>-B19/B18</f>
        <v>0.21</v>
      </c>
    </row>
    <row r="7" spans="1:6" x14ac:dyDescent="0.35">
      <c r="A7" t="s">
        <v>54</v>
      </c>
      <c r="B7" s="21">
        <v>7.0000000000000007E-2</v>
      </c>
    </row>
    <row r="8" spans="1:6" x14ac:dyDescent="0.35">
      <c r="A8" t="s">
        <v>55</v>
      </c>
      <c r="B8" s="21">
        <v>0.02</v>
      </c>
    </row>
    <row r="9" spans="1:6" x14ac:dyDescent="0.35">
      <c r="B9" s="22"/>
    </row>
    <row r="10" spans="1:6" x14ac:dyDescent="0.35">
      <c r="A10" s="4" t="s">
        <v>5</v>
      </c>
    </row>
    <row r="11" spans="1:6" ht="29" x14ac:dyDescent="0.35">
      <c r="B11" s="7" t="s">
        <v>63</v>
      </c>
      <c r="C11" s="7" t="s">
        <v>64</v>
      </c>
      <c r="D11" s="7" t="s">
        <v>15</v>
      </c>
      <c r="E11" s="7" t="s">
        <v>16</v>
      </c>
      <c r="F11" s="7" t="s">
        <v>17</v>
      </c>
    </row>
    <row r="12" spans="1:6" x14ac:dyDescent="0.35">
      <c r="A12" t="s">
        <v>6</v>
      </c>
      <c r="B12" s="1">
        <v>5000</v>
      </c>
      <c r="C12" s="1">
        <v>5500</v>
      </c>
      <c r="D12" s="1">
        <v>5940</v>
      </c>
      <c r="E12" s="1">
        <v>6296.4000000000005</v>
      </c>
      <c r="F12" s="1">
        <v>6611.2200000000012</v>
      </c>
    </row>
    <row r="13" spans="1:6" x14ac:dyDescent="0.35">
      <c r="A13" s="2" t="s">
        <v>7</v>
      </c>
      <c r="B13" s="3">
        <v>-4500</v>
      </c>
      <c r="C13" s="3">
        <v>-4950</v>
      </c>
      <c r="D13" s="3">
        <v>-5286.6</v>
      </c>
      <c r="E13" s="3">
        <v>-5603.7960000000003</v>
      </c>
      <c r="F13" s="3">
        <v>-5817.8736000000008</v>
      </c>
    </row>
    <row r="14" spans="1:6" x14ac:dyDescent="0.35">
      <c r="A14" t="s">
        <v>9</v>
      </c>
      <c r="B14" s="1">
        <v>500</v>
      </c>
      <c r="C14" s="1">
        <v>550</v>
      </c>
      <c r="D14" s="1">
        <v>653.39999999999964</v>
      </c>
      <c r="E14" s="1">
        <v>692.60400000000027</v>
      </c>
      <c r="F14" s="1">
        <v>793.34640000000036</v>
      </c>
    </row>
    <row r="15" spans="1:6" x14ac:dyDescent="0.35">
      <c r="A15" s="2" t="s">
        <v>33</v>
      </c>
      <c r="B15" s="3">
        <v>-175</v>
      </c>
      <c r="C15" s="3">
        <v>-187.17948717948718</v>
      </c>
      <c r="D15" s="3">
        <v>-211.23997370151221</v>
      </c>
      <c r="E15" s="3">
        <v>-234.325100558</v>
      </c>
      <c r="F15" s="3">
        <v>-256.6682339199487</v>
      </c>
    </row>
    <row r="16" spans="1:6" x14ac:dyDescent="0.35">
      <c r="A16" t="s">
        <v>10</v>
      </c>
      <c r="B16" s="1">
        <v>325</v>
      </c>
      <c r="C16" s="1">
        <v>362.82051282051282</v>
      </c>
      <c r="D16" s="1">
        <v>442.16002629848742</v>
      </c>
      <c r="E16" s="1">
        <v>458.27889944200024</v>
      </c>
      <c r="F16" s="1">
        <v>536.6781660800516</v>
      </c>
    </row>
    <row r="17" spans="1:6" x14ac:dyDescent="0.35">
      <c r="A17" s="2" t="s">
        <v>8</v>
      </c>
      <c r="B17" s="3">
        <v>-125</v>
      </c>
      <c r="C17" s="3">
        <v>-125</v>
      </c>
      <c r="D17" s="3">
        <v>-125</v>
      </c>
      <c r="E17" s="3">
        <v>-125</v>
      </c>
      <c r="F17" s="3">
        <v>-125</v>
      </c>
    </row>
    <row r="18" spans="1:6" x14ac:dyDescent="0.35">
      <c r="A18" t="s">
        <v>11</v>
      </c>
      <c r="B18" s="1">
        <v>200</v>
      </c>
      <c r="C18" s="1">
        <v>237.82051282051282</v>
      </c>
      <c r="D18" s="1">
        <v>317.16002629848742</v>
      </c>
      <c r="E18" s="1">
        <v>333.27889944200024</v>
      </c>
      <c r="F18" s="1">
        <v>411.6781660800516</v>
      </c>
    </row>
    <row r="19" spans="1:6" x14ac:dyDescent="0.35">
      <c r="A19" s="2" t="s">
        <v>12</v>
      </c>
      <c r="B19" s="3">
        <v>-42</v>
      </c>
      <c r="C19" s="3">
        <v>-49.942307692307693</v>
      </c>
      <c r="D19" s="3">
        <v>-66.603605522682358</v>
      </c>
      <c r="E19" s="3">
        <v>-69.988568882820047</v>
      </c>
      <c r="F19" s="3">
        <v>-86.452414876810835</v>
      </c>
    </row>
    <row r="20" spans="1:6" x14ac:dyDescent="0.35">
      <c r="A20" t="s">
        <v>13</v>
      </c>
      <c r="B20" s="1">
        <v>158</v>
      </c>
      <c r="C20" s="1">
        <v>187.87820512820514</v>
      </c>
      <c r="D20" s="1">
        <v>250.55642077580507</v>
      </c>
      <c r="E20" s="1">
        <v>263.29033055918018</v>
      </c>
      <c r="F20" s="1">
        <v>325.22575120324075</v>
      </c>
    </row>
    <row r="21" spans="1:6" x14ac:dyDescent="0.35">
      <c r="A21" t="s">
        <v>42</v>
      </c>
      <c r="B21" s="3">
        <v>-15.8</v>
      </c>
      <c r="C21" s="3">
        <v>-18.787820512820513</v>
      </c>
      <c r="D21" s="3">
        <v>-25.055642077580508</v>
      </c>
      <c r="E21" s="3">
        <v>-26.329033055918018</v>
      </c>
      <c r="F21" s="3">
        <v>-32.522575120324078</v>
      </c>
    </row>
    <row r="22" spans="1:6" x14ac:dyDescent="0.35">
      <c r="A22" t="s">
        <v>43</v>
      </c>
      <c r="B22" s="1">
        <v>142.19999999999999</v>
      </c>
      <c r="C22" s="1">
        <v>169.09038461538464</v>
      </c>
      <c r="D22" s="1">
        <v>225.50077869822456</v>
      </c>
      <c r="E22" s="1">
        <v>236.96129750326216</v>
      </c>
      <c r="F22" s="1">
        <v>292.70317608291668</v>
      </c>
    </row>
    <row r="24" spans="1:6" x14ac:dyDescent="0.35">
      <c r="A24" s="4" t="s">
        <v>19</v>
      </c>
    </row>
    <row r="25" spans="1:6" ht="29" x14ac:dyDescent="0.35">
      <c r="B25" s="7" t="s">
        <v>63</v>
      </c>
      <c r="C25" s="7" t="s">
        <v>64</v>
      </c>
      <c r="D25" s="7" t="s">
        <v>15</v>
      </c>
      <c r="E25" s="7" t="s">
        <v>16</v>
      </c>
      <c r="F25" s="7" t="s">
        <v>17</v>
      </c>
    </row>
    <row r="26" spans="1:6" x14ac:dyDescent="0.35">
      <c r="A26" t="s">
        <v>20</v>
      </c>
      <c r="B26" s="1">
        <v>650</v>
      </c>
      <c r="C26" s="1">
        <v>494.09038461538512</v>
      </c>
      <c r="D26" s="1">
        <v>433.59116331360929</v>
      </c>
      <c r="E26" s="1">
        <v>438.89246081687088</v>
      </c>
      <c r="F26" s="1">
        <v>526.96263689978741</v>
      </c>
    </row>
    <row r="27" spans="1:6" x14ac:dyDescent="0.35">
      <c r="A27" t="s">
        <v>21</v>
      </c>
      <c r="B27" s="1">
        <v>500</v>
      </c>
      <c r="C27" s="1">
        <v>550</v>
      </c>
      <c r="D27" s="1">
        <v>594</v>
      </c>
      <c r="E27" s="1">
        <v>629.6400000000001</v>
      </c>
      <c r="F27" s="1">
        <v>661.12200000000018</v>
      </c>
    </row>
    <row r="28" spans="1:6" x14ac:dyDescent="0.35">
      <c r="A28" t="s">
        <v>22</v>
      </c>
    </row>
    <row r="29" spans="1:6" x14ac:dyDescent="0.35">
      <c r="A29" s="6" t="s">
        <v>23</v>
      </c>
      <c r="B29" s="1">
        <v>3500</v>
      </c>
      <c r="C29" s="1">
        <v>3987.1794871794873</v>
      </c>
      <c r="D29" s="1">
        <v>4462.4194608809994</v>
      </c>
      <c r="E29" s="1">
        <v>4910.584561439</v>
      </c>
      <c r="F29" s="1">
        <v>5356.1447953589486</v>
      </c>
    </row>
    <row r="30" spans="1:6" x14ac:dyDescent="0.35">
      <c r="A30" s="6" t="s">
        <v>24</v>
      </c>
      <c r="B30" s="1">
        <v>500</v>
      </c>
      <c r="C30" s="1">
        <v>687.17948717948718</v>
      </c>
      <c r="D30" s="1">
        <v>898.4194608809994</v>
      </c>
      <c r="E30" s="1">
        <v>1132.7445614389994</v>
      </c>
      <c r="F30" s="1">
        <v>1389.4127953589482</v>
      </c>
    </row>
    <row r="31" spans="1:6" x14ac:dyDescent="0.35">
      <c r="A31" t="s">
        <v>25</v>
      </c>
      <c r="B31" s="3">
        <v>3000</v>
      </c>
      <c r="C31" s="3">
        <v>3300</v>
      </c>
      <c r="D31" s="3">
        <v>3564</v>
      </c>
      <c r="E31" s="3">
        <v>3777.84</v>
      </c>
      <c r="F31" s="3">
        <v>3966.7320000000004</v>
      </c>
    </row>
    <row r="32" spans="1:6" x14ac:dyDescent="0.35">
      <c r="A32" t="s">
        <v>26</v>
      </c>
      <c r="B32" s="1">
        <v>4150</v>
      </c>
      <c r="C32" s="1">
        <v>4344.0903846153851</v>
      </c>
      <c r="D32" s="1">
        <v>4591.5911633136093</v>
      </c>
      <c r="E32" s="1">
        <v>4846.3724608168714</v>
      </c>
      <c r="F32" s="1">
        <v>5154.8166368997881</v>
      </c>
    </row>
    <row r="34" spans="1:6" x14ac:dyDescent="0.35">
      <c r="A34" t="s">
        <v>27</v>
      </c>
      <c r="B34" s="1">
        <v>250</v>
      </c>
      <c r="C34" s="1">
        <v>275</v>
      </c>
      <c r="D34" s="1">
        <v>297</v>
      </c>
      <c r="E34" s="1">
        <v>314.82000000000005</v>
      </c>
      <c r="F34" s="1">
        <v>330.56100000000009</v>
      </c>
    </row>
    <row r="35" spans="1:6" x14ac:dyDescent="0.35">
      <c r="A35" t="s">
        <v>28</v>
      </c>
      <c r="B35" s="1">
        <v>2500</v>
      </c>
      <c r="C35" s="1">
        <v>2500</v>
      </c>
      <c r="D35" s="1">
        <v>2500</v>
      </c>
      <c r="E35" s="1">
        <v>2500</v>
      </c>
      <c r="F35" s="1">
        <v>2500</v>
      </c>
    </row>
    <row r="36" spans="1:6" x14ac:dyDescent="0.35">
      <c r="A36" t="s">
        <v>29</v>
      </c>
      <c r="B36" s="1">
        <v>100</v>
      </c>
      <c r="C36" s="1">
        <v>100</v>
      </c>
      <c r="D36" s="1">
        <v>100</v>
      </c>
      <c r="E36" s="1">
        <v>100</v>
      </c>
      <c r="F36" s="1">
        <v>100</v>
      </c>
    </row>
    <row r="37" spans="1:6" x14ac:dyDescent="0.35">
      <c r="A37" t="s">
        <v>30</v>
      </c>
      <c r="B37" s="1">
        <v>1000</v>
      </c>
      <c r="C37" s="1">
        <v>1000</v>
      </c>
      <c r="D37" s="1">
        <v>1000</v>
      </c>
      <c r="E37" s="1">
        <v>1000</v>
      </c>
      <c r="F37" s="1">
        <v>1000</v>
      </c>
    </row>
    <row r="38" spans="1:6" x14ac:dyDescent="0.35">
      <c r="A38" t="s">
        <v>31</v>
      </c>
      <c r="B38" s="3">
        <v>300</v>
      </c>
      <c r="C38" s="3">
        <v>469.09038461538466</v>
      </c>
      <c r="D38" s="3">
        <v>694.59116331360929</v>
      </c>
      <c r="E38" s="3">
        <v>931.55246081687142</v>
      </c>
      <c r="F38" s="3">
        <v>1224.255636899788</v>
      </c>
    </row>
    <row r="39" spans="1:6" x14ac:dyDescent="0.35">
      <c r="A39" t="s">
        <v>32</v>
      </c>
      <c r="B39" s="1">
        <v>4150</v>
      </c>
      <c r="C39" s="1">
        <v>4344.0903846153851</v>
      </c>
      <c r="D39" s="1">
        <v>4591.5911633136093</v>
      </c>
      <c r="E39" s="1">
        <v>4846.3724608168714</v>
      </c>
      <c r="F39" s="1">
        <v>5154.8166368997881</v>
      </c>
    </row>
    <row r="40" spans="1:6" x14ac:dyDescent="0.35">
      <c r="B40" s="1"/>
      <c r="C40" s="1"/>
      <c r="D40" s="1"/>
      <c r="E40" s="1"/>
      <c r="F40" s="1"/>
    </row>
    <row r="41" spans="1:6" ht="29" x14ac:dyDescent="0.35">
      <c r="A41" s="4" t="s">
        <v>44</v>
      </c>
      <c r="B41" s="7" t="s">
        <v>63</v>
      </c>
      <c r="C41" s="7" t="s">
        <v>64</v>
      </c>
      <c r="D41" s="7" t="s">
        <v>15</v>
      </c>
      <c r="E41" s="7" t="s">
        <v>16</v>
      </c>
      <c r="F41" s="7" t="s">
        <v>17</v>
      </c>
    </row>
    <row r="42" spans="1:6" x14ac:dyDescent="0.35">
      <c r="A42" t="s">
        <v>13</v>
      </c>
      <c r="B42" s="20"/>
      <c r="C42" s="16">
        <f>C20</f>
        <v>187.87820512820514</v>
      </c>
      <c r="D42" s="16">
        <f t="shared" ref="D42:F42" si="0">D20</f>
        <v>250.55642077580507</v>
      </c>
      <c r="E42" s="16">
        <f t="shared" si="0"/>
        <v>263.29033055918018</v>
      </c>
      <c r="F42" s="16">
        <f t="shared" si="0"/>
        <v>325.22575120324075</v>
      </c>
    </row>
    <row r="43" spans="1:6" x14ac:dyDescent="0.35">
      <c r="A43" s="15" t="s">
        <v>46</v>
      </c>
      <c r="B43" s="20"/>
      <c r="C43" s="16">
        <f>-C17</f>
        <v>125</v>
      </c>
      <c r="D43" s="16">
        <f t="shared" ref="D43:F43" si="1">-D17</f>
        <v>125</v>
      </c>
      <c r="E43" s="16">
        <f t="shared" si="1"/>
        <v>125</v>
      </c>
      <c r="F43" s="16">
        <f t="shared" si="1"/>
        <v>125</v>
      </c>
    </row>
    <row r="44" spans="1:6" x14ac:dyDescent="0.35">
      <c r="A44" s="17" t="s">
        <v>47</v>
      </c>
      <c r="B44" s="24"/>
      <c r="C44" s="23">
        <f>-$B$6*C43</f>
        <v>-26.25</v>
      </c>
      <c r="D44" s="23">
        <f t="shared" ref="D44:F44" si="2">-$B$6*D43</f>
        <v>-26.25</v>
      </c>
      <c r="E44" s="23">
        <f t="shared" si="2"/>
        <v>-26.25</v>
      </c>
      <c r="F44" s="23">
        <f t="shared" si="2"/>
        <v>-26.25</v>
      </c>
    </row>
    <row r="45" spans="1:6" x14ac:dyDescent="0.35">
      <c r="A45" t="s">
        <v>49</v>
      </c>
      <c r="B45" s="20"/>
      <c r="C45" s="16">
        <f>SUM(C42:C44)</f>
        <v>286.62820512820514</v>
      </c>
      <c r="D45" s="16">
        <f t="shared" ref="D45:F45" si="3">SUM(D42:D44)</f>
        <v>349.30642077580507</v>
      </c>
      <c r="E45" s="16">
        <f t="shared" si="3"/>
        <v>362.04033055918018</v>
      </c>
      <c r="F45" s="16">
        <f t="shared" si="3"/>
        <v>423.97575120324075</v>
      </c>
    </row>
    <row r="46" spans="1:6" x14ac:dyDescent="0.35">
      <c r="A46" s="15" t="s">
        <v>45</v>
      </c>
      <c r="B46" s="20"/>
      <c r="C46" s="16">
        <f>-C15</f>
        <v>187.17948717948718</v>
      </c>
      <c r="D46" s="16">
        <f t="shared" ref="D46:F46" si="4">-D15</f>
        <v>211.23997370151221</v>
      </c>
      <c r="E46" s="16">
        <f t="shared" si="4"/>
        <v>234.325100558</v>
      </c>
      <c r="F46" s="16">
        <f t="shared" si="4"/>
        <v>256.6682339199487</v>
      </c>
    </row>
    <row r="47" spans="1:6" x14ac:dyDescent="0.35">
      <c r="A47" s="15" t="s">
        <v>50</v>
      </c>
      <c r="B47" s="25"/>
      <c r="C47" s="16">
        <f>-(C29-B29)</f>
        <v>-487.1794871794873</v>
      </c>
      <c r="D47" s="16">
        <f t="shared" ref="D47:F47" si="5">-(D29-C29)</f>
        <v>-475.2399737015121</v>
      </c>
      <c r="E47" s="16">
        <f t="shared" si="5"/>
        <v>-448.16510055800063</v>
      </c>
      <c r="F47" s="16">
        <f t="shared" si="5"/>
        <v>-445.56023391994859</v>
      </c>
    </row>
    <row r="48" spans="1:6" x14ac:dyDescent="0.35">
      <c r="A48" s="17" t="s">
        <v>51</v>
      </c>
      <c r="B48" s="26"/>
      <c r="C48" s="23">
        <f>-(C27-B27)+(C34-B34)</f>
        <v>-25</v>
      </c>
      <c r="D48" s="23">
        <f t="shared" ref="D48:F48" si="6">-(D27-C27)+(D34-C34)</f>
        <v>-22</v>
      </c>
      <c r="E48" s="23">
        <f t="shared" si="6"/>
        <v>-17.82000000000005</v>
      </c>
      <c r="F48" s="23">
        <f t="shared" si="6"/>
        <v>-15.741000000000042</v>
      </c>
    </row>
    <row r="49" spans="1:7" x14ac:dyDescent="0.35">
      <c r="A49" s="18" t="s">
        <v>52</v>
      </c>
      <c r="B49" s="25"/>
      <c r="C49" s="16">
        <f>SUM(C45:C48)</f>
        <v>-38.371794871794975</v>
      </c>
      <c r="D49" s="16">
        <f t="shared" ref="D49:F49" si="7">SUM(D45:D48)</f>
        <v>63.306420775805236</v>
      </c>
      <c r="E49" s="16">
        <f t="shared" si="7"/>
        <v>130.38033055917947</v>
      </c>
      <c r="F49" s="16">
        <f t="shared" si="7"/>
        <v>219.34275120324077</v>
      </c>
      <c r="G49" t="str">
        <f ca="1">_xlfn.FORMULATEXT(F49)</f>
        <v>=SUM(F45:F48)</v>
      </c>
    </row>
    <row r="50" spans="1:7" x14ac:dyDescent="0.35">
      <c r="A50" s="18" t="s">
        <v>56</v>
      </c>
      <c r="F50" s="16">
        <f>F49*(1+B8)/(B7-B8)</f>
        <v>4474.5921245461113</v>
      </c>
      <c r="G50" t="str">
        <f ca="1">_xlfn.FORMULATEXT(F50)</f>
        <v>=F49*(1+B8)/(B7-B8)</v>
      </c>
    </row>
    <row r="52" spans="1:7" x14ac:dyDescent="0.35">
      <c r="A52" t="s">
        <v>53</v>
      </c>
      <c r="B52" s="16">
        <f>NPV(B7,C49:F49)</f>
        <v>293.19751083362991</v>
      </c>
      <c r="C52" t="str">
        <f ca="1">_xlfn.FORMULATEXT(B52)</f>
        <v>=NPV(B7,C49:F49)</v>
      </c>
    </row>
    <row r="53" spans="1:7" x14ac:dyDescent="0.35">
      <c r="A53" t="s">
        <v>57</v>
      </c>
      <c r="B53" s="23">
        <f>F50/(1+B7)^4</f>
        <v>3413.6449076817921</v>
      </c>
      <c r="C53" t="str">
        <f t="shared" ref="C53:C54" ca="1" si="8">_xlfn.FORMULATEXT(B53)</f>
        <v>=F50/(1+B7)^4</v>
      </c>
    </row>
    <row r="54" spans="1:7" x14ac:dyDescent="0.35">
      <c r="A54" t="s">
        <v>58</v>
      </c>
      <c r="B54" s="16">
        <f>SUM(B52:B53)</f>
        <v>3706.8424185154222</v>
      </c>
      <c r="C54" t="str">
        <f t="shared" ca="1" si="8"/>
        <v>=SUM(B52:B53)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="70" zoomScaleNormal="70" workbookViewId="0">
      <selection activeCell="A4" sqref="A4:A11"/>
    </sheetView>
  </sheetViews>
  <sheetFormatPr defaultRowHeight="14.5" x14ac:dyDescent="0.35"/>
  <cols>
    <col min="1" max="1" width="32.54296875" customWidth="1"/>
    <col min="2" max="11" width="12.7265625" customWidth="1"/>
  </cols>
  <sheetData>
    <row r="1" spans="1:11" x14ac:dyDescent="0.35">
      <c r="A1" s="4" t="s">
        <v>60</v>
      </c>
    </row>
    <row r="3" spans="1:11" x14ac:dyDescent="0.35">
      <c r="A3" s="4" t="s">
        <v>62</v>
      </c>
    </row>
    <row r="4" spans="1:11" x14ac:dyDescent="0.35">
      <c r="A4" s="8" t="s">
        <v>34</v>
      </c>
      <c r="G4" t="s">
        <v>75</v>
      </c>
    </row>
    <row r="5" spans="1:11" x14ac:dyDescent="0.35">
      <c r="A5" t="s">
        <v>67</v>
      </c>
      <c r="G5" t="s">
        <v>75</v>
      </c>
    </row>
    <row r="6" spans="1:11" x14ac:dyDescent="0.35">
      <c r="A6" t="s">
        <v>68</v>
      </c>
      <c r="G6" t="s">
        <v>75</v>
      </c>
    </row>
    <row r="7" spans="1:11" x14ac:dyDescent="0.35">
      <c r="A7" t="s">
        <v>36</v>
      </c>
      <c r="G7" t="s">
        <v>75</v>
      </c>
    </row>
    <row r="8" spans="1:11" x14ac:dyDescent="0.35">
      <c r="A8" t="s">
        <v>37</v>
      </c>
      <c r="G8" t="s">
        <v>75</v>
      </c>
    </row>
    <row r="9" spans="1:11" x14ac:dyDescent="0.35">
      <c r="A9" t="s">
        <v>38</v>
      </c>
      <c r="G9" t="s">
        <v>75</v>
      </c>
    </row>
    <row r="10" spans="1:11" x14ac:dyDescent="0.35">
      <c r="A10" t="s">
        <v>78</v>
      </c>
      <c r="G10" t="s">
        <v>75</v>
      </c>
    </row>
    <row r="11" spans="1:11" x14ac:dyDescent="0.35">
      <c r="A11" t="s">
        <v>39</v>
      </c>
      <c r="G11" t="s">
        <v>75</v>
      </c>
    </row>
    <row r="13" spans="1:11" x14ac:dyDescent="0.35">
      <c r="A13" s="4" t="s">
        <v>5</v>
      </c>
    </row>
    <row r="14" spans="1:11" ht="29" x14ac:dyDescent="0.35">
      <c r="B14" s="5" t="s">
        <v>3</v>
      </c>
      <c r="C14" s="5" t="s">
        <v>2</v>
      </c>
      <c r="D14" s="5" t="s">
        <v>4</v>
      </c>
      <c r="E14" s="5" t="s">
        <v>0</v>
      </c>
      <c r="F14" s="5" t="s">
        <v>1</v>
      </c>
      <c r="G14" s="7" t="s">
        <v>14</v>
      </c>
      <c r="H14" s="7" t="s">
        <v>15</v>
      </c>
      <c r="I14" s="7" t="s">
        <v>16</v>
      </c>
      <c r="J14" s="7" t="s">
        <v>17</v>
      </c>
      <c r="K14" s="7" t="s">
        <v>18</v>
      </c>
    </row>
    <row r="15" spans="1:11" x14ac:dyDescent="0.35">
      <c r="A15" t="s">
        <v>6</v>
      </c>
      <c r="B15" s="1">
        <v>1200</v>
      </c>
      <c r="C15" s="1">
        <v>1260</v>
      </c>
      <c r="D15" s="1">
        <v>1348.2</v>
      </c>
      <c r="E15" s="1">
        <v>1469.5380000000002</v>
      </c>
      <c r="F15" s="1">
        <v>1572.4056600000004</v>
      </c>
      <c r="G15" s="16">
        <f>F15*(1+$G$44)</f>
        <v>1682.4740562000004</v>
      </c>
      <c r="H15" s="16">
        <f t="shared" ref="H15:K15" si="0">G15*(1+$G$44)</f>
        <v>1800.2472401340005</v>
      </c>
      <c r="I15" s="16">
        <f t="shared" si="0"/>
        <v>1926.2645469433808</v>
      </c>
      <c r="J15" s="16">
        <f t="shared" si="0"/>
        <v>2061.1030652294176</v>
      </c>
      <c r="K15" s="16">
        <f t="shared" si="0"/>
        <v>2205.3802797954768</v>
      </c>
    </row>
    <row r="16" spans="1:11" x14ac:dyDescent="0.35">
      <c r="A16" s="2" t="s">
        <v>7</v>
      </c>
      <c r="B16" s="3">
        <v>-960</v>
      </c>
      <c r="C16" s="3">
        <v>-1071</v>
      </c>
      <c r="D16" s="3">
        <v>-1011.1500000000001</v>
      </c>
      <c r="E16" s="3">
        <v>-1102.1535000000001</v>
      </c>
      <c r="F16" s="3">
        <v>-1257.9245280000005</v>
      </c>
      <c r="G16" s="23">
        <f>-$F$45*G15</f>
        <v>-1345.9792449600006</v>
      </c>
      <c r="H16" s="23">
        <f>-$F$45*H15</f>
        <v>-1440.1977921072007</v>
      </c>
      <c r="I16" s="23">
        <f t="shared" ref="I16:K16" si="1">-$F$45*I15</f>
        <v>-1541.011637554705</v>
      </c>
      <c r="J16" s="23">
        <f t="shared" si="1"/>
        <v>-1648.8824521835343</v>
      </c>
      <c r="K16" s="23">
        <f t="shared" si="1"/>
        <v>-1764.3042238363819</v>
      </c>
    </row>
    <row r="17" spans="1:11" x14ac:dyDescent="0.35">
      <c r="A17" t="s">
        <v>9</v>
      </c>
      <c r="B17" s="1">
        <v>240</v>
      </c>
      <c r="C17" s="1">
        <v>189</v>
      </c>
      <c r="D17" s="1">
        <v>337.04999999999995</v>
      </c>
      <c r="E17" s="1">
        <v>367.38450000000012</v>
      </c>
      <c r="F17" s="1">
        <v>314.48113199999989</v>
      </c>
      <c r="G17" s="16">
        <f>SUM(G15:G16)</f>
        <v>336.49481123999976</v>
      </c>
      <c r="H17" s="16">
        <f>SUM(H15:H16)</f>
        <v>360.04944802679984</v>
      </c>
      <c r="I17" s="16">
        <f t="shared" ref="I17:K17" si="2">SUM(I15:I16)</f>
        <v>385.25290938867579</v>
      </c>
      <c r="J17" s="16">
        <f t="shared" si="2"/>
        <v>412.22061304588328</v>
      </c>
      <c r="K17" s="16">
        <f t="shared" si="2"/>
        <v>441.0760559590949</v>
      </c>
    </row>
    <row r="18" spans="1:11" x14ac:dyDescent="0.35">
      <c r="A18" s="2" t="s">
        <v>33</v>
      </c>
      <c r="B18" s="3">
        <v>-90.440000000000012</v>
      </c>
      <c r="C18" s="3">
        <v>-95.156476683937825</v>
      </c>
      <c r="D18" s="3">
        <v>-105.60660452629602</v>
      </c>
      <c r="E18" s="3">
        <v>-118.28307096861803</v>
      </c>
      <c r="F18" s="3">
        <v>-132.23018569794786</v>
      </c>
      <c r="G18" s="23">
        <f ca="1">-$G$52*AVERAGE(F31:G31)</f>
        <v>-146.91923844103215</v>
      </c>
      <c r="H18" s="23">
        <f ca="1">-$G$52*AVERAGE(G31:H31)</f>
        <v>-163.03062413219035</v>
      </c>
      <c r="I18" s="23">
        <f t="shared" ref="I18:K18" ca="1" si="3">-$G$52*AVERAGE(H31:I31)</f>
        <v>-180.69249358857547</v>
      </c>
      <c r="J18" s="23">
        <f t="shared" ca="1" si="3"/>
        <v>-200.04404188977398</v>
      </c>
      <c r="K18" s="23">
        <f t="shared" ca="1" si="3"/>
        <v>-221.23643189903012</v>
      </c>
    </row>
    <row r="19" spans="1:11" x14ac:dyDescent="0.35">
      <c r="A19" t="s">
        <v>10</v>
      </c>
      <c r="B19" s="1">
        <v>149.56</v>
      </c>
      <c r="C19" s="1">
        <v>93.843523316062175</v>
      </c>
      <c r="D19" s="1">
        <v>231.44339547370393</v>
      </c>
      <c r="E19" s="1">
        <v>249.10142903138208</v>
      </c>
      <c r="F19" s="1">
        <v>182.25094630205203</v>
      </c>
      <c r="G19" s="16">
        <f ca="1">SUM(G17:G18)</f>
        <v>189.57557279896761</v>
      </c>
      <c r="H19" s="16">
        <f ca="1">SUM(H17:H18)</f>
        <v>197.01882389460948</v>
      </c>
      <c r="I19" s="16">
        <f t="shared" ref="I19:K19" ca="1" si="4">SUM(I17:I18)</f>
        <v>204.56041580010032</v>
      </c>
      <c r="J19" s="16">
        <f t="shared" ca="1" si="4"/>
        <v>212.1765711561093</v>
      </c>
      <c r="K19" s="16">
        <f t="shared" ca="1" si="4"/>
        <v>219.83962406006478</v>
      </c>
    </row>
    <row r="20" spans="1:11" x14ac:dyDescent="0.35">
      <c r="A20" t="s">
        <v>35</v>
      </c>
      <c r="B20" s="1">
        <v>0.24</v>
      </c>
      <c r="C20" s="1">
        <v>0.24600000000000002</v>
      </c>
      <c r="D20" s="1">
        <v>0.26082</v>
      </c>
      <c r="E20" s="1">
        <v>0.28177380000000002</v>
      </c>
      <c r="F20" s="1">
        <v>0.30419436600000005</v>
      </c>
      <c r="G20" s="16">
        <f>$G$50*AVERAGE(F28:G28)</f>
        <v>0.32548797162000015</v>
      </c>
      <c r="H20" s="16">
        <f>$G$50*AVERAGE(G28:H28)</f>
        <v>0.34827212963340015</v>
      </c>
      <c r="I20" s="16">
        <f t="shared" ref="I20:K20" si="5">$G$50*AVERAGE(H28:I28)</f>
        <v>0.37265117870773817</v>
      </c>
      <c r="J20" s="16">
        <f t="shared" si="5"/>
        <v>0.39873676121727986</v>
      </c>
      <c r="K20" s="16">
        <f t="shared" si="5"/>
        <v>0.42664833450248951</v>
      </c>
    </row>
    <row r="21" spans="1:11" x14ac:dyDescent="0.35">
      <c r="A21" s="2" t="s">
        <v>8</v>
      </c>
      <c r="B21" s="3">
        <v>-29.200000000000003</v>
      </c>
      <c r="C21" s="3">
        <v>-29.1473929091419</v>
      </c>
      <c r="D21" s="3">
        <v>-26.85715624530873</v>
      </c>
      <c r="E21" s="3">
        <v>-22.628550523175214</v>
      </c>
      <c r="F21" s="3">
        <v>-19.526544015486007</v>
      </c>
      <c r="G21" s="23">
        <f ca="1">-$G$51*AVERAGE(F37:G37)</f>
        <v>-17.262303869508575</v>
      </c>
      <c r="H21" s="23">
        <f ca="1">-$G$51*AVERAGE(G37:H37)</f>
        <v>-14.920116507248276</v>
      </c>
      <c r="I21" s="23">
        <f t="shared" ref="I21:K21" ca="1" si="6">-$G$51*AVERAGE(H37:I37)</f>
        <v>-12.514221524282528</v>
      </c>
      <c r="J21" s="23">
        <f t="shared" ca="1" si="6"/>
        <v>-10.061853006200886</v>
      </c>
      <c r="K21" s="23">
        <f t="shared" ca="1" si="6"/>
        <v>-7.5836020530789998</v>
      </c>
    </row>
    <row r="22" spans="1:11" x14ac:dyDescent="0.35">
      <c r="A22" t="s">
        <v>11</v>
      </c>
      <c r="B22" s="1">
        <v>120.6</v>
      </c>
      <c r="C22" s="1">
        <v>64.942130406920271</v>
      </c>
      <c r="D22" s="1">
        <v>204.84705922839518</v>
      </c>
      <c r="E22" s="1">
        <v>226.75465230820686</v>
      </c>
      <c r="F22" s="1">
        <v>163.02859665256602</v>
      </c>
      <c r="G22" s="16">
        <f ca="1">SUM(G19:G21)</f>
        <v>172.63875690107903</v>
      </c>
      <c r="H22" s="16">
        <f ca="1">SUM(H19:H21)</f>
        <v>182.44697951699459</v>
      </c>
      <c r="I22" s="16">
        <f t="shared" ref="I22:K22" ca="1" si="7">SUM(I19:I21)</f>
        <v>192.41884545452552</v>
      </c>
      <c r="J22" s="16">
        <f t="shared" ca="1" si="7"/>
        <v>202.51345491112571</v>
      </c>
      <c r="K22" s="16">
        <f t="shared" ca="1" si="7"/>
        <v>212.68267034148826</v>
      </c>
    </row>
    <row r="23" spans="1:11" x14ac:dyDescent="0.35">
      <c r="A23" s="2" t="s">
        <v>12</v>
      </c>
      <c r="B23" s="3">
        <v>-25.325999999999997</v>
      </c>
      <c r="C23" s="3">
        <v>-13.637847385453256</v>
      </c>
      <c r="D23" s="3">
        <v>-43.017882437962989</v>
      </c>
      <c r="E23" s="3">
        <v>-47.618476984723436</v>
      </c>
      <c r="F23" s="3">
        <v>-34.236005297038865</v>
      </c>
      <c r="G23" s="23">
        <f ca="1">-$B$43*G22</f>
        <v>-36.254138949226594</v>
      </c>
      <c r="H23" s="23">
        <f ca="1">-$B$43*H22</f>
        <v>-38.313865698568861</v>
      </c>
      <c r="I23" s="23">
        <f t="shared" ref="I23:K23" ca="1" si="8">-$B$43*I22</f>
        <v>-40.407957545450358</v>
      </c>
      <c r="J23" s="23">
        <f t="shared" ca="1" si="8"/>
        <v>-42.527825531336397</v>
      </c>
      <c r="K23" s="23">
        <f t="shared" ca="1" si="8"/>
        <v>-44.663360771712533</v>
      </c>
    </row>
    <row r="24" spans="1:11" x14ac:dyDescent="0.35">
      <c r="A24" t="s">
        <v>13</v>
      </c>
      <c r="B24" s="1">
        <v>95.274000000000001</v>
      </c>
      <c r="C24" s="1">
        <v>51.304283021467015</v>
      </c>
      <c r="D24" s="1">
        <v>161.8291767904322</v>
      </c>
      <c r="E24" s="1">
        <v>179.13617532348343</v>
      </c>
      <c r="F24" s="1">
        <v>128.79259135552715</v>
      </c>
      <c r="G24" s="16">
        <f ca="1">G22+G23</f>
        <v>136.38461795185245</v>
      </c>
      <c r="H24" s="16">
        <f ca="1">H22+H23</f>
        <v>144.13311381842573</v>
      </c>
      <c r="I24" s="16">
        <f t="shared" ref="I24:K24" ca="1" si="9">I22+I23</f>
        <v>152.01088790907517</v>
      </c>
      <c r="J24" s="16">
        <f t="shared" ca="1" si="9"/>
        <v>159.98562937978932</v>
      </c>
      <c r="K24" s="16">
        <f t="shared" ca="1" si="9"/>
        <v>168.01930956977571</v>
      </c>
    </row>
    <row r="26" spans="1:11" x14ac:dyDescent="0.35">
      <c r="A26" s="4" t="s">
        <v>19</v>
      </c>
    </row>
    <row r="27" spans="1:11" ht="29" x14ac:dyDescent="0.35">
      <c r="B27" s="5" t="s">
        <v>3</v>
      </c>
      <c r="C27" s="5" t="s">
        <v>2</v>
      </c>
      <c r="D27" s="5" t="s">
        <v>4</v>
      </c>
      <c r="E27" s="5" t="s">
        <v>0</v>
      </c>
      <c r="F27" s="5" t="s">
        <v>1</v>
      </c>
      <c r="G27" s="7" t="s">
        <v>14</v>
      </c>
      <c r="H27" s="7" t="s">
        <v>15</v>
      </c>
      <c r="I27" s="7" t="s">
        <v>16</v>
      </c>
      <c r="J27" s="7" t="s">
        <v>17</v>
      </c>
      <c r="K27" s="7" t="s">
        <v>18</v>
      </c>
    </row>
    <row r="28" spans="1:11" x14ac:dyDescent="0.35">
      <c r="A28" t="s">
        <v>20</v>
      </c>
      <c r="B28" s="1">
        <v>12</v>
      </c>
      <c r="C28" s="1">
        <v>12.6</v>
      </c>
      <c r="D28" s="1">
        <v>13.482000000000001</v>
      </c>
      <c r="E28" s="1">
        <v>14.695380000000002</v>
      </c>
      <c r="F28" s="1">
        <v>15.724056600000004</v>
      </c>
      <c r="G28" s="16">
        <f>$F$46*G15</f>
        <v>16.824740562000006</v>
      </c>
      <c r="H28" s="16">
        <f t="shared" ref="H28:K28" si="10">$F$46*H15</f>
        <v>18.002472401340007</v>
      </c>
      <c r="I28" s="16">
        <f t="shared" si="10"/>
        <v>19.262645469433807</v>
      </c>
      <c r="J28" s="16">
        <f t="shared" si="10"/>
        <v>20.611030652294176</v>
      </c>
      <c r="K28" s="16">
        <f t="shared" si="10"/>
        <v>22.05380279795477</v>
      </c>
    </row>
    <row r="29" spans="1:11" x14ac:dyDescent="0.35">
      <c r="A29" t="s">
        <v>21</v>
      </c>
      <c r="B29" s="1">
        <v>240</v>
      </c>
      <c r="C29" s="1">
        <v>252</v>
      </c>
      <c r="D29" s="1">
        <v>269.64000000000004</v>
      </c>
      <c r="E29" s="1">
        <v>293.90760000000006</v>
      </c>
      <c r="F29" s="1">
        <v>314.48113200000012</v>
      </c>
      <c r="G29" s="16">
        <f>$F$47*G15</f>
        <v>336.49481124000016</v>
      </c>
      <c r="H29" s="16">
        <f t="shared" ref="H29:K29" si="11">$F$47*H15</f>
        <v>360.04944802680018</v>
      </c>
      <c r="I29" s="16">
        <f t="shared" si="11"/>
        <v>385.25290938867624</v>
      </c>
      <c r="J29" s="16">
        <f t="shared" si="11"/>
        <v>412.22061304588357</v>
      </c>
      <c r="K29" s="16">
        <f t="shared" si="11"/>
        <v>441.07605595909547</v>
      </c>
    </row>
    <row r="30" spans="1:11" x14ac:dyDescent="0.35">
      <c r="A30" t="s">
        <v>22</v>
      </c>
      <c r="G30" s="19"/>
      <c r="H30" s="19"/>
      <c r="I30" s="19"/>
      <c r="J30" s="19"/>
      <c r="K30" s="19"/>
    </row>
    <row r="31" spans="1:11" x14ac:dyDescent="0.35">
      <c r="A31" s="6" t="s">
        <v>23</v>
      </c>
      <c r="B31" s="1">
        <v>1292</v>
      </c>
      <c r="C31" s="1">
        <v>1426.7564766839378</v>
      </c>
      <c r="D31" s="1">
        <v>1590.575081210234</v>
      </c>
      <c r="E31" s="1">
        <v>1788.9412321788523</v>
      </c>
      <c r="F31" s="1">
        <v>1989.0640734768001</v>
      </c>
      <c r="G31" s="16">
        <f ca="1">G33+G32</f>
        <v>2208.6284534098322</v>
      </c>
      <c r="H31" s="16">
        <f t="shared" ref="H31:K31" ca="1" si="12">H33+H32</f>
        <v>2449.3893789384629</v>
      </c>
      <c r="I31" s="16">
        <f t="shared" ca="1" si="12"/>
        <v>2713.253295020836</v>
      </c>
      <c r="J31" s="16">
        <f t="shared" ca="1" si="12"/>
        <v>3002.2907589727056</v>
      </c>
      <c r="K31" s="16">
        <f t="shared" ca="1" si="12"/>
        <v>3318.7501524281552</v>
      </c>
    </row>
    <row r="32" spans="1:11" x14ac:dyDescent="0.35">
      <c r="A32" s="6" t="s">
        <v>24</v>
      </c>
      <c r="B32" s="1">
        <v>500</v>
      </c>
      <c r="C32" s="1">
        <v>595.15647668393785</v>
      </c>
      <c r="D32" s="1">
        <v>700.76308121023385</v>
      </c>
      <c r="E32" s="1">
        <v>819.04615217885191</v>
      </c>
      <c r="F32" s="1">
        <v>951.27633787679974</v>
      </c>
      <c r="G32" s="16">
        <f ca="1">F32-G18</f>
        <v>1098.1955763178319</v>
      </c>
      <c r="H32" s="16">
        <f t="shared" ref="H32:K32" ca="1" si="13">G32-H18</f>
        <v>1261.2262004500221</v>
      </c>
      <c r="I32" s="16">
        <f t="shared" ca="1" si="13"/>
        <v>1441.9186940385976</v>
      </c>
      <c r="J32" s="16">
        <f t="shared" ca="1" si="13"/>
        <v>1641.9627359283716</v>
      </c>
      <c r="K32" s="16">
        <f t="shared" ca="1" si="13"/>
        <v>1863.1991678274017</v>
      </c>
    </row>
    <row r="33" spans="1:11" x14ac:dyDescent="0.35">
      <c r="A33" t="s">
        <v>25</v>
      </c>
      <c r="B33" s="3">
        <v>792</v>
      </c>
      <c r="C33" s="3">
        <v>831.6</v>
      </c>
      <c r="D33" s="3">
        <v>889.81200000000013</v>
      </c>
      <c r="E33" s="3">
        <v>969.89508000000023</v>
      </c>
      <c r="F33" s="3">
        <v>1037.7877356000004</v>
      </c>
      <c r="G33" s="23">
        <f>$F$49*G15</f>
        <v>1110.4328770920004</v>
      </c>
      <c r="H33" s="23">
        <f t="shared" ref="H33:K33" si="14">$F$49*H15</f>
        <v>1188.1631784884405</v>
      </c>
      <c r="I33" s="23">
        <f t="shared" si="14"/>
        <v>1271.3346009826314</v>
      </c>
      <c r="J33" s="23">
        <f t="shared" si="14"/>
        <v>1360.3280230514156</v>
      </c>
      <c r="K33" s="23">
        <f t="shared" si="14"/>
        <v>1455.5509846650148</v>
      </c>
    </row>
    <row r="34" spans="1:11" x14ac:dyDescent="0.35">
      <c r="A34" t="s">
        <v>26</v>
      </c>
      <c r="B34" s="1">
        <v>1044</v>
      </c>
      <c r="C34" s="1">
        <v>1096.2</v>
      </c>
      <c r="D34" s="1">
        <v>1172.9340000000002</v>
      </c>
      <c r="E34" s="1">
        <v>1278.4980600000004</v>
      </c>
      <c r="F34" s="1">
        <v>1367.9929242000005</v>
      </c>
      <c r="G34" s="16">
        <f>G28+G29+G33</f>
        <v>1463.7524288940006</v>
      </c>
      <c r="H34" s="16">
        <f t="shared" ref="H34:K34" si="15">H28+H29+H33</f>
        <v>1566.2150989165807</v>
      </c>
      <c r="I34" s="16">
        <f t="shared" si="15"/>
        <v>1675.8501558407415</v>
      </c>
      <c r="J34" s="16">
        <f t="shared" si="15"/>
        <v>1793.1596667495933</v>
      </c>
      <c r="K34" s="16">
        <f t="shared" si="15"/>
        <v>1918.680843422065</v>
      </c>
    </row>
    <row r="35" spans="1:11" x14ac:dyDescent="0.35">
      <c r="G35" s="19"/>
      <c r="H35" s="19"/>
      <c r="I35" s="19"/>
      <c r="J35" s="19"/>
      <c r="K35" s="19"/>
    </row>
    <row r="36" spans="1:11" x14ac:dyDescent="0.35">
      <c r="A36" t="s">
        <v>27</v>
      </c>
      <c r="B36" s="1">
        <v>60</v>
      </c>
      <c r="C36" s="1">
        <v>63</v>
      </c>
      <c r="D36" s="1">
        <v>67.410000000000011</v>
      </c>
      <c r="E36" s="1">
        <v>73.476900000000015</v>
      </c>
      <c r="F36" s="1">
        <v>78.620283000000029</v>
      </c>
      <c r="G36" s="16">
        <f>$F$48*G15</f>
        <v>84.12370281000004</v>
      </c>
      <c r="H36" s="16">
        <f t="shared" ref="H36:K36" si="16">$F$48*H15</f>
        <v>90.012362006700045</v>
      </c>
      <c r="I36" s="16">
        <f t="shared" si="16"/>
        <v>96.313227347169061</v>
      </c>
      <c r="J36" s="16">
        <f t="shared" si="16"/>
        <v>103.05515326147089</v>
      </c>
      <c r="K36" s="16">
        <f t="shared" si="16"/>
        <v>110.26901398977387</v>
      </c>
    </row>
    <row r="37" spans="1:11" x14ac:dyDescent="0.35">
      <c r="A37" t="s">
        <v>28</v>
      </c>
      <c r="B37" s="1">
        <v>584</v>
      </c>
      <c r="C37" s="1">
        <v>581.89571636567598</v>
      </c>
      <c r="D37" s="1">
        <v>492.39053344667298</v>
      </c>
      <c r="E37" s="1">
        <v>412.75148748033553</v>
      </c>
      <c r="F37" s="1">
        <v>368.31027313910465</v>
      </c>
      <c r="G37" s="16">
        <f ca="1">G34-G36-G38-G39-G40</f>
        <v>322.18188164123831</v>
      </c>
      <c r="H37" s="16">
        <f t="shared" ref="H37:K37" ca="1" si="17">H34-H36-H38-H39-H40</f>
        <v>274.6227786486927</v>
      </c>
      <c r="I37" s="16">
        <f t="shared" ca="1" si="17"/>
        <v>225.94608232260839</v>
      </c>
      <c r="J37" s="16">
        <f t="shared" ca="1" si="17"/>
        <v>176.52803792542704</v>
      </c>
      <c r="K37" s="16">
        <f t="shared" ca="1" si="17"/>
        <v>126.81604419773362</v>
      </c>
    </row>
    <row r="38" spans="1:11" x14ac:dyDescent="0.35">
      <c r="A38" t="s">
        <v>29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6">
        <f>F38</f>
        <v>100</v>
      </c>
      <c r="H38" s="16">
        <f t="shared" ref="H38:K38" si="18">G38</f>
        <v>100</v>
      </c>
      <c r="I38" s="16">
        <f t="shared" si="18"/>
        <v>100</v>
      </c>
      <c r="J38" s="16">
        <f t="shared" si="18"/>
        <v>100</v>
      </c>
      <c r="K38" s="16">
        <f t="shared" si="18"/>
        <v>100</v>
      </c>
    </row>
    <row r="39" spans="1:11" x14ac:dyDescent="0.35">
      <c r="A39" t="s">
        <v>30</v>
      </c>
      <c r="B39" s="1">
        <v>100</v>
      </c>
      <c r="C39" s="1">
        <v>100</v>
      </c>
      <c r="D39" s="1">
        <v>100</v>
      </c>
      <c r="E39" s="1">
        <v>100</v>
      </c>
      <c r="F39" s="1">
        <v>100</v>
      </c>
      <c r="G39" s="16">
        <f>F39</f>
        <v>100</v>
      </c>
      <c r="H39" s="16">
        <f t="shared" ref="H39:K39" si="19">G39</f>
        <v>100</v>
      </c>
      <c r="I39" s="16">
        <f t="shared" si="19"/>
        <v>100</v>
      </c>
      <c r="J39" s="16">
        <f t="shared" si="19"/>
        <v>100</v>
      </c>
      <c r="K39" s="16">
        <f t="shared" si="19"/>
        <v>100</v>
      </c>
    </row>
    <row r="40" spans="1:11" x14ac:dyDescent="0.35">
      <c r="A40" t="s">
        <v>31</v>
      </c>
      <c r="B40" s="3">
        <v>200</v>
      </c>
      <c r="C40" s="3">
        <v>251.30428302146703</v>
      </c>
      <c r="D40" s="3">
        <v>413.13345981189923</v>
      </c>
      <c r="E40" s="3">
        <v>592.26963513538271</v>
      </c>
      <c r="F40" s="3">
        <v>721.06222649090989</v>
      </c>
      <c r="G40" s="23">
        <f ca="1">F40+G24</f>
        <v>857.44684444276231</v>
      </c>
      <c r="H40" s="23">
        <f t="shared" ref="H40:K40" ca="1" si="20">G40+H24</f>
        <v>1001.579958261188</v>
      </c>
      <c r="I40" s="23">
        <f t="shared" ca="1" si="20"/>
        <v>1153.5908461702631</v>
      </c>
      <c r="J40" s="23">
        <f t="shared" ca="1" si="20"/>
        <v>1313.5764755500525</v>
      </c>
      <c r="K40" s="23">
        <f t="shared" ca="1" si="20"/>
        <v>1481.5957851198282</v>
      </c>
    </row>
    <row r="41" spans="1:11" x14ac:dyDescent="0.35">
      <c r="A41" t="s">
        <v>32</v>
      </c>
      <c r="B41" s="1">
        <v>1044</v>
      </c>
      <c r="C41" s="1">
        <v>1096.199999387143</v>
      </c>
      <c r="D41" s="1">
        <v>1172.9339932585722</v>
      </c>
      <c r="E41" s="1">
        <v>1278.4980226157181</v>
      </c>
      <c r="F41" s="1">
        <v>1367.9927826300145</v>
      </c>
      <c r="G41" s="16">
        <f ca="1">SUM(G36:G40)</f>
        <v>1463.7524288940008</v>
      </c>
      <c r="H41" s="16">
        <f t="shared" ref="H41:K41" ca="1" si="21">SUM(H36:H40)</f>
        <v>1566.2150989165807</v>
      </c>
      <c r="I41" s="16">
        <f t="shared" ca="1" si="21"/>
        <v>1675.8501558400405</v>
      </c>
      <c r="J41" s="16">
        <f t="shared" ca="1" si="21"/>
        <v>1793.1596667369504</v>
      </c>
      <c r="K41" s="16">
        <f t="shared" ca="1" si="21"/>
        <v>1918.6808433073356</v>
      </c>
    </row>
    <row r="43" spans="1:11" x14ac:dyDescent="0.35">
      <c r="A43" t="s">
        <v>76</v>
      </c>
      <c r="B43" s="27">
        <v>0.21</v>
      </c>
      <c r="G43" s="29" t="s">
        <v>77</v>
      </c>
    </row>
    <row r="44" spans="1:11" x14ac:dyDescent="0.35">
      <c r="A44" t="s">
        <v>65</v>
      </c>
      <c r="C44" s="28">
        <f>C15/B15-1</f>
        <v>5.0000000000000044E-2</v>
      </c>
      <c r="D44" s="28">
        <f t="shared" ref="D44:F44" si="22">D15/C15-1</f>
        <v>7.0000000000000062E-2</v>
      </c>
      <c r="E44" s="28">
        <f t="shared" si="22"/>
        <v>9.000000000000008E-2</v>
      </c>
      <c r="F44" s="28">
        <f t="shared" si="22"/>
        <v>7.0000000000000062E-2</v>
      </c>
      <c r="G44" s="28">
        <f>AVERAGE(C44:F44)</f>
        <v>7.0000000000000062E-2</v>
      </c>
    </row>
    <row r="45" spans="1:11" x14ac:dyDescent="0.35">
      <c r="A45" t="s">
        <v>66</v>
      </c>
      <c r="F45" s="27">
        <f>-F16/F15</f>
        <v>0.80000000000000016</v>
      </c>
    </row>
    <row r="46" spans="1:11" x14ac:dyDescent="0.35">
      <c r="A46" t="s">
        <v>79</v>
      </c>
      <c r="C46" s="27"/>
      <c r="D46" s="27"/>
      <c r="E46" s="27"/>
      <c r="F46" s="27">
        <f>F28/F15</f>
        <v>0.01</v>
      </c>
    </row>
    <row r="47" spans="1:11" x14ac:dyDescent="0.35">
      <c r="A47" t="s">
        <v>69</v>
      </c>
      <c r="F47" s="27">
        <f>F29/F15</f>
        <v>0.20000000000000004</v>
      </c>
    </row>
    <row r="48" spans="1:11" x14ac:dyDescent="0.35">
      <c r="A48" t="s">
        <v>70</v>
      </c>
      <c r="F48" s="27">
        <f>F36/F15</f>
        <v>5.000000000000001E-2</v>
      </c>
    </row>
    <row r="49" spans="1:7" x14ac:dyDescent="0.35">
      <c r="A49" t="s">
        <v>74</v>
      </c>
      <c r="F49" s="27">
        <f>F33/F15</f>
        <v>0.66</v>
      </c>
    </row>
    <row r="50" spans="1:7" x14ac:dyDescent="0.35">
      <c r="A50" t="s">
        <v>71</v>
      </c>
      <c r="C50" s="27">
        <f>C20/AVERAGE(B28:C28)</f>
        <v>0.02</v>
      </c>
      <c r="D50" s="27">
        <f>D20/AVERAGE(C28:D28)</f>
        <v>0.02</v>
      </c>
      <c r="E50" s="27">
        <f>E20/AVERAGE(D28:E28)</f>
        <v>0.02</v>
      </c>
      <c r="F50" s="27">
        <f>F20/AVERAGE(E28:F28)</f>
        <v>0.02</v>
      </c>
      <c r="G50" s="27">
        <f>AVERAGE(C50:F50)</f>
        <v>0.02</v>
      </c>
    </row>
    <row r="51" spans="1:7" x14ac:dyDescent="0.35">
      <c r="A51" t="s">
        <v>72</v>
      </c>
      <c r="C51" s="27">
        <f>-C21/AVERAGE(B37:C37)</f>
        <v>0.05</v>
      </c>
      <c r="D51" s="27">
        <f>-D21/AVERAGE(C37:D37)</f>
        <v>0.05</v>
      </c>
      <c r="E51" s="27">
        <f>-E21/AVERAGE(D37:E37)</f>
        <v>0.05</v>
      </c>
      <c r="F51" s="27">
        <f>-F21/AVERAGE(E37:F37)</f>
        <v>0.05</v>
      </c>
      <c r="G51" s="27">
        <f>AVERAGE(C51:F51)</f>
        <v>0.05</v>
      </c>
    </row>
    <row r="52" spans="1:7" x14ac:dyDescent="0.35">
      <c r="A52" t="s">
        <v>73</v>
      </c>
      <c r="C52" s="27">
        <f>-C18/AVERAGE(B31:C31)</f>
        <v>7.0000000000000007E-2</v>
      </c>
      <c r="D52" s="27">
        <f t="shared" ref="D52:F52" si="23">-D18/AVERAGE(C31:D31)</f>
        <v>7.0000000000000007E-2</v>
      </c>
      <c r="E52" s="27">
        <f t="shared" si="23"/>
        <v>7.0000000000000007E-2</v>
      </c>
      <c r="F52" s="27">
        <f t="shared" si="23"/>
        <v>7.0000000000000007E-2</v>
      </c>
      <c r="G52" s="27">
        <f t="shared" ref="G51:G52" si="24">AVERAGE(C52:F52)</f>
        <v>7.0000000000000007E-2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FCF and Valuation</vt:lpstr>
      <vt:lpstr>B. Pro-forma (Debt Plug)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 Crotty</dc:creator>
  <cp:lastModifiedBy>Kevin</cp:lastModifiedBy>
  <cp:lastPrinted>2020-02-04T18:18:49Z</cp:lastPrinted>
  <dcterms:created xsi:type="dcterms:W3CDTF">2020-02-04T17:19:37Z</dcterms:created>
  <dcterms:modified xsi:type="dcterms:W3CDTF">2020-05-19T22:41:12Z</dcterms:modified>
</cp:coreProperties>
</file>