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pellowe/Dropbox/2016-2019 UMaine Grad School/9_Summer 2019/Chapter 1/Ecosphere Revisions/Github data/"/>
    </mc:Choice>
  </mc:AlternateContent>
  <xr:revisionPtr revIDLastSave="0" documentId="13_ncr:1_{C8D0ED82-7D42-3541-8CF2-C1403E3C73FC}" xr6:coauthVersionLast="43" xr6:coauthVersionMax="43" xr10:uidLastSave="{00000000-0000-0000-0000-000000000000}"/>
  <bookViews>
    <workbookView xWindow="480" yWindow="960" windowWidth="25040" windowHeight="14440" xr2:uid="{330F8D76-4B0D-F04E-A202-41464373876C}"/>
  </bookViews>
  <sheets>
    <sheet name="YPR and SSBR models" sheetId="1" r:id="rId1"/>
  </sheets>
  <definedNames>
    <definedName name="solver_adj" localSheetId="0" hidden="1">'YPR and SSBR models'!$H$2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'YPR and SSBR models'!$H$17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K6" i="1" s="1"/>
  <c r="H6" i="1"/>
  <c r="J6" i="1"/>
  <c r="M6" i="1"/>
  <c r="O6" i="1"/>
  <c r="B7" i="1"/>
  <c r="M7" i="1" s="1"/>
  <c r="C7" i="1"/>
  <c r="H7" i="1" s="1"/>
  <c r="G7" i="1"/>
  <c r="G8" i="1" s="1"/>
  <c r="I7" i="1"/>
  <c r="K7" i="1"/>
  <c r="B8" i="1"/>
  <c r="B9" i="1" s="1"/>
  <c r="I8" i="1"/>
  <c r="I9" i="1" s="1"/>
  <c r="I10" i="1" s="1"/>
  <c r="I11" i="1" s="1"/>
  <c r="I12" i="1" s="1"/>
  <c r="I13" i="1" s="1"/>
  <c r="I14" i="1" s="1"/>
  <c r="I15" i="1" s="1"/>
  <c r="I16" i="1" s="1"/>
  <c r="C8" i="1" l="1"/>
  <c r="M8" i="1"/>
  <c r="M9" i="1"/>
  <c r="C9" i="1"/>
  <c r="B10" i="1"/>
  <c r="L6" i="1"/>
  <c r="K8" i="1"/>
  <c r="O8" i="1"/>
  <c r="G9" i="1"/>
  <c r="G10" i="1" s="1"/>
  <c r="G11" i="1" s="1"/>
  <c r="G12" i="1" s="1"/>
  <c r="G13" i="1" s="1"/>
  <c r="G14" i="1" s="1"/>
  <c r="G15" i="1" s="1"/>
  <c r="G16" i="1" s="1"/>
  <c r="J8" i="1"/>
  <c r="H8" i="1"/>
  <c r="O7" i="1"/>
  <c r="J7" i="1"/>
  <c r="L7" i="1" s="1"/>
  <c r="L8" i="1" l="1"/>
  <c r="B11" i="1"/>
  <c r="C10" i="1"/>
  <c r="M10" i="1"/>
  <c r="J9" i="1"/>
  <c r="L9" i="1" s="1"/>
  <c r="K9" i="1"/>
  <c r="H9" i="1"/>
  <c r="O9" i="1"/>
  <c r="K10" i="1" l="1"/>
  <c r="H10" i="1"/>
  <c r="J10" i="1"/>
  <c r="L10" i="1" s="1"/>
  <c r="M11" i="1"/>
  <c r="C11" i="1"/>
  <c r="B12" i="1"/>
  <c r="O10" i="1"/>
  <c r="B13" i="1" l="1"/>
  <c r="C12" i="1"/>
  <c r="M12" i="1"/>
  <c r="O12" i="1" s="1"/>
  <c r="H11" i="1"/>
  <c r="J11" i="1"/>
  <c r="K11" i="1"/>
  <c r="O11" i="1"/>
  <c r="K12" i="1" l="1"/>
  <c r="H12" i="1"/>
  <c r="J12" i="1"/>
  <c r="L11" i="1"/>
  <c r="M13" i="1"/>
  <c r="C13" i="1"/>
  <c r="B14" i="1"/>
  <c r="J13" i="1" l="1"/>
  <c r="L13" i="1" s="1"/>
  <c r="K13" i="1"/>
  <c r="H13" i="1"/>
  <c r="B15" i="1"/>
  <c r="C14" i="1"/>
  <c r="M14" i="1"/>
  <c r="L12" i="1"/>
  <c r="O13" i="1"/>
  <c r="O14" i="1" l="1"/>
  <c r="K14" i="1"/>
  <c r="H14" i="1"/>
  <c r="J14" i="1"/>
  <c r="M15" i="1"/>
  <c r="O15" i="1" s="1"/>
  <c r="C15" i="1"/>
  <c r="B16" i="1"/>
  <c r="L14" i="1" l="1"/>
  <c r="M16" i="1"/>
  <c r="O16" i="1" s="1"/>
  <c r="O18" i="1" s="1"/>
  <c r="C16" i="1"/>
  <c r="J15" i="1"/>
  <c r="K15" i="1"/>
  <c r="H15" i="1"/>
  <c r="L15" i="1" l="1"/>
  <c r="K16" i="1"/>
  <c r="J16" i="1"/>
  <c r="H16" i="1"/>
  <c r="H18" i="1" s="1"/>
  <c r="L16" i="1" l="1"/>
  <c r="L18" i="1" s="1"/>
</calcChain>
</file>

<file path=xl/sharedStrings.xml><?xml version="1.0" encoding="utf-8"?>
<sst xmlns="http://schemas.openxmlformats.org/spreadsheetml/2006/main" count="29" uniqueCount="28">
  <si>
    <t>SBB/R</t>
  </si>
  <si>
    <t>Slope</t>
  </si>
  <si>
    <t>YPR</t>
  </si>
  <si>
    <t>SSB</t>
  </si>
  <si>
    <t>Proportion Female</t>
  </si>
  <si>
    <t>P maturity</t>
  </si>
  <si>
    <t>DY/DF</t>
  </si>
  <si>
    <t>DY/DF(2)</t>
  </si>
  <si>
    <t>DY/DF(1)</t>
  </si>
  <si>
    <t>Sum S</t>
  </si>
  <si>
    <t>Accumulated mortality</t>
  </si>
  <si>
    <t>Natural Mortality</t>
  </si>
  <si>
    <t>Discarding</t>
  </si>
  <si>
    <t>Selectivity</t>
  </si>
  <si>
    <t>Weight</t>
  </si>
  <si>
    <t>Length</t>
  </si>
  <si>
    <t>L50</t>
  </si>
  <si>
    <t>m</t>
  </si>
  <si>
    <t>b</t>
  </si>
  <si>
    <t>a</t>
  </si>
  <si>
    <t>B</t>
  </si>
  <si>
    <t>L_infinity</t>
  </si>
  <si>
    <t>K</t>
  </si>
  <si>
    <t>P of maturity</t>
  </si>
  <si>
    <t>Natural mortality</t>
  </si>
  <si>
    <t>Fishing mortality</t>
  </si>
  <si>
    <t>Length weight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</si>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</sst>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A585-8BE0-EC4E-827C-A146B53469D2}">
  <dimension ref="A1:O55"/>
  <sheetViews>
    <sheetView tabSelected="1" zoomScale="91" zoomScaleNormal="91" zoomScalePageLayoutView="91" workbookViewId="0">
      <selection activeCell="C21" sqref="C21"/>
    </sheetView>
  </sheetViews>
  <sheetFormatPr baseColWidth="10" defaultRowHeight="16" x14ac:dyDescent="0.2"/>
  <cols>
    <col min="1" max="1" width="12.83203125" customWidth="1"/>
    <col min="6" max="6" width="13.83203125" customWidth="1"/>
    <col min="7" max="7" width="13.1640625" customWidth="1"/>
    <col min="8" max="8" width="14.83203125" customWidth="1"/>
    <col min="9" max="9" width="15.6640625" customWidth="1"/>
    <col min="10" max="13" width="15.5" customWidth="1"/>
    <col min="15" max="15" width="14.33203125" customWidth="1"/>
    <col min="18" max="18" width="14.33203125" customWidth="1"/>
    <col min="19" max="19" width="12" bestFit="1" customWidth="1"/>
  </cols>
  <sheetData>
    <row r="1" spans="1:15" x14ac:dyDescent="0.2">
      <c r="A1" s="2" t="s">
        <v>27</v>
      </c>
      <c r="B1" s="2"/>
      <c r="C1" s="2"/>
      <c r="E1" s="2" t="s">
        <v>26</v>
      </c>
      <c r="F1" s="2"/>
      <c r="H1" t="s">
        <v>25</v>
      </c>
      <c r="I1" t="s">
        <v>24</v>
      </c>
      <c r="K1" t="s">
        <v>23</v>
      </c>
    </row>
    <row r="2" spans="1:15" x14ac:dyDescent="0.2">
      <c r="A2" t="s">
        <v>22</v>
      </c>
      <c r="B2" t="s">
        <v>21</v>
      </c>
      <c r="C2" t="s">
        <v>20</v>
      </c>
      <c r="E2" t="s">
        <v>19</v>
      </c>
      <c r="F2" t="s">
        <v>18</v>
      </c>
      <c r="H2">
        <v>0</v>
      </c>
      <c r="I2">
        <v>0.32</v>
      </c>
      <c r="K2" t="s">
        <v>17</v>
      </c>
      <c r="L2" t="s">
        <v>16</v>
      </c>
    </row>
    <row r="3" spans="1:15" x14ac:dyDescent="0.2">
      <c r="A3">
        <v>4.5621999999999998</v>
      </c>
      <c r="B3">
        <v>70.274199999999993</v>
      </c>
      <c r="C3">
        <v>0.91300000000000003</v>
      </c>
      <c r="E3">
        <v>2.0999999999999999E-3</v>
      </c>
      <c r="F3">
        <v>2.5445000000000002</v>
      </c>
      <c r="K3">
        <v>0.5</v>
      </c>
      <c r="L3">
        <v>42</v>
      </c>
    </row>
    <row r="5" spans="1:15" x14ac:dyDescent="0.2">
      <c r="B5" t="s">
        <v>15</v>
      </c>
      <c r="C5" t="s">
        <v>14</v>
      </c>
      <c r="D5" t="s">
        <v>13</v>
      </c>
      <c r="E5" t="s">
        <v>12</v>
      </c>
      <c r="F5" t="s">
        <v>11</v>
      </c>
      <c r="G5" t="s">
        <v>10</v>
      </c>
      <c r="H5" t="s">
        <v>2</v>
      </c>
      <c r="I5" t="s">
        <v>9</v>
      </c>
      <c r="J5" t="s">
        <v>8</v>
      </c>
      <c r="K5" t="s">
        <v>7</v>
      </c>
      <c r="L5" t="s">
        <v>6</v>
      </c>
      <c r="M5" t="s">
        <v>5</v>
      </c>
      <c r="N5" t="s">
        <v>4</v>
      </c>
      <c r="O5" t="s">
        <v>3</v>
      </c>
    </row>
    <row r="6" spans="1:15" x14ac:dyDescent="0.2">
      <c r="A6">
        <v>0</v>
      </c>
      <c r="B6">
        <f>0+($B$3+($C$3*(0-60))-0)*(1-EXP(-$A$3))</f>
        <v>15.332454997035379</v>
      </c>
      <c r="C6">
        <f>$E$3*(B6^$F$3)</f>
        <v>2.182771436073053</v>
      </c>
      <c r="D6">
        <v>0</v>
      </c>
      <c r="E6">
        <v>1</v>
      </c>
      <c r="F6">
        <v>0.32</v>
      </c>
      <c r="G6">
        <v>0</v>
      </c>
      <c r="H6">
        <f>C6*$H$2*D6/($H$2*D6+F6)*(1-EXP(-($H$2*D6+F6)))*EXP(-G6)</f>
        <v>0</v>
      </c>
      <c r="I6">
        <v>0</v>
      </c>
      <c r="J6">
        <f>(C6*D6*F6-C6*D6*EXP(-D6*$H$2-F6)+C6*D6*D6*$H$2*(D6*$H$2+F6)*EXP(-D6*$H$2-F6))/(D6*$H$2+F6)^2*EXP(-G6)</f>
        <v>0</v>
      </c>
      <c r="K6">
        <f>-(C6*D6*$H$2)/(D6*$H$2+$I$2)*(1-EXP(-D6*$H$2-$I$2))*EXP(-G6)*I6</f>
        <v>0</v>
      </c>
      <c r="L6">
        <f>(J6+K6)*(1-E6)</f>
        <v>0</v>
      </c>
      <c r="M6">
        <f>1/(1+EXP(-$K$3*(B6-$L$3)))</f>
        <v>1.6188830523625329E-6</v>
      </c>
      <c r="N6">
        <v>0.5</v>
      </c>
      <c r="O6">
        <f>M6*N6*EXP(-G6)*C6</f>
        <v>1.7668258425198467E-6</v>
      </c>
    </row>
    <row r="7" spans="1:15" x14ac:dyDescent="0.2">
      <c r="A7">
        <v>1</v>
      </c>
      <c r="B7">
        <f>B6+($B$3+($C$3*(B6-60))-B6)*(1-EXP(-$A$3))</f>
        <v>29.344911327954271</v>
      </c>
      <c r="C7">
        <f>$E$3*(B7^$F$3)</f>
        <v>11.385615367352514</v>
      </c>
      <c r="D7">
        <v>0</v>
      </c>
      <c r="E7">
        <v>1</v>
      </c>
      <c r="F7">
        <v>0.32</v>
      </c>
      <c r="G7">
        <f>G6+(D7*$H$2)+F7</f>
        <v>0.32</v>
      </c>
      <c r="H7">
        <f>C7*$H$2*D7/($H$2*D7+F7)*(1-EXP(-($H$2*D7+F7)))*EXP(-G7)</f>
        <v>0</v>
      </c>
      <c r="I7">
        <f>D6+I6</f>
        <v>0</v>
      </c>
      <c r="J7">
        <f>(C7*D7*F7-C7*D7*EXP(-D7*$H$2-F7)+C7*D7*D7*$H$2*(D7*$H$2+F7)*EXP(-D7*$H$2-F7))/(D7*$H$2+F7)^2*EXP(-G7)</f>
        <v>0</v>
      </c>
      <c r="K7">
        <f>-(C7*D7*$H$2)/(D7*$H$2+$I$2)*(1-EXP(-D7*$H$2-$I$2))*EXP(-G7)*I7</f>
        <v>0</v>
      </c>
      <c r="L7">
        <f>(J7+K7)*(1-E7)</f>
        <v>0</v>
      </c>
      <c r="M7">
        <f>1/(1+EXP(-$K$3*(B7-$L$3)))</f>
        <v>1.7832296341573736E-3</v>
      </c>
      <c r="N7">
        <v>0.5</v>
      </c>
      <c r="O7">
        <f>M7*N7*EXP(-G7)*C7</f>
        <v>7.3715624838813212E-3</v>
      </c>
    </row>
    <row r="8" spans="1:15" x14ac:dyDescent="0.2">
      <c r="A8">
        <v>2</v>
      </c>
      <c r="B8">
        <f>B7+($B$3+($C$3*(B7-60))-B7)*(1-EXP(-$A$3))</f>
        <v>42.151010055384042</v>
      </c>
      <c r="C8">
        <f>$E$3*(B8^$F$3)</f>
        <v>28.611670509056857</v>
      </c>
      <c r="D8">
        <v>0</v>
      </c>
      <c r="E8">
        <v>1</v>
      </c>
      <c r="F8">
        <v>0.32</v>
      </c>
      <c r="G8">
        <f>G7+(D8*$H$2)+F8</f>
        <v>0.64</v>
      </c>
      <c r="H8">
        <f>C8*$H$2*D8/($H$2*D8+F8)*(1-EXP(-($H$2*D8+F8)))*EXP(-G8)</f>
        <v>0</v>
      </c>
      <c r="I8">
        <f>D7+I7</f>
        <v>0</v>
      </c>
      <c r="J8">
        <f>(C8*D8*F8-C8*D8*EXP(-D8*$H$2-F8)+C8*D8*D8*$H$2*(D8*$H$2+F8)*EXP(-D8*$H$2-F8))/(D8*$H$2+F8)^2*EXP(-G8)</f>
        <v>0</v>
      </c>
      <c r="K8">
        <f>-(C8*D8*$H$2)/(D8*$H$2+$I$2)*(1-EXP(-D8*$H$2-$I$2))*EXP(-G8)*I8</f>
        <v>0</v>
      </c>
      <c r="L8">
        <f>(J8+K8)*(1-E8)</f>
        <v>0</v>
      </c>
      <c r="M8">
        <f>1/(1+EXP(-$K$3*(B8-$L$3)))</f>
        <v>0.51886729422307176</v>
      </c>
      <c r="N8">
        <v>0.5</v>
      </c>
      <c r="O8">
        <f>M8*N8*EXP(-G8)*C8</f>
        <v>3.9140020398405575</v>
      </c>
    </row>
    <row r="9" spans="1:15" x14ac:dyDescent="0.2">
      <c r="A9">
        <v>3</v>
      </c>
      <c r="B9">
        <f>B8+($B$3+($C$3*(B8-60))-B8)*(1-EXP(-$A$3))</f>
        <v>53.85460867819053</v>
      </c>
      <c r="C9">
        <f>$E$3*(B9^$F$3)</f>
        <v>53.37229760567967</v>
      </c>
      <c r="D9">
        <v>0</v>
      </c>
      <c r="E9">
        <v>1</v>
      </c>
      <c r="F9">
        <v>0.32</v>
      </c>
      <c r="G9">
        <f>G8+(D9*$H$2)+F9</f>
        <v>0.96</v>
      </c>
      <c r="H9">
        <f>C9*$H$2*D9/($H$2*D9+F9)*(1-EXP(-($H$2*D9+F9)))*EXP(-G9)</f>
        <v>0</v>
      </c>
      <c r="I9">
        <f>D8+I8</f>
        <v>0</v>
      </c>
      <c r="J9">
        <f>(C9*D9*F9-C9*D9*EXP(-D9*$H$2-F9)+C9*D9*D9*$H$2*(D9*$H$2+F9)*EXP(-D9*$H$2-F9))/(D9*$H$2+F9)^2*EXP(-G9)</f>
        <v>0</v>
      </c>
      <c r="K9">
        <f>-(C9*D9*$H$2)/(D9*$H$2+$I$2)*(1-EXP(-D9*$H$2-$I$2))*EXP(-G9)*I9</f>
        <v>0</v>
      </c>
      <c r="L9">
        <f>(J9+K9)*(1-E9)</f>
        <v>0</v>
      </c>
      <c r="M9">
        <f>1/(1+EXP(-$K$3*(B9-$L$3)))</f>
        <v>0.99734142881912591</v>
      </c>
      <c r="N9">
        <v>0.5</v>
      </c>
      <c r="O9">
        <f>M9*N9*EXP(-G9)*C9</f>
        <v>10.190771419092158</v>
      </c>
    </row>
    <row r="10" spans="1:15" x14ac:dyDescent="0.2">
      <c r="A10">
        <v>4</v>
      </c>
      <c r="B10">
        <f>B9+($B$3+($C$3*(B9-60))-B9)*(1-EXP(-$A$3))</f>
        <v>64.550623416103548</v>
      </c>
      <c r="C10">
        <f>$E$3*(B10^$F$3)</f>
        <v>84.627393848393595</v>
      </c>
      <c r="D10">
        <v>0</v>
      </c>
      <c r="E10">
        <v>1</v>
      </c>
      <c r="F10">
        <v>0.32</v>
      </c>
      <c r="G10">
        <f>G9+(D10*$H$2)+F10</f>
        <v>1.28</v>
      </c>
      <c r="H10">
        <f>C10*$H$2*D10/($H$2*D10+F10)*(1-EXP(-($H$2*D10+F10)))*EXP(-G10)</f>
        <v>0</v>
      </c>
      <c r="I10">
        <f>D9+I9</f>
        <v>0</v>
      </c>
      <c r="J10">
        <f>(C10*D10*F10-C10*D10*EXP(-D10*$H$2-F10)+C10*D10*D10*$H$2*(D10*$H$2+F10)*EXP(-D10*$H$2-F10))/(D10*$H$2+F10)^2*EXP(-G10)</f>
        <v>0</v>
      </c>
      <c r="K10">
        <f>-(C10*D10*$H$2)/(D10*$H$2+$I$2)*(1-EXP(-D10*$H$2-$I$2))*EXP(-G10)*I10</f>
        <v>0</v>
      </c>
      <c r="L10">
        <f>(J10+K10)*(1-E10)</f>
        <v>0</v>
      </c>
      <c r="M10">
        <f>1/(1+EXP(-$K$3*(B10-$L$3)))</f>
        <v>0.99998731796826301</v>
      </c>
      <c r="N10">
        <v>0.5</v>
      </c>
      <c r="O10">
        <f>M10*N10*EXP(-G10)*C10</f>
        <v>11.764636863608047</v>
      </c>
    </row>
    <row r="11" spans="1:15" x14ac:dyDescent="0.2">
      <c r="A11">
        <v>5</v>
      </c>
      <c r="B11">
        <f>B10+($B$3+($C$3*(B10-60))-B10)*(1-EXP(-$A$3))</f>
        <v>74.325798980541904</v>
      </c>
      <c r="C11">
        <f>$E$3*(B11^$F$3)</f>
        <v>121.15294414871862</v>
      </c>
      <c r="D11">
        <v>1E-3</v>
      </c>
      <c r="E11">
        <v>0.999</v>
      </c>
      <c r="F11">
        <v>0.32</v>
      </c>
      <c r="G11">
        <f>G10+(D11*$H$2)+F11</f>
        <v>1.6</v>
      </c>
      <c r="H11">
        <f>C11*$H$2*D11/($H$2*D11+F11)*(1-EXP(-($H$2*D11+F11)))*EXP(-G11)</f>
        <v>0</v>
      </c>
      <c r="I11">
        <f>D10+I10</f>
        <v>0</v>
      </c>
      <c r="J11">
        <f>(C11*D11*F11-C11*D11*EXP(-D11*$H$2-F11)+C11*D11*D11*$H$2*(D11*$H$2+F11)*EXP(-D11*$H$2-F11))/(D11*$H$2+F11)^2*EXP(-G11)</f>
        <v>-9.7017096414989193E-2</v>
      </c>
      <c r="K11">
        <f>-(C11*D11*$H$2)/(D11*$H$2+$I$2)*(1-EXP(-D11*$H$2-$I$2))*EXP(-G11)*I11</f>
        <v>0</v>
      </c>
      <c r="L11">
        <f>(J11+K11)*(1-E11)</f>
        <v>-9.7017096414989283E-5</v>
      </c>
      <c r="M11">
        <f>1/(1+EXP(-$K$3*(B11-$L$3)))</f>
        <v>0.99999990438150621</v>
      </c>
      <c r="N11">
        <v>0.5</v>
      </c>
      <c r="O11">
        <f>M11*N11*EXP(-G11)*C11</f>
        <v>12.230177614782349</v>
      </c>
    </row>
    <row r="12" spans="1:15" x14ac:dyDescent="0.2">
      <c r="A12">
        <v>6</v>
      </c>
      <c r="B12">
        <f>B11+($B$3+($C$3*(B11-60))-B11)*(1-EXP(-$A$3))</f>
        <v>83.259412074481702</v>
      </c>
      <c r="C12">
        <f>$E$3*(B12^$F$3)</f>
        <v>161.71932798327236</v>
      </c>
      <c r="D12">
        <v>0.1</v>
      </c>
      <c r="E12">
        <v>0.9</v>
      </c>
      <c r="F12">
        <v>0.32</v>
      </c>
      <c r="G12">
        <f>G11+(D12*$H$2)+F12</f>
        <v>1.9200000000000002</v>
      </c>
      <c r="H12">
        <f>C12*$H$2*D12/($H$2*D12+F12)*(1-EXP(-($H$2*D12+F12)))*EXP(-G12)</f>
        <v>0</v>
      </c>
      <c r="I12">
        <f>D11+I11</f>
        <v>1E-3</v>
      </c>
      <c r="J12">
        <f>(C12*D12*F12-C12*D12*EXP(-D12*$H$2-F12)+C12*D12*D12*$H$2*(D12*$H$2+F12)*EXP(-D12*$H$2-F12))/(D12*$H$2+F12)^2*EXP(-G12)</f>
        <v>-9.4037699027660686</v>
      </c>
      <c r="K12">
        <f>-(C12*D12*$H$2)/(D12*$H$2+$I$2)*(1-EXP(-D12*$H$2-$I$2))*EXP(-G12)*I12</f>
        <v>0</v>
      </c>
      <c r="L12">
        <f>(J12+K12)*(1-E12)</f>
        <v>-0.94037699027660671</v>
      </c>
      <c r="M12">
        <f>1/(1+EXP(-$K$3*(B12-$L$3)))</f>
        <v>0.9999999989019237</v>
      </c>
      <c r="N12">
        <v>0.5</v>
      </c>
      <c r="O12">
        <f>M12*N12*EXP(-G12)*C12</f>
        <v>11.854589683677396</v>
      </c>
    </row>
    <row r="13" spans="1:15" x14ac:dyDescent="0.2">
      <c r="A13">
        <v>7</v>
      </c>
      <c r="B13">
        <f>B12+($B$3+($C$3*(B12-60))-B12)*(1-EXP(-$A$3))</f>
        <v>91.423914326753845</v>
      </c>
      <c r="C13">
        <f>$E$3*(B13^$F$3)</f>
        <v>205.18045363722965</v>
      </c>
      <c r="D13">
        <v>1</v>
      </c>
      <c r="E13">
        <v>0</v>
      </c>
      <c r="F13">
        <v>0.32</v>
      </c>
      <c r="G13">
        <f>G12+(D13*$H$2)+F13</f>
        <v>2.2400000000000002</v>
      </c>
      <c r="H13">
        <f>C13*$H$2*D13/($H$2*D13+F13)*(1-EXP(-($H$2*D13+F13)))*EXP(-G13)</f>
        <v>0</v>
      </c>
      <c r="I13">
        <f>D12+I12</f>
        <v>0.10100000000000001</v>
      </c>
      <c r="J13">
        <f>(C13*D13*F13-C13*D13*EXP(-D13*$H$2-F13)+C13*D13*D13*$H$2*(D13*$H$2+F13)*EXP(-D13*$H$2-F13))/(D13*$H$2+F13)^2*EXP(-G13)</f>
        <v>-86.636683216798659</v>
      </c>
      <c r="K13">
        <f>-(C13*D13*$H$2)/(D13*$H$2+$I$2)*(1-EXP(-D13*$H$2-$I$2))*EXP(-G13)*I13</f>
        <v>0</v>
      </c>
      <c r="L13">
        <f>(J13+K13)*(1-E13)</f>
        <v>-86.636683216798659</v>
      </c>
      <c r="M13">
        <f>1/(1+EXP(-$K$3*(B13-$L$3)))</f>
        <v>0.99999999998147615</v>
      </c>
      <c r="N13">
        <v>0.5</v>
      </c>
      <c r="O13">
        <f>M13*N13*EXP(-G13)*C13</f>
        <v>10.921602110835735</v>
      </c>
    </row>
    <row r="14" spans="1:15" x14ac:dyDescent="0.2">
      <c r="A14">
        <v>8</v>
      </c>
      <c r="B14">
        <f>B13+($B$3+($C$3*(B13-60))-B13)*(1-EXP(-$A$3))</f>
        <v>98.885519874969916</v>
      </c>
      <c r="C14">
        <f>$E$3*(B14^$F$3)</f>
        <v>250.51541395562558</v>
      </c>
      <c r="D14">
        <v>1</v>
      </c>
      <c r="E14">
        <v>0</v>
      </c>
      <c r="F14">
        <v>0.32</v>
      </c>
      <c r="G14">
        <f>G13+(D14*$H$2)+F14</f>
        <v>2.56</v>
      </c>
      <c r="H14">
        <f>C14*$H$2*D14/($H$2*D14+F14)*(1-EXP(-($H$2*D14+F14)))*EXP(-G14)</f>
        <v>0</v>
      </c>
      <c r="I14">
        <f>D13+I13</f>
        <v>1.101</v>
      </c>
      <c r="J14">
        <f>(C14*D14*F14-C14*D14*EXP(-D14*$H$2-F14)+C14*D14*D14*$H$2*(D14*$H$2+F14)*EXP(-D14*$H$2-F14))/(D14*$H$2+F14)^2*EXP(-G14)</f>
        <v>-76.811465349321637</v>
      </c>
      <c r="K14">
        <f>-(C14*D14*$H$2)/(D14*$H$2+$I$2)*(1-EXP(-D14*$H$2-$I$2))*EXP(-G14)*I14</f>
        <v>0</v>
      </c>
      <c r="L14">
        <f>(J14+K14)*(1-E14)</f>
        <v>-76.811465349321637</v>
      </c>
      <c r="M14">
        <f>1/(1+EXP(-$K$3*(B14-$L$3)))</f>
        <v>0.99999999999955591</v>
      </c>
      <c r="N14">
        <v>0.5</v>
      </c>
      <c r="O14">
        <f>M14*N14*EXP(-G14)*C14</f>
        <v>9.6830145264384111</v>
      </c>
    </row>
    <row r="15" spans="1:15" x14ac:dyDescent="0.2">
      <c r="A15">
        <v>9</v>
      </c>
      <c r="B15">
        <f>B14+($B$3+($C$3*(B14-60))-B14)*(1-EXP(-$A$3))</f>
        <v>105.70474236237564</v>
      </c>
      <c r="C15">
        <f>$E$3*(B15^$F$3)</f>
        <v>296.84359243135418</v>
      </c>
      <c r="D15">
        <v>1</v>
      </c>
      <c r="E15">
        <v>0</v>
      </c>
      <c r="F15">
        <v>0.32</v>
      </c>
      <c r="G15">
        <f>G14+(D15*$H$2)+F15</f>
        <v>2.88</v>
      </c>
      <c r="H15">
        <f>C15*$H$2*D15/($H$2*D15+F15)*(1-EXP(-($H$2*D15+F15)))*EXP(-G15)</f>
        <v>0</v>
      </c>
      <c r="I15">
        <f>D14+I14</f>
        <v>2.101</v>
      </c>
      <c r="J15">
        <f>(C15*D15*F15-C15*D15*EXP(-D15*$H$2-F15)+C15*D15*D15*$H$2*(D15*$H$2+F15)*EXP(-D15*$H$2-F15))/(D15*$H$2+F15)^2*EXP(-G15)</f>
        <v>-66.091413800475024</v>
      </c>
      <c r="K15">
        <f>-(C15*D15*$H$2)/(D15*$H$2+$I$2)*(1-EXP(-D15*$H$2-$I$2))*EXP(-G15)*I15</f>
        <v>0</v>
      </c>
      <c r="L15">
        <f>(J15+K15)*(1-E15)</f>
        <v>-66.091413800475024</v>
      </c>
      <c r="M15">
        <f>1/(1+EXP(-$K$3*(B15-$L$3)))</f>
        <v>0.99999999999998535</v>
      </c>
      <c r="N15">
        <v>0.5</v>
      </c>
      <c r="O15">
        <f>M15*N15*EXP(-G15)*C15</f>
        <v>8.3316223299830376</v>
      </c>
    </row>
    <row r="16" spans="1:15" x14ac:dyDescent="0.2">
      <c r="A16">
        <v>10</v>
      </c>
      <c r="B16">
        <f>B15+($B$3+($C$3*(B15-60))-B15)*(1-EXP(-$A$3))</f>
        <v>111.93688570367803</v>
      </c>
      <c r="C16">
        <f>$E$3*(B16^$F$3)</f>
        <v>343.4247989127457</v>
      </c>
      <c r="D16">
        <v>1</v>
      </c>
      <c r="E16">
        <v>0</v>
      </c>
      <c r="F16">
        <v>0.32</v>
      </c>
      <c r="G16">
        <f>G15+(D16*$H$2)+F16</f>
        <v>3.1999999999999997</v>
      </c>
      <c r="H16">
        <f>C16*$H$2*D16/($H$2*D16+F16)*(1-EXP(-($H$2*D16+F16)))*EXP(-G16)</f>
        <v>0</v>
      </c>
      <c r="I16">
        <f>D15+I15</f>
        <v>3.101</v>
      </c>
      <c r="J16">
        <f>(C16*D16*F16-C16*D16*EXP(-D16*$H$2-F16)+C16*D16*D16*$H$2*(D16*$H$2+F16)*EXP(-D16*$H$2-F16))/(D16*$H$2+F16)^2*EXP(-G16)</f>
        <v>-55.523237549030554</v>
      </c>
      <c r="K16">
        <f>-(C16*D16*$H$2)/(D16*$H$2+$I$2)*(1-EXP(-D16*$H$2-$I$2))*EXP(-G16)*I16</f>
        <v>0</v>
      </c>
      <c r="L16">
        <f>(J16+K16)*(1-E16)</f>
        <v>-55.523237549030554</v>
      </c>
      <c r="M16">
        <f>1/(1+EXP(-$K$3*(B16-$L$3)))</f>
        <v>0.99999999999999933</v>
      </c>
      <c r="N16">
        <v>0.5</v>
      </c>
      <c r="O16">
        <f>M16*N16*EXP(-G16)*C16</f>
        <v>6.9993758522553673</v>
      </c>
    </row>
    <row r="18" spans="4:15" x14ac:dyDescent="0.2">
      <c r="G18" t="s">
        <v>2</v>
      </c>
      <c r="H18">
        <f>SUM(H6:H16)</f>
        <v>0</v>
      </c>
      <c r="K18" t="s">
        <v>1</v>
      </c>
      <c r="L18">
        <f>ABS(SUM(L6:L16))</f>
        <v>286.00327392299891</v>
      </c>
      <c r="N18" t="s">
        <v>0</v>
      </c>
      <c r="O18">
        <f>SUM(O6:O16)</f>
        <v>85.897165769822777</v>
      </c>
    </row>
    <row r="21" spans="4:15" s="1" customFormat="1" x14ac:dyDescent="0.2">
      <c r="D21"/>
      <c r="E21"/>
    </row>
    <row r="22" spans="4:15" s="1" customFormat="1" x14ac:dyDescent="0.2">
      <c r="D22"/>
      <c r="E22"/>
    </row>
    <row r="38" s="1" customFormat="1" x14ac:dyDescent="0.2"/>
    <row r="55" s="1" customFormat="1" x14ac:dyDescent="0.2"/>
  </sheetData>
  <mergeCells count="2">
    <mergeCell ref="E1:F1"/>
    <mergeCell ref="A1:C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YPR and SSBR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2019-08-04T01:22:53Z</dcterms:created>
  <dcterms:modified xsi:type="dcterms:W3CDTF">2019-08-04T01:24:34Z</dcterms:modified>
</cp:coreProperties>
</file>