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Git\wrmc\vanco-auc\Forms\"/>
    </mc:Choice>
  </mc:AlternateContent>
  <xr:revisionPtr revIDLastSave="0" documentId="8_{6E25A876-BDE6-4E4E-B7EE-333D40ABBBCF}" xr6:coauthVersionLast="45" xr6:coauthVersionMax="45" xr10:uidLastSave="{00000000-0000-0000-0000-000000000000}"/>
  <bookViews>
    <workbookView xWindow="2325" yWindow="825" windowWidth="20265" windowHeight="19500" xr2:uid="{A2FC21EE-E8B1-45BC-9565-85D255AC9CAD}"/>
  </bookViews>
  <sheets>
    <sheet name="MonitoringForm" sheetId="1" r:id="rId1"/>
  </sheets>
  <externalReferences>
    <externalReference r:id="rId2"/>
  </externalReferences>
  <definedNames>
    <definedName name="DifferentDay">MonitoringForm!$W$54</definedName>
    <definedName name="HtCm">MonitoringForm!$G$7</definedName>
    <definedName name="mfABW">MonitoringForm!$I$7</definedName>
    <definedName name="mfAdjBW">MonitoringForm!$I$9</definedName>
    <definedName name="mfAge">MonitoringForm!$G$5</definedName>
    <definedName name="mfBMI" localSheetId="0">MonitoringForm!$K$5</definedName>
    <definedName name="mfCLVanco">MonitoringForm!$U$8</definedName>
    <definedName name="mfCrCl">MonitoringForm!$M$9</definedName>
    <definedName name="mfFIN">MonitoringForm!$D$8</definedName>
    <definedName name="mfFirstName">MonitoringForm!$D$7</definedName>
    <definedName name="mfGender">MonitoringForm!$G$6</definedName>
    <definedName name="mfHt">MonitoringForm!$G$7</definedName>
    <definedName name="mfIBW">MonitoringForm!$I$8</definedName>
    <definedName name="mfIndication" localSheetId="0">MonitoringForm!$O$6</definedName>
    <definedName name="mfInfRate">MonitoringForm!$S$8</definedName>
    <definedName name="mfKe">MonitoringForm!$U$5</definedName>
    <definedName name="mfLastName">MonitoringForm!$D$6</definedName>
    <definedName name="mfLDDose">MonitoringForm!$C$14</definedName>
    <definedName name="mfLDScheduledAt">MonitoringForm!$C$17</definedName>
    <definedName name="mfManualCrCl">MonitoringForm!$K$9</definedName>
    <definedName name="mfManualSCr">MonitoringForm!$K$8</definedName>
    <definedName name="mfMDDose">MonitoringForm!$D$14</definedName>
    <definedName name="mfMDScheduledAt">MonitoringForm!$D$17</definedName>
    <definedName name="mfMDTau">MonitoringForm!$D$15</definedName>
    <definedName name="mfMIC">MonitoringForm!$O$8</definedName>
    <definedName name="mfMRN">MonitoringForm!$D$5</definedName>
    <definedName name="mfPeak">MonitoringForm!$D$26</definedName>
    <definedName name="mfPKEqn">MonitoringForm!$S$5</definedName>
    <definedName name="mfPopAUC">MonitoringForm!$D$21</definedName>
    <definedName name="mfProvider" localSheetId="0">MonitoringForm!$O$5</definedName>
    <definedName name="mfSCr">MonitoringForm!$M$8</definedName>
    <definedName name="mfSCr2">MonitoringForm!$D$31</definedName>
    <definedName name="mfT1_2">MonitoringForm!$U$6</definedName>
    <definedName name="mfTarget">MonitoringForm!$O$7</definedName>
    <definedName name="mfTBW_IBW">MonitoringForm!$K$6</definedName>
    <definedName name="mfTrough">MonitoringForm!$D$28</definedName>
    <definedName name="mfUsing">MonitoringForm!$M$7</definedName>
    <definedName name="mfVd">MonitoringForm!$U$7</definedName>
    <definedName name="mfVd_Lkg">MonitoringForm!$S$6</definedName>
    <definedName name="mfWt">MonitoringForm!$I$5</definedName>
    <definedName name="mfWtUsed">MonitoringForm!$M$6</definedName>
    <definedName name="OneLiner">MonitoringForm!$C$2</definedName>
    <definedName name="StartDate">MonitoringForm!$C$13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1" i="1" l="1"/>
  <c r="D34" i="1"/>
  <c r="D32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D13" i="1"/>
  <c r="E13" i="1" s="1"/>
  <c r="I8" i="1"/>
  <c r="G8" i="1"/>
  <c r="U7" i="1"/>
  <c r="I7" i="1"/>
  <c r="I6" i="1"/>
  <c r="M5" i="1"/>
  <c r="K5" i="1"/>
  <c r="I9" i="1" l="1"/>
  <c r="K6" i="1"/>
  <c r="M7" i="1" s="1"/>
  <c r="M6" i="1" s="1"/>
  <c r="F13" i="1"/>
  <c r="E12" i="1"/>
  <c r="D12" i="1"/>
  <c r="M9" i="1" l="1" a="1"/>
  <c r="M9" i="1" s="1"/>
  <c r="Y33" i="1"/>
  <c r="Y35" i="1" s="1"/>
  <c r="Y36" i="1" s="1"/>
  <c r="Y22" i="1" s="1"/>
  <c r="Q33" i="1"/>
  <c r="Q35" i="1" s="1"/>
  <c r="Q36" i="1" s="1"/>
  <c r="Q22" i="1" s="1"/>
  <c r="V33" i="1"/>
  <c r="V35" i="1" s="1"/>
  <c r="V36" i="1" s="1"/>
  <c r="V22" i="1" s="1"/>
  <c r="AB33" i="1"/>
  <c r="AB35" i="1" s="1"/>
  <c r="AB36" i="1" s="1"/>
  <c r="AB22" i="1" s="1"/>
  <c r="U33" i="1"/>
  <c r="U35" i="1" s="1"/>
  <c r="U36" i="1" s="1"/>
  <c r="U22" i="1" s="1"/>
  <c r="M33" i="1"/>
  <c r="M35" i="1" s="1"/>
  <c r="M36" i="1" s="1"/>
  <c r="M22" i="1" s="1"/>
  <c r="E33" i="1"/>
  <c r="E35" i="1" s="1"/>
  <c r="E36" i="1" s="1"/>
  <c r="E22" i="1" s="1"/>
  <c r="S33" i="1"/>
  <c r="S35" i="1" s="1"/>
  <c r="S36" i="1" s="1"/>
  <c r="S22" i="1" s="1"/>
  <c r="H33" i="1"/>
  <c r="H35" i="1" s="1"/>
  <c r="H36" i="1" s="1"/>
  <c r="H22" i="1" s="1"/>
  <c r="AC33" i="1"/>
  <c r="AC35" i="1" s="1"/>
  <c r="AC36" i="1" s="1"/>
  <c r="AC22" i="1" s="1"/>
  <c r="T33" i="1"/>
  <c r="T35" i="1" s="1"/>
  <c r="T36" i="1" s="1"/>
  <c r="T22" i="1" s="1"/>
  <c r="AF33" i="1"/>
  <c r="AF35" i="1" s="1"/>
  <c r="AF36" i="1" s="1"/>
  <c r="AF22" i="1" s="1"/>
  <c r="AG33" i="1"/>
  <c r="AG35" i="1" s="1"/>
  <c r="AG36" i="1" s="1"/>
  <c r="AG22" i="1" s="1"/>
  <c r="R33" i="1"/>
  <c r="R35" i="1" s="1"/>
  <c r="R36" i="1" s="1"/>
  <c r="R22" i="1" s="1"/>
  <c r="I33" i="1"/>
  <c r="I35" i="1" s="1"/>
  <c r="I36" i="1" s="1"/>
  <c r="I22" i="1" s="1"/>
  <c r="X33" i="1"/>
  <c r="X35" i="1" s="1"/>
  <c r="X36" i="1" s="1"/>
  <c r="X22" i="1" s="1"/>
  <c r="L33" i="1"/>
  <c r="L35" i="1" s="1"/>
  <c r="L36" i="1" s="1"/>
  <c r="L22" i="1" s="1"/>
  <c r="P33" i="1"/>
  <c r="P35" i="1" s="1"/>
  <c r="P36" i="1" s="1"/>
  <c r="P22" i="1" s="1"/>
  <c r="AD33" i="1"/>
  <c r="AD35" i="1" s="1"/>
  <c r="AD36" i="1" s="1"/>
  <c r="AD22" i="1" s="1"/>
  <c r="AE33" i="1"/>
  <c r="AE35" i="1" s="1"/>
  <c r="AE36" i="1" s="1"/>
  <c r="AE22" i="1" s="1"/>
  <c r="D33" i="1"/>
  <c r="D35" i="1" s="1"/>
  <c r="D36" i="1" s="1"/>
  <c r="D22" i="1" s="1"/>
  <c r="AA33" i="1"/>
  <c r="AA35" i="1" s="1"/>
  <c r="AA36" i="1" s="1"/>
  <c r="AA22" i="1" s="1"/>
  <c r="Z33" i="1"/>
  <c r="Z35" i="1" s="1"/>
  <c r="Z36" i="1" s="1"/>
  <c r="Z22" i="1" s="1"/>
  <c r="G33" i="1"/>
  <c r="G35" i="1" s="1"/>
  <c r="G36" i="1" s="1"/>
  <c r="G22" i="1" s="1"/>
  <c r="N33" i="1"/>
  <c r="N35" i="1" s="1"/>
  <c r="N36" i="1" s="1"/>
  <c r="N22" i="1" s="1"/>
  <c r="W33" i="1"/>
  <c r="W35" i="1" s="1"/>
  <c r="W36" i="1" s="1"/>
  <c r="W22" i="1" s="1"/>
  <c r="K33" i="1"/>
  <c r="K35" i="1" s="1"/>
  <c r="K36" i="1" s="1"/>
  <c r="K22" i="1" s="1"/>
  <c r="J33" i="1"/>
  <c r="J35" i="1" s="1"/>
  <c r="J36" i="1" s="1"/>
  <c r="J22" i="1" s="1"/>
  <c r="F33" i="1"/>
  <c r="F35" i="1" s="1"/>
  <c r="F36" i="1" s="1"/>
  <c r="F22" i="1" s="1"/>
  <c r="O33" i="1"/>
  <c r="O35" i="1" s="1"/>
  <c r="O36" i="1" s="1"/>
  <c r="O22" i="1" s="1"/>
  <c r="F12" i="1"/>
  <c r="G13" i="1"/>
  <c r="O58" i="1" l="1"/>
  <c r="U8" i="1"/>
  <c r="U5" i="1" s="1"/>
  <c r="O54" i="1"/>
  <c r="O56" i="1" s="1"/>
  <c r="C2" i="1"/>
  <c r="H13" i="1"/>
  <c r="G12" i="1"/>
  <c r="U6" i="1" l="1"/>
  <c r="G23" i="1"/>
  <c r="G21" i="1" s="1"/>
  <c r="S23" i="1"/>
  <c r="S21" i="1" s="1"/>
  <c r="AD23" i="1"/>
  <c r="AD21" i="1" s="1"/>
  <c r="L23" i="1"/>
  <c r="L21" i="1" s="1"/>
  <c r="AG23" i="1"/>
  <c r="AG21" i="1" s="1"/>
  <c r="AF23" i="1"/>
  <c r="AF21" i="1" s="1"/>
  <c r="O23" i="1"/>
  <c r="O21" i="1" s="1"/>
  <c r="AA23" i="1"/>
  <c r="AA21" i="1" s="1"/>
  <c r="Q23" i="1"/>
  <c r="Q21" i="1" s="1"/>
  <c r="E23" i="1"/>
  <c r="E21" i="1" s="1"/>
  <c r="M23" i="1"/>
  <c r="M21" i="1" s="1"/>
  <c r="AB23" i="1"/>
  <c r="AB21" i="1" s="1"/>
  <c r="X23" i="1"/>
  <c r="X21" i="1" s="1"/>
  <c r="AC23" i="1"/>
  <c r="AC21" i="1" s="1"/>
  <c r="N23" i="1"/>
  <c r="N21" i="1" s="1"/>
  <c r="V23" i="1"/>
  <c r="V21" i="1" s="1"/>
  <c r="Y23" i="1"/>
  <c r="Y21" i="1" s="1"/>
  <c r="R23" i="1"/>
  <c r="R21" i="1" s="1"/>
  <c r="D23" i="1"/>
  <c r="I23" i="1"/>
  <c r="I21" i="1" s="1"/>
  <c r="H23" i="1"/>
  <c r="H21" i="1" s="1"/>
  <c r="P23" i="1"/>
  <c r="P21" i="1" s="1"/>
  <c r="U23" i="1"/>
  <c r="U21" i="1" s="1"/>
  <c r="K23" i="1"/>
  <c r="K21" i="1" s="1"/>
  <c r="W23" i="1"/>
  <c r="W21" i="1" s="1"/>
  <c r="F23" i="1"/>
  <c r="F21" i="1" s="1"/>
  <c r="AE23" i="1"/>
  <c r="AE21" i="1" s="1"/>
  <c r="Z23" i="1"/>
  <c r="Z21" i="1" s="1"/>
  <c r="J23" i="1"/>
  <c r="J21" i="1" s="1"/>
  <c r="T23" i="1"/>
  <c r="T21" i="1" s="1"/>
  <c r="I13" i="1"/>
  <c r="H12" i="1"/>
  <c r="J13" i="1" l="1"/>
  <c r="I12" i="1"/>
  <c r="J12" i="1" l="1"/>
  <c r="K13" i="1"/>
  <c r="K12" i="1" l="1"/>
  <c r="L13" i="1"/>
  <c r="M13" i="1" l="1"/>
  <c r="L12" i="1"/>
  <c r="N13" i="1" l="1"/>
  <c r="M12" i="1"/>
  <c r="N12" i="1" l="1"/>
  <c r="O13" i="1"/>
  <c r="P13" i="1" l="1"/>
  <c r="O12" i="1"/>
  <c r="Q13" i="1" l="1"/>
  <c r="P12" i="1"/>
  <c r="R13" i="1" l="1"/>
  <c r="Q12" i="1"/>
  <c r="S13" i="1" l="1"/>
  <c r="R12" i="1"/>
  <c r="T13" i="1" l="1"/>
  <c r="S12" i="1"/>
  <c r="U13" i="1" l="1"/>
  <c r="T12" i="1"/>
  <c r="V13" i="1" l="1"/>
  <c r="U12" i="1"/>
  <c r="V12" i="1" l="1"/>
  <c r="W13" i="1"/>
  <c r="W12" i="1" l="1"/>
  <c r="X13" i="1"/>
  <c r="Y13" i="1" l="1"/>
  <c r="X12" i="1"/>
  <c r="Y12" i="1" l="1"/>
  <c r="Z13" i="1"/>
  <c r="AA13" i="1" l="1"/>
  <c r="Z12" i="1"/>
  <c r="AA12" i="1" l="1"/>
  <c r="AB13" i="1"/>
  <c r="AB12" i="1" l="1"/>
  <c r="AC13" i="1"/>
  <c r="AC12" i="1" l="1"/>
  <c r="AD13" i="1"/>
  <c r="AE13" i="1" l="1"/>
  <c r="AD12" i="1"/>
  <c r="AF13" i="1" l="1"/>
  <c r="AE12" i="1"/>
  <c r="AG13" i="1" l="1"/>
  <c r="AG12" i="1" s="1"/>
  <c r="A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<sst xmlns="http://schemas.openxmlformats.org/spreadsheetml/2006/main" count="105" uniqueCount="99">
  <si>
    <t>Vancomycin Monitoring Form</t>
  </si>
  <si>
    <t>One Liner:</t>
  </si>
  <si>
    <t>Identifiers</t>
  </si>
  <si>
    <t>Creatinine Clearance Calculation</t>
  </si>
  <si>
    <t>Diagnosis</t>
  </si>
  <si>
    <t>Population-based PK Parameters</t>
  </si>
  <si>
    <t xml:space="preserve">MRN: </t>
  </si>
  <si>
    <t xml:space="preserve">Age: </t>
  </si>
  <si>
    <t>Wt:</t>
  </si>
  <si>
    <t>BMI:</t>
  </si>
  <si>
    <t xml:space="preserve">Age Used: </t>
  </si>
  <si>
    <t>Provider</t>
  </si>
  <si>
    <t>Equation:</t>
  </si>
  <si>
    <t>Matzke</t>
  </si>
  <si>
    <t>Ke:</t>
  </si>
  <si>
    <t>LastName:</t>
  </si>
  <si>
    <t>Gender:</t>
  </si>
  <si>
    <t xml:space="preserve">TBW/IBW: </t>
  </si>
  <si>
    <t>Wt Used:</t>
  </si>
  <si>
    <t>Indication:</t>
  </si>
  <si>
    <t>Vd:</t>
  </si>
  <si>
    <t>t1/2:</t>
  </si>
  <si>
    <t>FirstName:</t>
  </si>
  <si>
    <t>Ht:</t>
  </si>
  <si>
    <t xml:space="preserve">ABW: </t>
  </si>
  <si>
    <t>Using:</t>
  </si>
  <si>
    <t>Target:</t>
  </si>
  <si>
    <t>FIN:</t>
  </si>
  <si>
    <t>IBW:</t>
  </si>
  <si>
    <t>Manual SCr:</t>
  </si>
  <si>
    <t>SCr:</t>
  </si>
  <si>
    <t>MIC:</t>
  </si>
  <si>
    <t>Infusion Rate:</t>
  </si>
  <si>
    <t xml:space="preserve">ClVanco: </t>
  </si>
  <si>
    <t>AdjBW:</t>
  </si>
  <si>
    <t>Manual CrCl:</t>
  </si>
  <si>
    <t>CrCl:</t>
  </si>
  <si>
    <t xml:space="preserve"> Day of Therapy</t>
  </si>
  <si>
    <t>Load Dose</t>
  </si>
  <si>
    <t xml:space="preserve">Start Date =&gt; </t>
  </si>
  <si>
    <t>Dose</t>
  </si>
  <si>
    <t>Frequency</t>
  </si>
  <si>
    <t>Total Daily Dose (TDD)</t>
  </si>
  <si>
    <t>Time 1</t>
  </si>
  <si>
    <t>Time 2</t>
  </si>
  <si>
    <t>Time 3</t>
  </si>
  <si>
    <t xml:space="preserve"> AUC</t>
  </si>
  <si>
    <t>Population-based Estimate</t>
  </si>
  <si>
    <t>Cmax estimate</t>
  </si>
  <si>
    <t>Cmin estimate</t>
  </si>
  <si>
    <t xml:space="preserve"> Patient-Specific</t>
  </si>
  <si>
    <t xml:space="preserve"> Levels</t>
  </si>
  <si>
    <t>Peak Level Ordered for:        (date/time)</t>
  </si>
  <si>
    <t>Peak Level/Time Drawn</t>
  </si>
  <si>
    <t>Trough Level Ordered for:        (date/time)</t>
  </si>
  <si>
    <t>Trough Level/Time Drawn</t>
  </si>
  <si>
    <t xml:space="preserve"> Labs</t>
  </si>
  <si>
    <t>SCr (daily for adults)</t>
  </si>
  <si>
    <t>Manul SCr</t>
  </si>
  <si>
    <t>CrCl estimate (ml/min)</t>
  </si>
  <si>
    <t>Manual CrCl</t>
  </si>
  <si>
    <t>CLVanco</t>
  </si>
  <si>
    <t>Ke</t>
  </si>
  <si>
    <t>BUN (daily for adults)</t>
  </si>
  <si>
    <t xml:space="preserve">WBC </t>
  </si>
  <si>
    <t>Temp</t>
  </si>
  <si>
    <t>Procalcitonin</t>
  </si>
  <si>
    <r>
      <t>Other nephrotoxic drugs:</t>
    </r>
    <r>
      <rPr>
        <b/>
        <sz val="8"/>
        <rFont val="Calibri"/>
        <family val="2"/>
        <scheme val="minor"/>
      </rPr>
      <t xml:space="preserve"> NSAIDs, ACE Inhibitor, diuretics, pip/tazo,  vasopressors, etc. </t>
    </r>
  </si>
  <si>
    <t>Culture &amp; Sensitivity results / MRSA PCR results for respiratory and sepsis indications:</t>
  </si>
  <si>
    <t xml:space="preserve">Nasal MRSA PCR (  ) Positive (  ) Negative                                             Date: ______                         Blood culture organism(s): ________________________ ( ) final       Date: ______ Resp culture; organism(s): _________________________ ( ) final      Date: ______ Other: _______; organism(s): _______________________ ( ) final      Date: ______ </t>
  </si>
  <si>
    <t xml:space="preserve">Evaluate for de-escalation </t>
  </si>
  <si>
    <t>[  ] MRSA PCR follow up if applicable</t>
  </si>
  <si>
    <t>[  ] Action on culture information if applicable</t>
  </si>
  <si>
    <t xml:space="preserve">Comments: </t>
  </si>
  <si>
    <t>Lists</t>
  </si>
  <si>
    <t>Frequencies</t>
  </si>
  <si>
    <t>Gender</t>
  </si>
  <si>
    <t>Doses</t>
  </si>
  <si>
    <t>MDDoses</t>
  </si>
  <si>
    <t>Speedometer</t>
  </si>
  <si>
    <t>Values</t>
  </si>
  <si>
    <t>Pointer</t>
  </si>
  <si>
    <t>Values2</t>
  </si>
  <si>
    <t>PK Equations</t>
  </si>
  <si>
    <t>Vd Options</t>
  </si>
  <si>
    <t>Infusion Rate</t>
  </si>
  <si>
    <t>Checkbox</t>
  </si>
  <si>
    <t>M</t>
  </si>
  <si>
    <t>Start</t>
  </si>
  <si>
    <t>Value</t>
  </si>
  <si>
    <t>F</t>
  </si>
  <si>
    <t>Crass</t>
  </si>
  <si>
    <t>End</t>
  </si>
  <si>
    <t>Max</t>
  </si>
  <si>
    <t>Pessa</t>
  </si>
  <si>
    <t>Kurt</t>
  </si>
  <si>
    <t>Larry Bush</t>
  </si>
  <si>
    <t>Skin Soft Tissue Infection</t>
  </si>
  <si>
    <t>AUC/MIC range 400-600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</si>
</sst>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&quot; kg&quot;"/>
    <numFmt numFmtId="165" formatCode="#.0"/>
    <numFmt numFmtId="166" formatCode="#"/>
    <numFmt numFmtId="167" formatCode="0.0000"/>
    <numFmt numFmtId="168" formatCode="#&quot; lbs&quot;;;"/>
    <numFmt numFmtId="169" formatCode="#.00"/>
    <numFmt numFmtId="170" formatCode="#&quot; kg&quot;;;"/>
    <numFmt numFmtId="171" formatCode="#.0&quot; hrs&quot;"/>
    <numFmt numFmtId="172" formatCode="#&quot; cm&quot;"/>
    <numFmt numFmtId="173" formatCode="#.0&quot; L&quot;"/>
    <numFmt numFmtId="174" formatCode="#00"/>
    <numFmt numFmtId="175" formatCode="#.0&quot; L/hr&quot;"/>
    <numFmt numFmtId="176" formatCode="m/dd"/>
    <numFmt numFmtId="177" formatCode="m/d"/>
    <numFmt numFmtId="178" formatCode="#.00&quot; g&quot;;;;&quot;&quot;"/>
    <numFmt numFmtId="179" formatCode="0000"/>
    <numFmt numFmtId="180" formatCode="[&gt;150]&quot;&gt;150&quot;;[&lt;=150]#.0"/>
    <numFmt numFmtId="181" formatCode="hh:mm"/>
    <numFmt numFmtId="182" formatCode="m/dd\ hh:mm"/>
  </numFmts>
  <fonts count="2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Arial Narrow"/>
      <family val="2"/>
    </font>
    <font>
      <sz val="7"/>
      <name val="Calibri"/>
      <family val="2"/>
      <scheme val="minor"/>
    </font>
    <font>
      <sz val="8"/>
      <name val="Arial Narrow"/>
      <family val="2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 tint="0.34998626667073579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/>
      <right style="double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rgb="FF3F3F3F"/>
      </left>
      <right style="double">
        <color indexed="64"/>
      </right>
      <top style="double">
        <color rgb="FF3F3F3F"/>
      </top>
      <bottom style="thin">
        <color rgb="FF3F3F3F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indexed="64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rgb="FF7F7F7F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double">
        <color rgb="FF3F3F3F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rgb="FF3F3F3F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double">
        <color indexed="64"/>
      </right>
      <top/>
      <bottom style="thin">
        <color rgb="FF7F7F7F"/>
      </bottom>
      <diagonal/>
    </border>
    <border>
      <left style="double">
        <color indexed="64"/>
      </left>
      <right style="double">
        <color indexed="64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7F7F7F"/>
      </left>
      <right style="double">
        <color rgb="FF7F7F7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double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indexed="64"/>
      </top>
      <bottom style="thin">
        <color rgb="FF7F7F7F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rgb="FF7F7F7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 style="double">
        <color rgb="FF7F7F7F"/>
      </left>
      <right style="thin">
        <color rgb="FF7F7F7F"/>
      </right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double">
        <color indexed="64"/>
      </right>
      <top style="thin">
        <color rgb="FF3F3F3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/>
      <bottom style="thin">
        <color rgb="FF3F3F3F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rgb="FF7F7F7F"/>
      </left>
      <right style="double">
        <color rgb="FF7F7F7F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4" borderId="1" applyNumberFormat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10" fillId="6" borderId="0">
      <alignment vertical="center"/>
    </xf>
    <xf numFmtId="0" fontId="1" fillId="4" borderId="1" applyNumberFormat="0" applyAlignment="0" applyProtection="0"/>
  </cellStyleXfs>
  <cellXfs count="191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top"/>
    </xf>
    <xf numFmtId="0" fontId="2" fillId="2" borderId="2" xfId="2" applyAlignment="1">
      <alignment horizontal="left" vertical="top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9" fillId="3" borderId="3" xfId="0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horizontal="left" vertical="center" indent="1"/>
    </xf>
    <xf numFmtId="0" fontId="10" fillId="0" borderId="6" xfId="0" applyFont="1" applyBorder="1" applyAlignment="1">
      <alignment horizontal="right" vertical="center" wrapTex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10" fillId="0" borderId="9" xfId="0" applyFont="1" applyBorder="1" applyAlignment="1">
      <alignment horizontal="right" vertical="center" wrapText="1"/>
    </xf>
    <xf numFmtId="0" fontId="1" fillId="4" borderId="1" xfId="1" applyAlignment="1">
      <alignment horizontal="center" vertical="center" wrapText="1"/>
    </xf>
    <xf numFmtId="164" fontId="1" fillId="4" borderId="1" xfId="1" applyNumberFormat="1" applyAlignment="1">
      <alignment horizontal="center" vertical="center" wrapText="1"/>
    </xf>
    <xf numFmtId="165" fontId="2" fillId="2" borderId="2" xfId="2" applyNumberFormat="1" applyAlignment="1">
      <alignment horizontal="center" vertical="center" wrapText="1"/>
    </xf>
    <xf numFmtId="166" fontId="2" fillId="2" borderId="10" xfId="2" applyNumberFormat="1" applyBorder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0" fillId="0" borderId="11" xfId="0" applyFont="1" applyBorder="1" applyAlignment="1">
      <alignment horizontal="right" vertical="center" wrapText="1"/>
    </xf>
    <xf numFmtId="167" fontId="2" fillId="2" borderId="12" xfId="2" applyNumberFormat="1" applyBorder="1" applyAlignment="1">
      <alignment horizontal="center" vertical="center" wrapText="1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168" fontId="2" fillId="2" borderId="2" xfId="2" applyNumberFormat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169" fontId="2" fillId="2" borderId="16" xfId="2" applyNumberFormat="1" applyBorder="1" applyAlignment="1">
      <alignment horizontal="center" vertical="center" wrapText="1"/>
    </xf>
    <xf numFmtId="170" fontId="2" fillId="2" borderId="10" xfId="2" applyNumberForma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1" fillId="5" borderId="18" xfId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right" vertical="center" wrapText="1"/>
    </xf>
    <xf numFmtId="171" fontId="2" fillId="2" borderId="10" xfId="2" applyNumberFormat="1" applyBorder="1" applyAlignment="1">
      <alignment horizontal="center" vertical="center" wrapText="1"/>
    </xf>
    <xf numFmtId="0" fontId="11" fillId="0" borderId="6" xfId="0" applyFont="1" applyBorder="1" applyAlignment="1">
      <alignment horizontal="right" vertical="center" wrapText="1"/>
    </xf>
    <xf numFmtId="172" fontId="1" fillId="4" borderId="1" xfId="1" applyNumberFormat="1" applyAlignment="1">
      <alignment horizontal="center" vertical="center" wrapText="1"/>
    </xf>
    <xf numFmtId="170" fontId="2" fillId="2" borderId="19" xfId="2" applyNumberFormat="1" applyBorder="1" applyAlignment="1">
      <alignment horizontal="center" vertical="center" wrapText="1"/>
    </xf>
    <xf numFmtId="0" fontId="10" fillId="6" borderId="0" xfId="4">
      <alignment vertical="center"/>
    </xf>
    <xf numFmtId="0" fontId="10" fillId="6" borderId="20" xfId="4" applyBorder="1">
      <alignment vertical="center"/>
    </xf>
    <xf numFmtId="0" fontId="2" fillId="2" borderId="10" xfId="2" applyBorder="1" applyAlignment="1">
      <alignment horizontal="center" vertical="center" wrapText="1"/>
    </xf>
    <xf numFmtId="0" fontId="10" fillId="6" borderId="21" xfId="4" applyBorder="1">
      <alignment vertical="center"/>
    </xf>
    <xf numFmtId="0" fontId="10" fillId="6" borderId="22" xfId="4" applyBorder="1">
      <alignment vertical="center"/>
    </xf>
    <xf numFmtId="173" fontId="2" fillId="2" borderId="10" xfId="2" applyNumberFormat="1" applyBorder="1" applyAlignment="1">
      <alignment horizontal="center" vertical="center" wrapText="1"/>
    </xf>
    <xf numFmtId="0" fontId="10" fillId="0" borderId="23" xfId="0" applyFont="1" applyBorder="1" applyAlignment="1">
      <alignment horizontal="right" vertical="center" wrapText="1"/>
    </xf>
    <xf numFmtId="0" fontId="2" fillId="2" borderId="24" xfId="2" applyBorder="1" applyAlignment="1">
      <alignment horizontal="center" vertical="center" wrapText="1"/>
    </xf>
    <xf numFmtId="164" fontId="2" fillId="2" borderId="19" xfId="2" applyNumberFormat="1" applyBorder="1" applyAlignment="1">
      <alignment horizontal="center" vertical="center" wrapText="1"/>
    </xf>
    <xf numFmtId="0" fontId="12" fillId="0" borderId="25" xfId="0" applyFont="1" applyBorder="1" applyAlignment="1">
      <alignment horizontal="right" vertical="center" wrapText="1"/>
    </xf>
    <xf numFmtId="0" fontId="1" fillId="7" borderId="26" xfId="5" applyFill="1" applyBorder="1" applyAlignment="1">
      <alignment horizontal="center"/>
    </xf>
    <xf numFmtId="0" fontId="1" fillId="4" borderId="27" xfId="1" applyBorder="1" applyAlignment="1">
      <alignment horizontal="center" vertical="center" wrapText="1"/>
    </xf>
    <xf numFmtId="0" fontId="13" fillId="0" borderId="28" xfId="0" applyFont="1" applyBorder="1" applyAlignment="1">
      <alignment horizontal="right" vertical="center" wrapText="1"/>
    </xf>
    <xf numFmtId="174" fontId="1" fillId="5" borderId="29" xfId="1" applyNumberForma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right" vertical="center" wrapText="1"/>
    </xf>
    <xf numFmtId="175" fontId="2" fillId="2" borderId="31" xfId="2" applyNumberFormat="1" applyBorder="1" applyAlignment="1">
      <alignment horizontal="center" vertical="center" wrapText="1"/>
    </xf>
    <xf numFmtId="0" fontId="10" fillId="6" borderId="32" xfId="4" applyBorder="1">
      <alignment vertical="center"/>
    </xf>
    <xf numFmtId="0" fontId="10" fillId="6" borderId="33" xfId="4" applyBorder="1">
      <alignment vertical="center"/>
    </xf>
    <xf numFmtId="0" fontId="10" fillId="6" borderId="34" xfId="4" applyBorder="1">
      <alignment vertical="center"/>
    </xf>
    <xf numFmtId="164" fontId="2" fillId="2" borderId="35" xfId="2" applyNumberFormat="1" applyBorder="1" applyAlignment="1">
      <alignment horizontal="center" vertical="center" wrapText="1"/>
    </xf>
    <xf numFmtId="0" fontId="14" fillId="0" borderId="36" xfId="0" applyFont="1" applyBorder="1" applyAlignment="1">
      <alignment horizontal="right" vertical="center" wrapText="1"/>
    </xf>
    <xf numFmtId="0" fontId="1" fillId="7" borderId="37" xfId="5" applyFill="1" applyBorder="1" applyAlignment="1">
      <alignment horizontal="center"/>
    </xf>
    <xf numFmtId="0" fontId="10" fillId="0" borderId="36" xfId="0" applyFont="1" applyBorder="1" applyAlignment="1">
      <alignment horizontal="right" vertical="center" wrapText="1"/>
    </xf>
    <xf numFmtId="165" fontId="3" fillId="2" borderId="38" xfId="3" applyNumberFormat="1" applyBorder="1" applyAlignment="1">
      <alignment horizontal="center" vertical="center" wrapText="1"/>
    </xf>
    <xf numFmtId="0" fontId="10" fillId="6" borderId="39" xfId="4" applyBorder="1">
      <alignment vertical="center"/>
    </xf>
    <xf numFmtId="0" fontId="10" fillId="6" borderId="40" xfId="4" applyBorder="1">
      <alignment vertical="center"/>
    </xf>
    <xf numFmtId="0" fontId="10" fillId="6" borderId="36" xfId="4" applyBorder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5" fillId="0" borderId="40" xfId="0" applyFont="1" applyBorder="1"/>
    <xf numFmtId="0" fontId="9" fillId="3" borderId="21" xfId="0" applyFont="1" applyFill="1" applyBorder="1" applyAlignment="1">
      <alignment horizontal="left" vertical="center" wrapText="1"/>
    </xf>
    <xf numFmtId="0" fontId="9" fillId="3" borderId="28" xfId="0" applyFont="1" applyFill="1" applyBorder="1" applyAlignment="1">
      <alignment horizontal="left" vertical="center" wrapText="1"/>
    </xf>
    <xf numFmtId="176" fontId="4" fillId="3" borderId="41" xfId="0" applyNumberFormat="1" applyFont="1" applyFill="1" applyBorder="1" applyAlignment="1">
      <alignment horizontal="center" wrapText="1"/>
    </xf>
    <xf numFmtId="0" fontId="9" fillId="3" borderId="42" xfId="0" applyFont="1" applyFill="1" applyBorder="1" applyAlignment="1">
      <alignment horizontal="right" vertical="center" wrapText="1"/>
    </xf>
    <xf numFmtId="177" fontId="1" fillId="4" borderId="37" xfId="5" applyNumberFormat="1" applyBorder="1" applyAlignment="1">
      <alignment horizontal="center" vertical="center" wrapText="1"/>
    </xf>
    <xf numFmtId="177" fontId="4" fillId="3" borderId="15" xfId="0" applyNumberFormat="1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left" vertical="center" indent="1"/>
    </xf>
    <xf numFmtId="0" fontId="1" fillId="4" borderId="26" xfId="1" applyBorder="1" applyAlignment="1">
      <alignment horizontal="center" vertical="center"/>
    </xf>
    <xf numFmtId="0" fontId="1" fillId="4" borderId="44" xfId="1" applyBorder="1" applyAlignment="1">
      <alignment horizontal="center" vertical="center"/>
    </xf>
    <xf numFmtId="0" fontId="1" fillId="4" borderId="45" xfId="1" applyBorder="1" applyAlignment="1">
      <alignment horizontal="center" vertical="center"/>
    </xf>
    <xf numFmtId="0" fontId="1" fillId="4" borderId="46" xfId="1" applyBorder="1" applyAlignment="1">
      <alignment horizontal="center" vertical="center"/>
    </xf>
    <xf numFmtId="0" fontId="10" fillId="6" borderId="47" xfId="4" applyBorder="1" applyAlignment="1">
      <alignment horizontal="center" vertical="center"/>
    </xf>
    <xf numFmtId="0" fontId="1" fillId="4" borderId="48" xfId="1" applyBorder="1" applyAlignment="1">
      <alignment horizontal="center" vertical="center"/>
    </xf>
    <xf numFmtId="0" fontId="1" fillId="4" borderId="1" xfId="1" applyAlignment="1">
      <alignment horizontal="center" vertical="center"/>
    </xf>
    <xf numFmtId="0" fontId="1" fillId="4" borderId="27" xfId="1" applyBorder="1" applyAlignment="1">
      <alignment horizontal="center" vertical="center"/>
    </xf>
    <xf numFmtId="0" fontId="10" fillId="6" borderId="6" xfId="4" applyBorder="1" applyAlignment="1">
      <alignment horizontal="center" vertical="center"/>
    </xf>
    <xf numFmtId="178" fontId="2" fillId="2" borderId="49" xfId="2" applyNumberFormat="1" applyBorder="1" applyAlignment="1">
      <alignment horizontal="center" vertical="center"/>
    </xf>
    <xf numFmtId="178" fontId="2" fillId="2" borderId="2" xfId="2" applyNumberFormat="1" applyAlignment="1">
      <alignment horizontal="center" vertical="center"/>
    </xf>
    <xf numFmtId="178" fontId="2" fillId="2" borderId="10" xfId="2" applyNumberFormat="1" applyBorder="1" applyAlignment="1">
      <alignment horizontal="center" vertical="center"/>
    </xf>
    <xf numFmtId="0" fontId="10" fillId="0" borderId="13" xfId="0" applyFont="1" applyBorder="1" applyAlignment="1">
      <alignment horizontal="left" vertical="center" indent="2"/>
    </xf>
    <xf numFmtId="0" fontId="0" fillId="0" borderId="50" xfId="0" applyBorder="1" applyAlignment="1">
      <alignment horizontal="center" vertical="center"/>
    </xf>
    <xf numFmtId="179" fontId="0" fillId="0" borderId="50" xfId="0" applyNumberFormat="1" applyBorder="1" applyAlignment="1">
      <alignment horizontal="center" vertical="center"/>
    </xf>
    <xf numFmtId="179" fontId="0" fillId="0" borderId="51" xfId="0" applyNumberFormat="1" applyBorder="1" applyAlignment="1">
      <alignment horizontal="center" vertical="center"/>
    </xf>
    <xf numFmtId="179" fontId="0" fillId="0" borderId="14" xfId="0" applyNumberFormat="1" applyBorder="1" applyAlignment="1">
      <alignment horizontal="center" vertical="center"/>
    </xf>
    <xf numFmtId="179" fontId="0" fillId="0" borderId="52" xfId="0" applyNumberFormat="1" applyBorder="1" applyAlignment="1">
      <alignment horizontal="center" vertical="center"/>
    </xf>
    <xf numFmtId="0" fontId="10" fillId="6" borderId="53" xfId="4" applyBorder="1" applyAlignment="1">
      <alignment horizontal="center" vertical="center"/>
    </xf>
    <xf numFmtId="0" fontId="9" fillId="3" borderId="13" xfId="0" applyFont="1" applyFill="1" applyBorder="1" applyAlignment="1">
      <alignment vertical="center" wrapText="1"/>
    </xf>
    <xf numFmtId="0" fontId="10" fillId="6" borderId="53" xfId="4" applyBorder="1">
      <alignment vertical="center"/>
    </xf>
    <xf numFmtId="0" fontId="16" fillId="3" borderId="54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0" fillId="0" borderId="13" xfId="0" applyFont="1" applyBorder="1" applyAlignment="1">
      <alignment horizontal="left" vertical="center" wrapText="1" indent="1"/>
    </xf>
    <xf numFmtId="166" fontId="2" fillId="2" borderId="2" xfId="2" applyNumberFormat="1" applyAlignment="1">
      <alignment horizontal="center" vertical="center"/>
    </xf>
    <xf numFmtId="166" fontId="2" fillId="2" borderId="55" xfId="2" applyNumberFormat="1" applyBorder="1" applyAlignment="1">
      <alignment horizontal="center" vertical="center"/>
    </xf>
    <xf numFmtId="166" fontId="2" fillId="2" borderId="49" xfId="2" applyNumberForma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 indent="2"/>
    </xf>
    <xf numFmtId="166" fontId="2" fillId="2" borderId="56" xfId="2" applyNumberFormat="1" applyBorder="1" applyAlignment="1">
      <alignment horizontal="center" vertical="center"/>
    </xf>
    <xf numFmtId="0" fontId="10" fillId="0" borderId="42" xfId="0" applyFont="1" applyBorder="1" applyAlignment="1">
      <alignment horizontal="left" vertical="center" wrapText="1" indent="1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50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57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59" xfId="0" applyFont="1" applyBorder="1" applyAlignment="1">
      <alignment horizontal="center"/>
    </xf>
    <xf numFmtId="0" fontId="10" fillId="0" borderId="42" xfId="0" applyFont="1" applyBorder="1" applyAlignment="1">
      <alignment horizontal="left" vertical="center" indent="1"/>
    </xf>
    <xf numFmtId="0" fontId="2" fillId="2" borderId="2" xfId="2" applyAlignment="1">
      <alignment horizontal="center"/>
    </xf>
    <xf numFmtId="0" fontId="1" fillId="4" borderId="1" xfId="5" applyAlignment="1">
      <alignment horizontal="center"/>
    </xf>
    <xf numFmtId="0" fontId="1" fillId="4" borderId="60" xfId="5" applyBorder="1" applyAlignment="1">
      <alignment horizontal="center"/>
    </xf>
    <xf numFmtId="0" fontId="1" fillId="4" borderId="48" xfId="5" applyBorder="1" applyAlignment="1">
      <alignment horizontal="center"/>
    </xf>
    <xf numFmtId="0" fontId="1" fillId="4" borderId="27" xfId="5" applyBorder="1" applyAlignment="1">
      <alignment horizontal="center"/>
    </xf>
    <xf numFmtId="0" fontId="1" fillId="7" borderId="1" xfId="5" applyFill="1" applyAlignment="1">
      <alignment horizontal="center"/>
    </xf>
    <xf numFmtId="0" fontId="1" fillId="7" borderId="61" xfId="5" applyFill="1" applyBorder="1" applyAlignment="1">
      <alignment horizontal="center"/>
    </xf>
    <xf numFmtId="0" fontId="1" fillId="7" borderId="0" xfId="5" applyFill="1" applyBorder="1" applyAlignment="1">
      <alignment horizontal="center"/>
    </xf>
    <xf numFmtId="0" fontId="1" fillId="7" borderId="23" xfId="5" applyFill="1" applyBorder="1" applyAlignment="1">
      <alignment horizontal="center"/>
    </xf>
    <xf numFmtId="0" fontId="10" fillId="0" borderId="13" xfId="0" applyFont="1" applyBorder="1" applyAlignment="1">
      <alignment horizontal="left" vertical="center" indent="1"/>
    </xf>
    <xf numFmtId="165" fontId="2" fillId="2" borderId="2" xfId="2" applyNumberFormat="1" applyAlignment="1">
      <alignment horizontal="center"/>
    </xf>
    <xf numFmtId="165" fontId="2" fillId="2" borderId="10" xfId="2" applyNumberFormat="1" applyBorder="1" applyAlignment="1">
      <alignment horizontal="center"/>
    </xf>
    <xf numFmtId="165" fontId="2" fillId="2" borderId="49" xfId="2" applyNumberFormat="1" applyBorder="1" applyAlignment="1">
      <alignment horizontal="center"/>
    </xf>
    <xf numFmtId="0" fontId="1" fillId="7" borderId="62" xfId="5" applyFill="1" applyBorder="1" applyAlignment="1">
      <alignment horizontal="center"/>
    </xf>
    <xf numFmtId="0" fontId="1" fillId="7" borderId="48" xfId="5" applyFill="1" applyBorder="1" applyAlignment="1">
      <alignment horizontal="center"/>
    </xf>
    <xf numFmtId="175" fontId="2" fillId="2" borderId="63" xfId="2" applyNumberFormat="1" applyBorder="1" applyAlignment="1">
      <alignment horizontal="center"/>
    </xf>
    <xf numFmtId="175" fontId="2" fillId="2" borderId="64" xfId="2" applyNumberFormat="1" applyBorder="1" applyAlignment="1">
      <alignment horizontal="center"/>
    </xf>
    <xf numFmtId="175" fontId="2" fillId="2" borderId="65" xfId="2" applyNumberFormat="1" applyBorder="1" applyAlignment="1">
      <alignment horizontal="center"/>
    </xf>
    <xf numFmtId="167" fontId="2" fillId="2" borderId="66" xfId="2" applyNumberFormat="1" applyBorder="1" applyAlignment="1">
      <alignment horizontal="center"/>
    </xf>
    <xf numFmtId="167" fontId="2" fillId="2" borderId="67" xfId="2" applyNumberFormat="1" applyBorder="1" applyAlignment="1">
      <alignment horizontal="center"/>
    </xf>
    <xf numFmtId="167" fontId="2" fillId="2" borderId="68" xfId="2" applyNumberFormat="1" applyBorder="1" applyAlignment="1">
      <alignment horizontal="center"/>
    </xf>
    <xf numFmtId="167" fontId="2" fillId="2" borderId="69" xfId="2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10" fillId="0" borderId="70" xfId="0" applyFont="1" applyBorder="1" applyAlignment="1">
      <alignment horizontal="left" vertical="center" indent="1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4" xfId="0" applyBorder="1"/>
    <xf numFmtId="0" fontId="0" fillId="0" borderId="14" xfId="0" applyBorder="1"/>
    <xf numFmtId="0" fontId="18" fillId="0" borderId="74" xfId="0" applyFont="1" applyBorder="1" applyAlignment="1">
      <alignment vertical="top" wrapText="1"/>
    </xf>
    <xf numFmtId="0" fontId="0" fillId="0" borderId="7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3" xfId="0" applyBorder="1"/>
    <xf numFmtId="0" fontId="10" fillId="0" borderId="70" xfId="0" applyFont="1" applyBorder="1" applyAlignment="1">
      <alignment horizontal="left" vertical="center" wrapText="1" indent="1"/>
    </xf>
    <xf numFmtId="0" fontId="10" fillId="6" borderId="75" xfId="4" applyBorder="1">
      <alignment vertical="center"/>
    </xf>
    <xf numFmtId="0" fontId="18" fillId="0" borderId="50" xfId="0" applyFont="1" applyBorder="1" applyAlignment="1">
      <alignment vertical="top" wrapText="1"/>
    </xf>
    <xf numFmtId="0" fontId="19" fillId="0" borderId="51" xfId="0" applyFont="1" applyBorder="1" applyAlignment="1">
      <alignment vertical="top" wrapText="1"/>
    </xf>
    <xf numFmtId="0" fontId="20" fillId="0" borderId="51" xfId="0" applyFont="1" applyBorder="1" applyAlignment="1">
      <alignment vertical="top" wrapText="1"/>
    </xf>
    <xf numFmtId="0" fontId="0" fillId="0" borderId="51" xfId="0" applyBorder="1" applyAlignment="1">
      <alignment vertical="top" wrapText="1"/>
    </xf>
    <xf numFmtId="0" fontId="0" fillId="0" borderId="52" xfId="0" applyBorder="1" applyAlignment="1">
      <alignment vertical="top" wrapText="1"/>
    </xf>
    <xf numFmtId="0" fontId="0" fillId="0" borderId="36" xfId="0" applyBorder="1"/>
    <xf numFmtId="0" fontId="9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0" fillId="3" borderId="4" xfId="0" applyFill="1" applyBorder="1"/>
    <xf numFmtId="0" fontId="0" fillId="3" borderId="5" xfId="0" applyFill="1" applyBorder="1"/>
    <xf numFmtId="0" fontId="10" fillId="0" borderId="76" xfId="0" applyFont="1" applyBorder="1" applyAlignment="1">
      <alignment horizontal="left" vertical="center" indent="1"/>
    </xf>
    <xf numFmtId="0" fontId="10" fillId="0" borderId="77" xfId="0" applyFont="1" applyBorder="1" applyAlignment="1">
      <alignment vertical="center"/>
    </xf>
    <xf numFmtId="0" fontId="0" fillId="0" borderId="77" xfId="0" applyBorder="1"/>
    <xf numFmtId="0" fontId="0" fillId="0" borderId="78" xfId="0" applyBorder="1"/>
    <xf numFmtId="0" fontId="10" fillId="0" borderId="79" xfId="0" applyFont="1" applyBorder="1"/>
    <xf numFmtId="0" fontId="10" fillId="0" borderId="80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10" fillId="0" borderId="83" xfId="0" applyFont="1" applyBorder="1"/>
    <xf numFmtId="0" fontId="10" fillId="0" borderId="84" xfId="0" applyFont="1" applyBorder="1"/>
    <xf numFmtId="0" fontId="0" fillId="0" borderId="84" xfId="0" applyBorder="1"/>
    <xf numFmtId="0" fontId="0" fillId="0" borderId="85" xfId="0" applyBorder="1"/>
    <xf numFmtId="0" fontId="4" fillId="8" borderId="0" xfId="0" applyFont="1" applyFill="1"/>
    <xf numFmtId="0" fontId="0" fillId="8" borderId="0" xfId="0" applyFill="1"/>
    <xf numFmtId="165" fontId="0" fillId="8" borderId="0" xfId="0" applyNumberFormat="1" applyFill="1"/>
    <xf numFmtId="180" fontId="0" fillId="8" borderId="0" xfId="0" applyNumberFormat="1" applyFill="1"/>
    <xf numFmtId="181" fontId="1" fillId="4" borderId="43" xfId="1" applyNumberFormat="1" applyBorder="1" applyAlignment="1">
      <alignment horizontal="center" vertical="center"/>
    </xf>
    <xf numFmtId="181" fontId="0" fillId="0" borderId="50" xfId="0" applyNumberFormat="1" applyBorder="1" applyAlignment="1">
      <alignment horizontal="center" vertical="center"/>
    </xf>
    <xf numFmtId="182" fontId="16" fillId="0" borderId="50" xfId="0" applyNumberFormat="1" applyFont="1" applyBorder="1" applyAlignment="1">
      <alignment horizontal="center"/>
    </xf>
    <xf numFmtId="182" fontId="16" fillId="0" borderId="57" xfId="0" applyNumberFormat="1" applyFont="1" applyBorder="1" applyAlignment="1">
      <alignment horizontal="center"/>
    </xf>
  </cellXfs>
  <cellStyles count="6">
    <cellStyle name="Calculation" xfId="3" builtinId="22"/>
    <cellStyle name="Input" xfId="1" builtinId="20"/>
    <cellStyle name="Input 2" xfId="5" xr:uid="{55BB2A83-CA98-4FD0-A8BD-65331D9BDCE1}"/>
    <cellStyle name="Normal" xfId="0" builtinId="0"/>
    <cellStyle name="Not Applicable" xfId="4" xr:uid="{B547AEF7-4C8C-400D-BC32-37F05D0BAB2E}"/>
    <cellStyle name="Output" xfId="2" builtinId="21"/>
  </cellStyles>
  <dxfs count="27"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Initial CrCl (mL/min)</a:t>
            </a:r>
          </a:p>
        </c:rich>
      </c:tx>
      <c:layout>
        <c:manualLayout>
          <c:xMode val="edge"/>
          <c:yMode val="edge"/>
          <c:x val="6.1406569227096683E-2"/>
          <c:y val="5.3120849933598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CrCl</c:v>
          </c:tx>
          <c:spPr>
            <a:ln w="12700">
              <a:solidFill>
                <a:schemeClr val="tx1"/>
              </a:solidFill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08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85-439E-BB68-711CFBB767D6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85-439E-BB68-711CFBB767D6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85-439E-BB68-711CFBB767D6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rgbClr val="FFFF00">
                      <a:shade val="30000"/>
                      <a:satMod val="115000"/>
                    </a:srgbClr>
                  </a:gs>
                  <a:gs pos="50000">
                    <a:srgbClr val="FFFF00">
                      <a:shade val="67500"/>
                      <a:satMod val="115000"/>
                    </a:srgbClr>
                  </a:gs>
                  <a:gs pos="100000">
                    <a:srgbClr val="FFFF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85-439E-BB68-711CFBB767D6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rgbClr val="92D050">
                      <a:shade val="30000"/>
                      <a:satMod val="115000"/>
                    </a:srgbClr>
                  </a:gs>
                  <a:gs pos="50000">
                    <a:srgbClr val="92D050">
                      <a:shade val="67500"/>
                      <a:satMod val="115000"/>
                    </a:srgbClr>
                  </a:gs>
                  <a:gs pos="100000">
                    <a:srgbClr val="92D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85-439E-BB68-711CFBB767D6}"/>
              </c:ext>
            </c:extLst>
          </c:dPt>
          <c:dPt>
            <c:idx val="5"/>
            <c:bubble3D val="0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lin ang="189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85-439E-BB68-711CFBB767D6}"/>
              </c:ext>
            </c:extLst>
          </c:dPt>
          <c:dPt>
            <c:idx val="6"/>
            <c:bubble3D val="0"/>
            <c:spPr>
              <a:noFill/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985-439E-BB68-711CFBB767D6}"/>
              </c:ext>
            </c:extLst>
          </c:dPt>
          <c:val>
            <c:numLit>
              <c:formatCode>General</c:formatCode>
              <c:ptCount val="7"/>
              <c:pt idx="0">
                <c:v>15</c:v>
              </c:pt>
              <c:pt idx="1">
                <c:v>15</c:v>
              </c:pt>
              <c:pt idx="2">
                <c:v>15</c:v>
              </c:pt>
              <c:pt idx="3">
                <c:v>15</c:v>
              </c:pt>
              <c:pt idx="4">
                <c:v>30</c:v>
              </c:pt>
              <c:pt idx="5">
                <c:v>60</c:v>
              </c:pt>
              <c:pt idx="6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E-A985-439E-BB68-711CFBB76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v>Pointer</c:v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985-439E-BB68-711CFBB767D6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985-439E-BB68-711CFBB767D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985-439E-BB68-711CFBB767D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985-439E-BB68-711CFBB767D6}"/>
                </c:ext>
              </c:extLst>
            </c:dLbl>
            <c:dLbl>
              <c:idx val="1"/>
              <c:tx>
                <c:strRef>
                  <c:f>MonitoringForm!$O$58</c:f>
                  <c:strCache>
                    <c:ptCount val="1"/>
                    <c:pt idx="0">
                      <c:v>147.7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{5C35722A-A256-4E01-8F58-1C7B0E747F49}</c15:txfldGUID>
                      <c15:f>MonitoringForm!$O$58</c15:f>
                      <c15:dlblFieldTableCache>
                        <c:ptCount val="1"/>
                        <c:pt idx="0">
                          <c:v>147.7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A985-439E-BB68-711CFBB767D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985-439E-BB68-711CFBB767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MonitoringForm!$O$54:$O$56</c:f>
              <c:numCache>
                <c:formatCode>General</c:formatCode>
                <c:ptCount val="3"/>
                <c:pt idx="0" formatCode="#.0">
                  <c:v>147.74739583333334</c:v>
                </c:pt>
                <c:pt idx="1">
                  <c:v>2</c:v>
                </c:pt>
                <c:pt idx="2">
                  <c:v>150.25260416666666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985-439E-BB68-711CFBB76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DifferentDay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9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285750</xdr:rowOff>
    </xdr:from>
    <xdr:to>
      <xdr:col>1</xdr:col>
      <xdr:colOff>2562224</xdr:colOff>
      <xdr:row>13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1FE9E-8998-4950-A6D0-B6B6EE727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95250</xdr:colOff>
      <xdr:row>64</xdr:row>
      <xdr:rowOff>95250</xdr:rowOff>
    </xdr:from>
    <xdr:to>
      <xdr:col>23</xdr:col>
      <xdr:colOff>400050</xdr:colOff>
      <xdr:row>69</xdr:row>
      <xdr:rowOff>57150</xdr:rowOff>
    </xdr:to>
    <xdr:pic>
      <xdr:nvPicPr>
        <xdr:cNvPr id="3" name="Graphic 2" descr="Woman with cane">
          <a:extLst>
            <a:ext uri="{FF2B5EF4-FFF2-40B4-BE49-F238E27FC236}">
              <a16:creationId xmlns:a16="http://schemas.microsoft.com/office/drawing/2014/main" id="{C254ADEE-4454-41FA-B04F-99684342A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5516225" y="14401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197625</xdr:colOff>
      <xdr:row>68</xdr:row>
      <xdr:rowOff>54750</xdr:rowOff>
    </xdr:from>
    <xdr:to>
      <xdr:col>23</xdr:col>
      <xdr:colOff>502425</xdr:colOff>
      <xdr:row>73</xdr:row>
      <xdr:rowOff>16650</xdr:rowOff>
    </xdr:to>
    <xdr:pic>
      <xdr:nvPicPr>
        <xdr:cNvPr id="4" name="Graphic 3" descr="Woman with cane">
          <a:extLst>
            <a:ext uri="{FF2B5EF4-FFF2-40B4-BE49-F238E27FC236}">
              <a16:creationId xmlns:a16="http://schemas.microsoft.com/office/drawing/2014/main" id="{FB2C96A4-59CC-4108-946A-99F509276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5618600" y="15123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338100</xdr:colOff>
      <xdr:row>68</xdr:row>
      <xdr:rowOff>33300</xdr:rowOff>
    </xdr:from>
    <xdr:to>
      <xdr:col>25</xdr:col>
      <xdr:colOff>33300</xdr:colOff>
      <xdr:row>72</xdr:row>
      <xdr:rowOff>185700</xdr:rowOff>
    </xdr:to>
    <xdr:pic>
      <xdr:nvPicPr>
        <xdr:cNvPr id="5" name="Graphic 4" descr="Man with cane">
          <a:extLst>
            <a:ext uri="{FF2B5EF4-FFF2-40B4-BE49-F238E27FC236}">
              <a16:creationId xmlns:a16="http://schemas.microsoft.com/office/drawing/2014/main" id="{BB96BAB4-BC4C-417E-ABDA-65DECB54F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368675" y="15101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307125</xdr:colOff>
      <xdr:row>64</xdr:row>
      <xdr:rowOff>107100</xdr:rowOff>
    </xdr:from>
    <xdr:to>
      <xdr:col>25</xdr:col>
      <xdr:colOff>2325</xdr:colOff>
      <xdr:row>69</xdr:row>
      <xdr:rowOff>69000</xdr:rowOff>
    </xdr:to>
    <xdr:pic>
      <xdr:nvPicPr>
        <xdr:cNvPr id="6" name="Graphic 5" descr="Man with cane">
          <a:extLst>
            <a:ext uri="{FF2B5EF4-FFF2-40B4-BE49-F238E27FC236}">
              <a16:creationId xmlns:a16="http://schemas.microsoft.com/office/drawing/2014/main" id="{44C50F6E-F15D-43C0-9F61-285A595ED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337700" y="14413650"/>
          <a:ext cx="914400" cy="9144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1190625</xdr:colOff>
          <xdr:row>11</xdr:row>
          <xdr:rowOff>9525</xdr:rowOff>
        </xdr:from>
        <xdr:to>
          <xdr:col>1</xdr:col>
          <xdr:colOff>2638425</xdr:colOff>
          <xdr:row>12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2120BCA-42D8-430E-809D-A2C6C00C21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Load Dose on Same Day?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de/Git/wrmc/vanco-auc/VancoAUC_v1.16.1_Dec-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ing Page"/>
      <sheetName val="Patient View"/>
      <sheetName val="db"/>
      <sheetName val="dbMisc"/>
      <sheetName val="dbSite"/>
      <sheetName val="MonitoringForm"/>
      <sheetName val="Updates"/>
      <sheetName val="Quantifi"/>
      <sheetName val="dbQ"/>
      <sheetName val="Time Log"/>
    </sheetNames>
    <sheetDataSet>
      <sheetData sheetId="0"/>
      <sheetData sheetId="1"/>
      <sheetData sheetId="2"/>
      <sheetData sheetId="3"/>
      <sheetData sheetId="4"/>
      <sheetData sheetId="5">
        <row r="54">
          <cell r="O54" t="str">
            <v/>
          </cell>
        </row>
        <row r="55">
          <cell r="O55">
            <v>2</v>
          </cell>
        </row>
        <row r="56">
          <cell r="O56">
            <v>298</v>
          </cell>
        </row>
        <row r="58">
          <cell r="O58" t="str">
            <v/>
          </cell>
        </row>
      </sheetData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4ADE3-4EBC-4A5F-8122-4C02EB3DF07B}" name="Frequencies" displayName="Frequencies" ref="D53:D61" totalsRowShown="0" headerRowDxfId="26" dataDxfId="25">
  <autoFilter ref="D53:D61" xr:uid="{36809F97-9078-45B0-B15E-5245E273B8F5}"/>
  <tableColumns count="1">
    <tableColumn id="1" xr3:uid="{0EAF0FB0-02B6-4F34-91DE-855D6A414800}" name="Frequenci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18F239-9B06-4F49-AA03-16CAE74F31CB}" name="GenderChar" displayName="GenderChar" ref="F53:F55" totalsRowShown="0" headerRowDxfId="23" dataDxfId="22">
  <autoFilter ref="F53:F55" xr:uid="{32BDD2C9-832F-4C8F-9547-195685DF9702}"/>
  <tableColumns count="1">
    <tableColumn id="1" xr3:uid="{6D8075D9-676A-4DE9-A083-2466DFEC0A15}" name="Gender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B0278F-0E97-4B92-B66D-1C0CE8AD2980}" name="mfLoadDoses347" displayName="mfLoadDoses347" ref="H53:H63" totalsRowShown="0" headerRowDxfId="20" dataDxfId="19">
  <autoFilter ref="H53:H63" xr:uid="{BC72603F-6E02-438F-8A31-41BDC2E4B2B4}"/>
  <tableColumns count="1">
    <tableColumn id="1" xr3:uid="{BA609AFF-CAB2-4E22-9EF8-332574FB9347}" name="Doses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1E5341-10A1-4317-B8F3-E68118A5D45C}" name="MDDoses" displayName="MDDoses" ref="J53:J59" totalsRowShown="0" headerRowDxfId="17" dataDxfId="16">
  <autoFilter ref="J53:J59" xr:uid="{1FC47814-EC3A-4156-9293-6BADD6499E2C}"/>
  <tableColumns count="1">
    <tableColumn id="1" xr3:uid="{AC2EDFB3-8791-40DB-9668-F754A7516DE0}" name="MDDose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6B53CB-79CB-4548-93A3-93FCD8197CBD}" name="Table31" displayName="Table31" ref="L53:O61" totalsRowShown="0" headerRowDxfId="14" dataDxfId="13">
  <autoFilter ref="L53:O61" xr:uid="{12E9C26C-8A1F-44F0-A9D9-3BD5B1AB6D45}">
    <filterColumn colId="0" hiddenButton="1"/>
    <filterColumn colId="1" hiddenButton="1"/>
    <filterColumn colId="2" hiddenButton="1"/>
    <filterColumn colId="3" hiddenButton="1"/>
  </autoFilter>
  <tableColumns count="4">
    <tableColumn id="1" xr3:uid="{14AA1FF1-136B-41ED-AC55-487DD4C961DB}" name="Speedometer" dataDxfId="12"/>
    <tableColumn id="2" xr3:uid="{740149D3-F84D-42EF-8475-1E1215906760}" name="Values" dataDxfId="11"/>
    <tableColumn id="3" xr3:uid="{AA9FD19A-0FFB-4C2F-B8FC-47DD8FED9B84}" name="Pointer" dataDxfId="10"/>
    <tableColumn id="4" xr3:uid="{E4B63E74-85CF-4406-B9EB-481554FA7132}" name="Values2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F56A8C-212B-4566-B50E-83990657702C}" name="mfPKEquations" displayName="mfPKEquations" ref="Q53:Q55" totalsRowShown="0" headerRowDxfId="8" dataDxfId="7">
  <autoFilter ref="Q53:Q55" xr:uid="{F7B8D1DF-124E-48A3-81FA-13BD638F06BD}"/>
  <tableColumns count="1">
    <tableColumn id="1" xr3:uid="{A118DC40-8E6A-4A2E-BA56-AEF05DE15340}" name="PK Equations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5E026F-F90D-4D15-9E37-A539B7D93014}" name="mfVdOptions" displayName="mfVdOptions" ref="S53:S57" totalsRowShown="0" headerRowDxfId="5" dataDxfId="4">
  <autoFilter ref="S53:S57" xr:uid="{1A1D3B44-52D6-4FDD-912F-F9000180D386}"/>
  <tableColumns count="1">
    <tableColumn id="1" xr3:uid="{E2CBBCF1-1D1E-4C21-8224-8BD74993B466}" name="Vd Options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7C2A40-45C1-405E-BD04-09AFC43651AF}" name="mfInfRates" displayName="mfInfRates" ref="U53:U56" totalsRowShown="0" headerRowDxfId="2" dataDxfId="1">
  <autoFilter ref="U53:U56" xr:uid="{8B19E75F-2B4F-429E-963A-DA8DF874179E}"/>
  <tableColumns count="1">
    <tableColumn id="1" xr3:uid="{18034EB0-FBE7-4EBE-9847-B111D70664BB}" name="Infusion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A05B-8008-41E6-807C-18AEB2434C57}">
  <sheetPr codeName="MonitoringForm">
    <pageSetUpPr fitToPage="1"/>
  </sheetPr>
  <dimension ref="B1:AG63"/>
  <sheetViews>
    <sheetView showGridLines="0" tabSelected="1" zoomScaleNormal="100" workbookViewId="0"/>
  </sheetViews>
  <sheetFormatPr defaultColWidth="9.140625" defaultRowHeight="15" x14ac:dyDescent="0.25"/>
  <cols>
    <col min="1" max="1" width="3.42578125" style="184" customWidth="1"/>
    <col min="2" max="2" width="40.140625" style="184" customWidth="1"/>
    <col min="3" max="3" width="10" style="184" customWidth="1"/>
    <col min="4" max="9" width="9.140625" style="184" customWidth="1"/>
    <col min="10" max="10" width="10.7109375" style="184" customWidth="1"/>
    <col min="11" max="12" width="9.140625" style="184" customWidth="1"/>
    <col min="13" max="13" width="11" style="184" customWidth="1"/>
    <col min="14" max="14" width="9.7109375" style="184" customWidth="1"/>
    <col min="15" max="34" width="9.140625" style="184" customWidth="1"/>
    <col min="35" max="16384" width="9.140625" style="184"/>
  </cols>
  <sheetData>
    <row r="1" spans="2:33" s="5" customFormat="1" ht="32.25" customHeight="1" x14ac:dyDescent="0.25">
      <c r="B1" s="1"/>
      <c r="C1" s="1"/>
      <c r="D1" s="2"/>
      <c r="E1" s="3" t="s">
        <v>0</v>
      </c>
      <c r="F1" s="4"/>
      <c r="G1" s="4"/>
      <c r="H1" s="4"/>
      <c r="I1" s="2"/>
      <c r="J1" s="2"/>
    </row>
    <row r="2" spans="2:33" s="5" customFormat="1" ht="32.25" customHeight="1" x14ac:dyDescent="0.25">
      <c r="B2" s="6" t="s">
        <v>1</v>
      </c>
      <c r="C2" s="7" t="str">
        <f>IF(mfAge&gt;=65,"An elderly, ",IF(mfAge&gt;18,"An adult, ",""))&amp;IF(mfBMI="", "",IF(mfBMI&gt;=30,"obese, ",IF(mfBMI&gt;=25,"overweight, ",IF(mfBMI&gt;=18.5,"normal weight, ",IF(mfBMI&lt;18.5,"underweight, ",""))))&amp;mfAge&amp;" yr old "&amp;IF(mfGender="M","male ",IF(mfGender="F","female ",""))&amp;"with "&amp;IF(IF(mfManualCrCl&lt;&gt;"", mfManualCrCl&gt;=90, mfCrCl&gt;=90),"normal or high ",IF(IF(mfManualCrCl&lt;&gt;"", mfManualCrCl&gt;=60, mfCrCl&gt;=60),"mildly decreased ",IF(IF(mfManualCrCl&lt;&gt;"",mfManualCrCl&gt;=45, mfCrCl&gt;=45),"mildly to moderately decreased ",IF(IF(mfManualCrCl&lt;&gt;"",mfManualCrCl&gt;=30,mfCrCl&gt;=30),"moderately to severely decreased",IF(IF(mfManualCrCl&lt;&gt;"",mfManualCrCl&gt;=15, mfCrCl&gt;=15),"severely decreased",IF(IF(mfManualCrCl&lt;&gt;"",mfManualCrCl&lt;15, mfCrCl&lt;15),"kidney failure","unknown "))))))&amp;"renal function " &amp; IF(mfCrCl&lt;&gt;"","(" &amp; IF(mfManualCrCl&lt;&gt;"", mfManualCrCl,ROUND(mfCrCl,0)) &amp; " mL/min) ", "")&amp;"has been diagnosed "&amp;IF(mfProvider&lt;&gt;"","by "&amp;mfProvider&amp;" ","")&amp;"with "&amp;IF(mfIndication&lt;&gt;"",mfIndication,"an unknown infection")) &amp; IF(mfCrCl="","", ". Pharmacy is being consulted to dose vancomycin.")</f>
        <v>An adult, overweight, 35 yr old male with normal or high renal function (148 mL/min) has been diagnosed by Larry Bush with Skin Soft Tissue Infection. Pharmacy is being consulted to dose vancomycin.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33" customFormat="1" ht="15" customHeight="1" thickBot="1" x14ac:dyDescent="0.35">
      <c r="B3" s="8"/>
      <c r="C3" s="8"/>
      <c r="D3" s="9"/>
      <c r="E3" s="10"/>
      <c r="F3" s="11"/>
      <c r="G3" s="11"/>
      <c r="H3" s="11"/>
      <c r="I3" s="9"/>
      <c r="J3" s="9"/>
    </row>
    <row r="4" spans="2:33" customFormat="1" ht="15" customHeight="1" thickTop="1" thickBot="1" x14ac:dyDescent="0.3">
      <c r="B4" s="12"/>
      <c r="C4" s="13" t="s">
        <v>2</v>
      </c>
      <c r="D4" s="14"/>
      <c r="E4" s="15"/>
      <c r="F4" s="16" t="s">
        <v>3</v>
      </c>
      <c r="G4" s="14"/>
      <c r="H4" s="14"/>
      <c r="I4" s="14"/>
      <c r="J4" s="14"/>
      <c r="K4" s="14"/>
      <c r="L4" s="14"/>
      <c r="M4" s="15"/>
      <c r="N4" s="13" t="s">
        <v>4</v>
      </c>
      <c r="O4" s="14"/>
      <c r="P4" s="15"/>
      <c r="R4" s="13" t="s">
        <v>5</v>
      </c>
      <c r="S4" s="14"/>
      <c r="T4" s="14"/>
      <c r="U4" s="15"/>
    </row>
    <row r="5" spans="2:33" customFormat="1" ht="15" customHeight="1" thickTop="1" x14ac:dyDescent="0.25">
      <c r="B5" s="12"/>
      <c r="C5" s="17" t="s">
        <v>6</v>
      </c>
      <c r="D5" s="18">
        <v>101</v>
      </c>
      <c r="E5" s="19"/>
      <c r="F5" s="20" t="s">
        <v>7</v>
      </c>
      <c r="G5" s="21">
        <v>35</v>
      </c>
      <c r="H5" s="17" t="s">
        <v>8</v>
      </c>
      <c r="I5" s="22">
        <v>89.545454545454533</v>
      </c>
      <c r="J5" s="17" t="s">
        <v>9</v>
      </c>
      <c r="K5" s="23">
        <f>IFERROR(mfABW/POWER(HtCm/100,2),"")</f>
        <v>25.692208271908704</v>
      </c>
      <c r="L5" s="17" t="s">
        <v>10</v>
      </c>
      <c r="M5" s="24">
        <f>mfAge</f>
        <v>35</v>
      </c>
      <c r="N5" s="17" t="s">
        <v>11</v>
      </c>
      <c r="O5" s="18" t="s">
        <v>96</v>
      </c>
      <c r="P5" s="19"/>
      <c r="R5" s="17" t="s">
        <v>12</v>
      </c>
      <c r="S5" s="25" t="s">
        <v>13</v>
      </c>
      <c r="T5" s="26" t="s">
        <v>14</v>
      </c>
      <c r="U5" s="27">
        <f>IF(OR(mfVd="",mfCLVanco=""),"",mfCLVanco/mfVd)</f>
        <v>0.10871105159117532</v>
      </c>
    </row>
    <row r="6" spans="2:33" customFormat="1" ht="15" customHeight="1" thickBot="1" x14ac:dyDescent="0.3">
      <c r="B6" s="12"/>
      <c r="C6" s="17" t="s">
        <v>15</v>
      </c>
      <c r="D6" s="28" t="s">
        <v>94</v>
      </c>
      <c r="E6" s="29"/>
      <c r="F6" s="20" t="s">
        <v>16</v>
      </c>
      <c r="G6" s="21" t="s">
        <v>87</v>
      </c>
      <c r="H6" s="17" t="s">
        <v>8</v>
      </c>
      <c r="I6" s="30">
        <f>mfWt*2.2</f>
        <v>197</v>
      </c>
      <c r="J6" s="31" t="s">
        <v>17</v>
      </c>
      <c r="K6" s="32">
        <f>IFERROR(mfABW/mfIBW,"")</f>
        <v>1.104817452750827</v>
      </c>
      <c r="L6" s="17" t="s">
        <v>18</v>
      </c>
      <c r="M6" s="33">
        <f>IF(mfUsing="IBW",mfIBW,IF(mfUsing="AdjBW",mfAdjBW,IF(mfUsing="ABW",mfABW,"")))</f>
        <v>81.05</v>
      </c>
      <c r="N6" s="17" t="s">
        <v>19</v>
      </c>
      <c r="O6" s="28" t="s">
        <v>97</v>
      </c>
      <c r="P6" s="29"/>
      <c r="R6" s="34" t="s">
        <v>20</v>
      </c>
      <c r="S6" s="35">
        <v>0.65</v>
      </c>
      <c r="T6" s="36" t="s">
        <v>21</v>
      </c>
      <c r="U6" s="37">
        <f>IF(mfKe&lt;&gt;"",0.693/mfKe,"")</f>
        <v>6.3746968671238076</v>
      </c>
    </row>
    <row r="7" spans="2:33" customFormat="1" ht="15" customHeight="1" thickTop="1" thickBot="1" x14ac:dyDescent="0.3">
      <c r="B7" s="12"/>
      <c r="C7" s="38" t="s">
        <v>22</v>
      </c>
      <c r="D7" s="28" t="s">
        <v>95</v>
      </c>
      <c r="E7" s="29"/>
      <c r="F7" s="20" t="s">
        <v>23</v>
      </c>
      <c r="G7" s="39">
        <v>186.69</v>
      </c>
      <c r="H7" s="17" t="s">
        <v>24</v>
      </c>
      <c r="I7" s="40">
        <f>mfWt</f>
        <v>89.545454545454533</v>
      </c>
      <c r="J7" s="41"/>
      <c r="K7" s="42"/>
      <c r="L7" s="20" t="s">
        <v>25</v>
      </c>
      <c r="M7" s="43" t="str">
        <f>IF(mfABW=0, "", IF(mfABW&lt;mfIBW,"ABW",IF(mfTBW_IBW&gt;1.3,"AdjBW",IF(mfABW&gt;0,"IBW",""))))</f>
        <v>IBW</v>
      </c>
      <c r="N7" s="38" t="s">
        <v>26</v>
      </c>
      <c r="O7" s="28" t="s">
        <v>98</v>
      </c>
      <c r="P7" s="29"/>
      <c r="R7" s="44"/>
      <c r="S7" s="45"/>
      <c r="T7" s="36" t="s">
        <v>20</v>
      </c>
      <c r="U7" s="46">
        <f>IF(mfWt&lt;&gt;"",S6*mfWt,"")</f>
        <v>58.204545454545446</v>
      </c>
    </row>
    <row r="8" spans="2:33" customFormat="1" ht="15" customHeight="1" thickTop="1" thickBot="1" x14ac:dyDescent="0.3">
      <c r="B8" s="12"/>
      <c r="C8" s="34" t="s">
        <v>27</v>
      </c>
      <c r="D8" s="28"/>
      <c r="E8" s="29"/>
      <c r="F8" s="47" t="s">
        <v>23</v>
      </c>
      <c r="G8" s="48" t="str">
        <f>IF(mfHt="","",TRUNC(mfHt/2.54/12)&amp;"'"&amp;ROUND((mfHt/2.54/12-TRUNC(mfHt/2.54/12))*12,0)&amp;"""")</f>
        <v>6'2"</v>
      </c>
      <c r="H8" s="17" t="s">
        <v>28</v>
      </c>
      <c r="I8" s="49">
        <f>IF(mfGender="M",50+2.3*(mfHt/2.54-60),IF(mfGender="F",45.5+2.3*(mfHt/2.54-60),""))</f>
        <v>81.05</v>
      </c>
      <c r="J8" s="50" t="s">
        <v>29</v>
      </c>
      <c r="K8" s="51"/>
      <c r="L8" s="20" t="s">
        <v>30</v>
      </c>
      <c r="M8" s="52">
        <v>0.8</v>
      </c>
      <c r="N8" s="38" t="s">
        <v>31</v>
      </c>
      <c r="O8" s="28"/>
      <c r="P8" s="29"/>
      <c r="R8" s="53" t="s">
        <v>32</v>
      </c>
      <c r="S8" s="54">
        <v>1000</v>
      </c>
      <c r="T8" s="55" t="s">
        <v>33</v>
      </c>
      <c r="U8" s="56">
        <f>IF(mfPKEqn="Matzke",IF(OR(mfManualCrCl&lt;&gt;"",mfCrCl&lt;&gt;""),IF(mfManualCrCl&lt;&gt;"",((mfManualCrCl*0.689)+3.66)*0.06,IF(mfCrCl&lt;&gt;"",((mfCrCl*0.689)+3.66)*0.06,"")),""),IF(mfPKEqn="Crass",IF(AND(mfAge&lt;&gt;"",OR(mfSCr&lt;&gt;"",mfManualSCr&lt;&gt;""),mfGender&lt;&gt;"",mfWt&lt;&gt;""),9.656-0.078*mfAge-2.009*IF(mfManualSCr&lt;&gt;"",mfManualSCr,mfSCr)+1.09*IF(mfGender="M",1,0)+0.04*POWER(mfWt,0.75),""),""))</f>
        <v>6.3274773437499992</v>
      </c>
    </row>
    <row r="9" spans="2:33" customFormat="1" ht="15" customHeight="1" thickTop="1" thickBot="1" x14ac:dyDescent="0.3">
      <c r="B9" s="12"/>
      <c r="C9" s="57"/>
      <c r="D9" s="58"/>
      <c r="E9" s="58"/>
      <c r="F9" s="58"/>
      <c r="G9" s="59"/>
      <c r="H9" s="31" t="s">
        <v>34</v>
      </c>
      <c r="I9" s="60">
        <f>IFERROR(mfIBW+0.4*(mfABW-mfIBW),"")</f>
        <v>84.448181818181808</v>
      </c>
      <c r="J9" s="61" t="s">
        <v>35</v>
      </c>
      <c r="K9" s="62"/>
      <c r="L9" s="63" t="s">
        <v>36</v>
      </c>
      <c r="M9" s="64" cm="1">
        <f t="array" ref="M9">IFERROR(IF(mfManualSCr &lt;&gt; "", IF(mfGender="M",((140-mfAge)*mfWtUsed)/(mfManualSCr*72),IF(mfGender="F",((140-mfAge)*mfWtUsed)/(mfManualSCrSCr*72)*0.85,"")),IF(mfGender="M",((140-mfAge)*mfWtUsed)/(mfSCr*72),IF(mfGender="F",((140-mfAge)*mfWtUsed)/(mfSCr*72)*0.85,""))),"")</f>
        <v>147.74739583333334</v>
      </c>
      <c r="N9" s="57"/>
      <c r="O9" s="58"/>
      <c r="P9" s="59"/>
      <c r="R9" s="65"/>
      <c r="S9" s="66"/>
      <c r="T9" s="66"/>
      <c r="U9" s="67"/>
    </row>
    <row r="10" spans="2:33" customFormat="1" ht="15" customHeight="1" thickTop="1" x14ac:dyDescent="0.25">
      <c r="B10" s="12"/>
      <c r="C10" s="12"/>
      <c r="D10" s="68"/>
      <c r="E10" s="69"/>
      <c r="F10" s="70"/>
      <c r="G10" s="70"/>
      <c r="H10" s="70"/>
      <c r="I10" s="71"/>
    </row>
    <row r="11" spans="2:33" customFormat="1" ht="15" customHeight="1" thickBot="1" x14ac:dyDescent="0.3">
      <c r="B11" s="72"/>
      <c r="C11" s="72"/>
      <c r="D11" s="72"/>
      <c r="E11" s="72"/>
      <c r="F11" s="72"/>
      <c r="G11" s="72"/>
      <c r="H11" s="72"/>
      <c r="I11" s="72"/>
      <c r="J11" s="72"/>
    </row>
    <row r="12" spans="2:33" customFormat="1" ht="15.75" customHeight="1" thickTop="1" thickBot="1" x14ac:dyDescent="0.3">
      <c r="B12" s="73" t="s">
        <v>37</v>
      </c>
      <c r="C12" s="74" t="s">
        <v>38</v>
      </c>
      <c r="D12" s="75" t="str">
        <f t="shared" ref="D12:AG12" si="0" xml:space="preserve"> "Day " &amp; D13-StartDate+1</f>
        <v>Day 1</v>
      </c>
      <c r="E12" s="75" t="str">
        <f t="shared" si="0"/>
        <v>Day 2</v>
      </c>
      <c r="F12" s="75" t="str">
        <f t="shared" si="0"/>
        <v>Day 3</v>
      </c>
      <c r="G12" s="75" t="str">
        <f t="shared" si="0"/>
        <v>Day 4</v>
      </c>
      <c r="H12" s="75" t="str">
        <f t="shared" si="0"/>
        <v>Day 5</v>
      </c>
      <c r="I12" s="75" t="str">
        <f t="shared" si="0"/>
        <v>Day 6</v>
      </c>
      <c r="J12" s="75" t="str">
        <f t="shared" si="0"/>
        <v>Day 7</v>
      </c>
      <c r="K12" s="75" t="str">
        <f t="shared" si="0"/>
        <v>Day 8</v>
      </c>
      <c r="L12" s="75" t="str">
        <f t="shared" si="0"/>
        <v>Day 9</v>
      </c>
      <c r="M12" s="75" t="str">
        <f t="shared" si="0"/>
        <v>Day 10</v>
      </c>
      <c r="N12" s="75" t="str">
        <f t="shared" si="0"/>
        <v>Day 11</v>
      </c>
      <c r="O12" s="75" t="str">
        <f t="shared" si="0"/>
        <v>Day 12</v>
      </c>
      <c r="P12" s="75" t="str">
        <f t="shared" si="0"/>
        <v>Day 13</v>
      </c>
      <c r="Q12" s="75" t="str">
        <f t="shared" si="0"/>
        <v>Day 14</v>
      </c>
      <c r="R12" s="75" t="str">
        <f t="shared" si="0"/>
        <v>Day 15</v>
      </c>
      <c r="S12" s="75" t="str">
        <f t="shared" si="0"/>
        <v>Day 16</v>
      </c>
      <c r="T12" s="75" t="str">
        <f t="shared" si="0"/>
        <v>Day 17</v>
      </c>
      <c r="U12" s="75" t="str">
        <f t="shared" si="0"/>
        <v>Day 18</v>
      </c>
      <c r="V12" s="75" t="str">
        <f t="shared" si="0"/>
        <v>Day 19</v>
      </c>
      <c r="W12" s="75" t="str">
        <f t="shared" si="0"/>
        <v>Day 20</v>
      </c>
      <c r="X12" s="75" t="str">
        <f t="shared" si="0"/>
        <v>Day 21</v>
      </c>
      <c r="Y12" s="75" t="str">
        <f t="shared" si="0"/>
        <v>Day 22</v>
      </c>
      <c r="Z12" s="75" t="str">
        <f t="shared" si="0"/>
        <v>Day 23</v>
      </c>
      <c r="AA12" s="75" t="str">
        <f t="shared" si="0"/>
        <v>Day 24</v>
      </c>
      <c r="AB12" s="75" t="str">
        <f t="shared" si="0"/>
        <v>Day 25</v>
      </c>
      <c r="AC12" s="75" t="str">
        <f t="shared" si="0"/>
        <v>Day 26</v>
      </c>
      <c r="AD12" s="75" t="str">
        <f t="shared" si="0"/>
        <v>Day 27</v>
      </c>
      <c r="AE12" s="75" t="str">
        <f t="shared" si="0"/>
        <v>Day 28</v>
      </c>
      <c r="AF12" s="75" t="str">
        <f t="shared" si="0"/>
        <v>Day 29</v>
      </c>
      <c r="AG12" s="75" t="str">
        <f t="shared" si="0"/>
        <v>Day 30</v>
      </c>
    </row>
    <row r="13" spans="2:33" customFormat="1" ht="15.75" customHeight="1" thickTop="1" thickBot="1" x14ac:dyDescent="0.3">
      <c r="B13" s="76" t="s">
        <v>39</v>
      </c>
      <c r="C13" s="77">
        <v>44172.375</v>
      </c>
      <c r="D13" s="78">
        <f>IF(DifferentDay,C13+0,C13+1)</f>
        <v>44172.375</v>
      </c>
      <c r="E13" s="78">
        <f>D13+1</f>
        <v>44173.375</v>
      </c>
      <c r="F13" s="78">
        <f t="shared" ref="F13:AG13" si="1">E13+1</f>
        <v>44174.375</v>
      </c>
      <c r="G13" s="78">
        <f t="shared" si="1"/>
        <v>44175.375</v>
      </c>
      <c r="H13" s="78">
        <f t="shared" si="1"/>
        <v>44176.375</v>
      </c>
      <c r="I13" s="78">
        <f t="shared" si="1"/>
        <v>44177.375</v>
      </c>
      <c r="J13" s="78">
        <f t="shared" si="1"/>
        <v>44178.375</v>
      </c>
      <c r="K13" s="78">
        <f t="shared" si="1"/>
        <v>44179.375</v>
      </c>
      <c r="L13" s="78">
        <f t="shared" si="1"/>
        <v>44180.375</v>
      </c>
      <c r="M13" s="78">
        <f t="shared" si="1"/>
        <v>44181.375</v>
      </c>
      <c r="N13" s="78">
        <f t="shared" si="1"/>
        <v>44182.375</v>
      </c>
      <c r="O13" s="78">
        <f t="shared" si="1"/>
        <v>44183.375</v>
      </c>
      <c r="P13" s="78">
        <f t="shared" si="1"/>
        <v>44184.375</v>
      </c>
      <c r="Q13" s="78">
        <f t="shared" si="1"/>
        <v>44185.375</v>
      </c>
      <c r="R13" s="78">
        <f t="shared" si="1"/>
        <v>44186.375</v>
      </c>
      <c r="S13" s="78">
        <f t="shared" si="1"/>
        <v>44187.375</v>
      </c>
      <c r="T13" s="78">
        <f t="shared" si="1"/>
        <v>44188.375</v>
      </c>
      <c r="U13" s="78">
        <f t="shared" si="1"/>
        <v>44189.375</v>
      </c>
      <c r="V13" s="78">
        <f t="shared" si="1"/>
        <v>44190.375</v>
      </c>
      <c r="W13" s="78">
        <f t="shared" si="1"/>
        <v>44191.375</v>
      </c>
      <c r="X13" s="78">
        <f t="shared" si="1"/>
        <v>44192.375</v>
      </c>
      <c r="Y13" s="78">
        <f t="shared" si="1"/>
        <v>44193.375</v>
      </c>
      <c r="Z13" s="78">
        <f t="shared" si="1"/>
        <v>44194.375</v>
      </c>
      <c r="AA13" s="78">
        <f t="shared" si="1"/>
        <v>44195.375</v>
      </c>
      <c r="AB13" s="78">
        <f t="shared" si="1"/>
        <v>44196.375</v>
      </c>
      <c r="AC13" s="78">
        <f t="shared" si="1"/>
        <v>44197.375</v>
      </c>
      <c r="AD13" s="78">
        <f t="shared" si="1"/>
        <v>44198.375</v>
      </c>
      <c r="AE13" s="78">
        <f t="shared" si="1"/>
        <v>44199.375</v>
      </c>
      <c r="AF13" s="78">
        <f t="shared" si="1"/>
        <v>44200.375</v>
      </c>
      <c r="AG13" s="78">
        <f t="shared" si="1"/>
        <v>44201.375</v>
      </c>
    </row>
    <row r="14" spans="2:33" customFormat="1" ht="15.75" thickTop="1" x14ac:dyDescent="0.25">
      <c r="B14" s="79" t="s">
        <v>40</v>
      </c>
      <c r="C14" s="80">
        <v>2000</v>
      </c>
      <c r="D14" s="81">
        <v>1500</v>
      </c>
      <c r="E14" s="82"/>
      <c r="F14" s="82"/>
      <c r="G14" s="82"/>
      <c r="H14" s="82"/>
      <c r="I14" s="82"/>
      <c r="J14" s="83"/>
      <c r="K14" s="81"/>
      <c r="L14" s="82"/>
      <c r="M14" s="82"/>
      <c r="N14" s="82"/>
      <c r="O14" s="82"/>
      <c r="P14" s="82"/>
      <c r="Q14" s="83"/>
      <c r="R14" s="81"/>
      <c r="S14" s="82"/>
      <c r="T14" s="82"/>
      <c r="U14" s="82"/>
      <c r="V14" s="82"/>
      <c r="W14" s="82"/>
      <c r="X14" s="83"/>
      <c r="Y14" s="81"/>
      <c r="Z14" s="82"/>
      <c r="AA14" s="82"/>
      <c r="AB14" s="82"/>
      <c r="AC14" s="82"/>
      <c r="AD14" s="82"/>
      <c r="AE14" s="82"/>
      <c r="AF14" s="82"/>
      <c r="AG14" s="83"/>
    </row>
    <row r="15" spans="2:33" customFormat="1" x14ac:dyDescent="0.25">
      <c r="B15" s="79" t="s">
        <v>41</v>
      </c>
      <c r="C15" s="84"/>
      <c r="D15" s="85">
        <v>12</v>
      </c>
      <c r="E15" s="86"/>
      <c r="F15" s="86"/>
      <c r="G15" s="86"/>
      <c r="H15" s="86"/>
      <c r="I15" s="86"/>
      <c r="J15" s="87"/>
      <c r="K15" s="85"/>
      <c r="L15" s="86"/>
      <c r="M15" s="86"/>
      <c r="N15" s="86"/>
      <c r="O15" s="86"/>
      <c r="P15" s="86"/>
      <c r="Q15" s="87"/>
      <c r="R15" s="85"/>
      <c r="S15" s="86"/>
      <c r="T15" s="86"/>
      <c r="U15" s="86"/>
      <c r="V15" s="86"/>
      <c r="W15" s="86"/>
      <c r="X15" s="87"/>
      <c r="Y15" s="85"/>
      <c r="Z15" s="86"/>
      <c r="AA15" s="86"/>
      <c r="AB15" s="86"/>
      <c r="AC15" s="86"/>
      <c r="AD15" s="86"/>
      <c r="AE15" s="86"/>
      <c r="AF15" s="86"/>
      <c r="AG15" s="87"/>
    </row>
    <row r="16" spans="2:33" customFormat="1" x14ac:dyDescent="0.25">
      <c r="B16" s="79" t="s">
        <v>42</v>
      </c>
      <c r="C16" s="88"/>
      <c r="D16" s="89">
        <f>IFERROR(D14*(24/D15)/1000,"")</f>
        <v>3</v>
      </c>
      <c r="E16" s="90" t="str">
        <f t="shared" ref="E16:AG16" si="2">IFERROR(E14*(24/E15)/1000,"")</f>
        <v/>
      </c>
      <c r="F16" s="90" t="str">
        <f t="shared" si="2"/>
        <v/>
      </c>
      <c r="G16" s="90" t="str">
        <f t="shared" si="2"/>
        <v/>
      </c>
      <c r="H16" s="90" t="str">
        <f t="shared" si="2"/>
        <v/>
      </c>
      <c r="I16" s="90" t="str">
        <f t="shared" si="2"/>
        <v/>
      </c>
      <c r="J16" s="91" t="str">
        <f t="shared" si="2"/>
        <v/>
      </c>
      <c r="K16" s="89" t="str">
        <f t="shared" si="2"/>
        <v/>
      </c>
      <c r="L16" s="90" t="str">
        <f t="shared" si="2"/>
        <v/>
      </c>
      <c r="M16" s="90" t="str">
        <f t="shared" si="2"/>
        <v/>
      </c>
      <c r="N16" s="90" t="str">
        <f t="shared" si="2"/>
        <v/>
      </c>
      <c r="O16" s="90" t="str">
        <f t="shared" si="2"/>
        <v/>
      </c>
      <c r="P16" s="90" t="str">
        <f t="shared" si="2"/>
        <v/>
      </c>
      <c r="Q16" s="91" t="str">
        <f t="shared" si="2"/>
        <v/>
      </c>
      <c r="R16" s="89" t="str">
        <f t="shared" si="2"/>
        <v/>
      </c>
      <c r="S16" s="90" t="str">
        <f t="shared" si="2"/>
        <v/>
      </c>
      <c r="T16" s="90" t="str">
        <f t="shared" si="2"/>
        <v/>
      </c>
      <c r="U16" s="90" t="str">
        <f t="shared" si="2"/>
        <v/>
      </c>
      <c r="V16" s="90" t="str">
        <f t="shared" si="2"/>
        <v/>
      </c>
      <c r="W16" s="90" t="str">
        <f t="shared" si="2"/>
        <v/>
      </c>
      <c r="X16" s="91" t="str">
        <f t="shared" si="2"/>
        <v/>
      </c>
      <c r="Y16" s="89" t="str">
        <f t="shared" si="2"/>
        <v/>
      </c>
      <c r="Z16" s="90" t="str">
        <f t="shared" si="2"/>
        <v/>
      </c>
      <c r="AA16" s="90" t="str">
        <f t="shared" si="2"/>
        <v/>
      </c>
      <c r="AB16" s="90" t="str">
        <f t="shared" si="2"/>
        <v/>
      </c>
      <c r="AC16" s="90" t="str">
        <f t="shared" si="2"/>
        <v/>
      </c>
      <c r="AD16" s="90" t="str">
        <f t="shared" si="2"/>
        <v/>
      </c>
      <c r="AE16" s="90" t="str">
        <f t="shared" si="2"/>
        <v/>
      </c>
      <c r="AF16" s="90" t="str">
        <f t="shared" si="2"/>
        <v/>
      </c>
      <c r="AG16" s="91" t="str">
        <f t="shared" si="2"/>
        <v/>
      </c>
    </row>
    <row r="17" spans="2:33" customFormat="1" x14ac:dyDescent="0.25">
      <c r="B17" s="92" t="s">
        <v>43</v>
      </c>
      <c r="C17" s="187">
        <v>44172.375</v>
      </c>
      <c r="D17" s="188">
        <v>44172.875</v>
      </c>
      <c r="E17" s="94"/>
      <c r="F17" s="95"/>
      <c r="G17" s="94"/>
      <c r="H17" s="94"/>
      <c r="I17" s="94"/>
      <c r="J17" s="96"/>
      <c r="K17" s="94"/>
      <c r="L17" s="94"/>
      <c r="M17" s="94"/>
      <c r="N17" s="95"/>
      <c r="O17" s="94"/>
      <c r="P17" s="94"/>
      <c r="Q17" s="97"/>
      <c r="R17" s="94"/>
      <c r="S17" s="94"/>
      <c r="T17" s="95"/>
      <c r="U17" s="94"/>
      <c r="V17" s="94"/>
      <c r="W17" s="95"/>
      <c r="X17" s="96"/>
      <c r="Y17" s="94"/>
      <c r="Z17" s="95"/>
      <c r="AA17" s="94"/>
      <c r="AB17" s="94"/>
      <c r="AC17" s="95"/>
      <c r="AD17" s="94"/>
      <c r="AE17" s="94"/>
      <c r="AF17" s="94"/>
      <c r="AG17" s="96"/>
    </row>
    <row r="18" spans="2:33" customFormat="1" x14ac:dyDescent="0.25">
      <c r="B18" s="92" t="s">
        <v>44</v>
      </c>
      <c r="C18" s="98"/>
      <c r="D18" s="93"/>
      <c r="E18" s="94"/>
      <c r="F18" s="95"/>
      <c r="G18" s="94"/>
      <c r="H18" s="94"/>
      <c r="I18" s="94"/>
      <c r="J18" s="96"/>
      <c r="K18" s="95"/>
      <c r="L18" s="94"/>
      <c r="M18" s="94"/>
      <c r="N18" s="95"/>
      <c r="O18" s="94"/>
      <c r="P18" s="94"/>
      <c r="Q18" s="97"/>
      <c r="R18" s="94"/>
      <c r="S18" s="94"/>
      <c r="T18" s="95"/>
      <c r="U18" s="94"/>
      <c r="V18" s="94"/>
      <c r="W18" s="95"/>
      <c r="X18" s="96"/>
      <c r="Y18" s="94"/>
      <c r="Z18" s="95"/>
      <c r="AA18" s="94"/>
      <c r="AB18" s="94"/>
      <c r="AC18" s="95"/>
      <c r="AD18" s="94"/>
      <c r="AE18" s="94"/>
      <c r="AF18" s="94"/>
      <c r="AG18" s="96"/>
    </row>
    <row r="19" spans="2:33" customFormat="1" x14ac:dyDescent="0.25">
      <c r="B19" s="92" t="s">
        <v>45</v>
      </c>
      <c r="C19" s="98"/>
      <c r="D19" s="93"/>
      <c r="E19" s="94"/>
      <c r="F19" s="95"/>
      <c r="G19" s="94"/>
      <c r="H19" s="94"/>
      <c r="I19" s="94"/>
      <c r="J19" s="96"/>
      <c r="K19" s="95"/>
      <c r="L19" s="94"/>
      <c r="M19" s="94"/>
      <c r="N19" s="95"/>
      <c r="O19" s="94"/>
      <c r="P19" s="94"/>
      <c r="Q19" s="97"/>
      <c r="R19" s="94"/>
      <c r="S19" s="94"/>
      <c r="T19" s="95"/>
      <c r="U19" s="94"/>
      <c r="V19" s="94"/>
      <c r="W19" s="95"/>
      <c r="X19" s="96"/>
      <c r="Y19" s="94"/>
      <c r="Z19" s="95"/>
      <c r="AA19" s="94"/>
      <c r="AB19" s="94"/>
      <c r="AC19" s="95"/>
      <c r="AD19" s="94"/>
      <c r="AE19" s="94"/>
      <c r="AF19" s="94"/>
      <c r="AG19" s="96"/>
    </row>
    <row r="20" spans="2:33" customFormat="1" x14ac:dyDescent="0.25">
      <c r="B20" s="99" t="s">
        <v>46</v>
      </c>
      <c r="C20" s="100"/>
      <c r="D20" s="101"/>
      <c r="E20" s="101"/>
      <c r="F20" s="101"/>
      <c r="G20" s="101"/>
      <c r="H20" s="101"/>
      <c r="I20" s="101"/>
      <c r="J20" s="102"/>
      <c r="K20" s="101"/>
      <c r="L20" s="101"/>
      <c r="M20" s="101"/>
      <c r="N20" s="101"/>
      <c r="O20" s="101"/>
      <c r="P20" s="101"/>
      <c r="Q20" s="102"/>
      <c r="R20" s="101"/>
      <c r="S20" s="101"/>
      <c r="T20" s="101"/>
      <c r="U20" s="101"/>
      <c r="V20" s="101"/>
      <c r="W20" s="101"/>
      <c r="X20" s="102"/>
      <c r="Y20" s="101"/>
      <c r="Z20" s="101"/>
      <c r="AA20" s="101"/>
      <c r="AB20" s="101"/>
      <c r="AC20" s="101"/>
      <c r="AD20" s="101"/>
      <c r="AE20" s="101"/>
      <c r="AF20" s="101"/>
      <c r="AG20" s="102"/>
    </row>
    <row r="21" spans="2:33" customFormat="1" x14ac:dyDescent="0.25">
      <c r="B21" s="103" t="s">
        <v>47</v>
      </c>
      <c r="C21" s="100"/>
      <c r="D21" s="104">
        <v>510</v>
      </c>
      <c r="E21" s="104" t="str">
        <f t="shared" ref="E21:AG21" si="3">IFERROR(((E22+E23)/2*(E14/mfInfRate)+(E22-E23)/E36)*(24/E15),"")</f>
        <v/>
      </c>
      <c r="F21" s="104" t="str">
        <f t="shared" si="3"/>
        <v/>
      </c>
      <c r="G21" s="104" t="str">
        <f t="shared" si="3"/>
        <v/>
      </c>
      <c r="H21" s="104" t="str">
        <f t="shared" si="3"/>
        <v/>
      </c>
      <c r="I21" s="104" t="str">
        <f t="shared" si="3"/>
        <v/>
      </c>
      <c r="J21" s="105" t="str">
        <f t="shared" si="3"/>
        <v/>
      </c>
      <c r="K21" s="106" t="str">
        <f t="shared" si="3"/>
        <v/>
      </c>
      <c r="L21" s="104" t="str">
        <f t="shared" si="3"/>
        <v/>
      </c>
      <c r="M21" s="104" t="str">
        <f t="shared" si="3"/>
        <v/>
      </c>
      <c r="N21" s="104" t="str">
        <f t="shared" si="3"/>
        <v/>
      </c>
      <c r="O21" s="104" t="str">
        <f t="shared" si="3"/>
        <v/>
      </c>
      <c r="P21" s="104" t="str">
        <f t="shared" si="3"/>
        <v/>
      </c>
      <c r="Q21" s="105" t="str">
        <f t="shared" si="3"/>
        <v/>
      </c>
      <c r="R21" s="106" t="str">
        <f t="shared" si="3"/>
        <v/>
      </c>
      <c r="S21" s="104" t="str">
        <f t="shared" si="3"/>
        <v/>
      </c>
      <c r="T21" s="104" t="str">
        <f t="shared" si="3"/>
        <v/>
      </c>
      <c r="U21" s="104" t="str">
        <f t="shared" si="3"/>
        <v/>
      </c>
      <c r="V21" s="104" t="str">
        <f t="shared" si="3"/>
        <v/>
      </c>
      <c r="W21" s="104" t="str">
        <f t="shared" si="3"/>
        <v/>
      </c>
      <c r="X21" s="105" t="str">
        <f t="shared" si="3"/>
        <v/>
      </c>
      <c r="Y21" s="106" t="str">
        <f t="shared" si="3"/>
        <v/>
      </c>
      <c r="Z21" s="104" t="str">
        <f t="shared" si="3"/>
        <v/>
      </c>
      <c r="AA21" s="104" t="str">
        <f t="shared" si="3"/>
        <v/>
      </c>
      <c r="AB21" s="104" t="str">
        <f t="shared" si="3"/>
        <v/>
      </c>
      <c r="AC21" s="104" t="str">
        <f t="shared" si="3"/>
        <v/>
      </c>
      <c r="AD21" s="104" t="str">
        <f t="shared" si="3"/>
        <v/>
      </c>
      <c r="AE21" s="104" t="str">
        <f t="shared" si="3"/>
        <v/>
      </c>
      <c r="AF21" s="104" t="str">
        <f t="shared" si="3"/>
        <v/>
      </c>
      <c r="AG21" s="105" t="str">
        <f t="shared" si="3"/>
        <v/>
      </c>
    </row>
    <row r="22" spans="2:33" customFormat="1" x14ac:dyDescent="0.25">
      <c r="B22" s="107" t="s">
        <v>48</v>
      </c>
      <c r="C22" s="100"/>
      <c r="D22" s="104">
        <f>IFERROR((D14/mfVd)/(1-EXP(-D36*mfMDTau)),"")</f>
        <v>35.365937383186427</v>
      </c>
      <c r="E22" s="104" t="str">
        <f t="shared" ref="E22:AG22" si="4">IFERROR((E14/mfVd)/(1-EXP(-E36*E15)),"")</f>
        <v/>
      </c>
      <c r="F22" s="104" t="str">
        <f t="shared" si="4"/>
        <v/>
      </c>
      <c r="G22" s="104" t="str">
        <f t="shared" si="4"/>
        <v/>
      </c>
      <c r="H22" s="104" t="str">
        <f t="shared" si="4"/>
        <v/>
      </c>
      <c r="I22" s="104" t="str">
        <f t="shared" si="4"/>
        <v/>
      </c>
      <c r="J22" s="108" t="str">
        <f t="shared" si="4"/>
        <v/>
      </c>
      <c r="K22" s="106" t="str">
        <f t="shared" si="4"/>
        <v/>
      </c>
      <c r="L22" s="104" t="str">
        <f t="shared" si="4"/>
        <v/>
      </c>
      <c r="M22" s="104" t="str">
        <f t="shared" si="4"/>
        <v/>
      </c>
      <c r="N22" s="104" t="str">
        <f t="shared" si="4"/>
        <v/>
      </c>
      <c r="O22" s="104" t="str">
        <f t="shared" si="4"/>
        <v/>
      </c>
      <c r="P22" s="104" t="str">
        <f t="shared" si="4"/>
        <v/>
      </c>
      <c r="Q22" s="108" t="str">
        <f t="shared" si="4"/>
        <v/>
      </c>
      <c r="R22" s="106" t="str">
        <f t="shared" si="4"/>
        <v/>
      </c>
      <c r="S22" s="104" t="str">
        <f t="shared" si="4"/>
        <v/>
      </c>
      <c r="T22" s="104" t="str">
        <f t="shared" si="4"/>
        <v/>
      </c>
      <c r="U22" s="104" t="str">
        <f t="shared" si="4"/>
        <v/>
      </c>
      <c r="V22" s="104" t="str">
        <f t="shared" si="4"/>
        <v/>
      </c>
      <c r="W22" s="104" t="str">
        <f t="shared" si="4"/>
        <v/>
      </c>
      <c r="X22" s="108" t="str">
        <f t="shared" si="4"/>
        <v/>
      </c>
      <c r="Y22" s="106" t="str">
        <f t="shared" si="4"/>
        <v/>
      </c>
      <c r="Z22" s="104" t="str">
        <f t="shared" si="4"/>
        <v/>
      </c>
      <c r="AA22" s="104" t="str">
        <f t="shared" si="4"/>
        <v/>
      </c>
      <c r="AB22" s="104" t="str">
        <f t="shared" si="4"/>
        <v/>
      </c>
      <c r="AC22" s="104" t="str">
        <f t="shared" si="4"/>
        <v/>
      </c>
      <c r="AD22" s="104" t="str">
        <f t="shared" si="4"/>
        <v/>
      </c>
      <c r="AE22" s="104" t="str">
        <f t="shared" si="4"/>
        <v/>
      </c>
      <c r="AF22" s="104" t="str">
        <f t="shared" si="4"/>
        <v/>
      </c>
      <c r="AG22" s="108" t="str">
        <f t="shared" si="4"/>
        <v/>
      </c>
    </row>
    <row r="23" spans="2:33" customFormat="1" x14ac:dyDescent="0.25">
      <c r="B23" s="107" t="s">
        <v>49</v>
      </c>
      <c r="C23" s="100"/>
      <c r="D23" s="104">
        <f>IFERROR(D22*(EXP(-mfKe*(mfMDTau-mfMDDose/mfInfRate))),"")</f>
        <v>11.29412969128459</v>
      </c>
      <c r="E23" s="104" t="str">
        <f t="shared" ref="E23:AG23" si="5">IFERROR(E22*(EXP(-mfKe*(E15-E14/mfInfRate))),"")</f>
        <v/>
      </c>
      <c r="F23" s="104" t="str">
        <f t="shared" si="5"/>
        <v/>
      </c>
      <c r="G23" s="104" t="str">
        <f t="shared" si="5"/>
        <v/>
      </c>
      <c r="H23" s="104" t="str">
        <f t="shared" si="5"/>
        <v/>
      </c>
      <c r="I23" s="104" t="str">
        <f t="shared" si="5"/>
        <v/>
      </c>
      <c r="J23" s="108" t="str">
        <f t="shared" si="5"/>
        <v/>
      </c>
      <c r="K23" s="106" t="str">
        <f t="shared" si="5"/>
        <v/>
      </c>
      <c r="L23" s="104" t="str">
        <f t="shared" si="5"/>
        <v/>
      </c>
      <c r="M23" s="104" t="str">
        <f t="shared" si="5"/>
        <v/>
      </c>
      <c r="N23" s="104" t="str">
        <f t="shared" si="5"/>
        <v/>
      </c>
      <c r="O23" s="104" t="str">
        <f t="shared" si="5"/>
        <v/>
      </c>
      <c r="P23" s="104" t="str">
        <f t="shared" si="5"/>
        <v/>
      </c>
      <c r="Q23" s="108" t="str">
        <f t="shared" si="5"/>
        <v/>
      </c>
      <c r="R23" s="106" t="str">
        <f t="shared" si="5"/>
        <v/>
      </c>
      <c r="S23" s="104" t="str">
        <f t="shared" si="5"/>
        <v/>
      </c>
      <c r="T23" s="104" t="str">
        <f t="shared" si="5"/>
        <v/>
      </c>
      <c r="U23" s="104" t="str">
        <f t="shared" si="5"/>
        <v/>
      </c>
      <c r="V23" s="104" t="str">
        <f t="shared" si="5"/>
        <v/>
      </c>
      <c r="W23" s="104" t="str">
        <f t="shared" si="5"/>
        <v/>
      </c>
      <c r="X23" s="108" t="str">
        <f t="shared" si="5"/>
        <v/>
      </c>
      <c r="Y23" s="106" t="str">
        <f t="shared" si="5"/>
        <v/>
      </c>
      <c r="Z23" s="104" t="str">
        <f t="shared" si="5"/>
        <v/>
      </c>
      <c r="AA23" s="104" t="str">
        <f t="shared" si="5"/>
        <v/>
      </c>
      <c r="AB23" s="104" t="str">
        <f t="shared" si="5"/>
        <v/>
      </c>
      <c r="AC23" s="104" t="str">
        <f t="shared" si="5"/>
        <v/>
      </c>
      <c r="AD23" s="104" t="str">
        <f t="shared" si="5"/>
        <v/>
      </c>
      <c r="AE23" s="104" t="str">
        <f t="shared" si="5"/>
        <v/>
      </c>
      <c r="AF23" s="104" t="str">
        <f t="shared" si="5"/>
        <v/>
      </c>
      <c r="AG23" s="108" t="str">
        <f t="shared" si="5"/>
        <v/>
      </c>
    </row>
    <row r="24" spans="2:33" customFormat="1" x14ac:dyDescent="0.25">
      <c r="B24" s="109" t="s">
        <v>50</v>
      </c>
      <c r="C24" s="100"/>
      <c r="D24" s="110"/>
      <c r="E24" s="110"/>
      <c r="F24" s="111"/>
      <c r="G24" s="110"/>
      <c r="H24" s="110"/>
      <c r="I24" s="110"/>
      <c r="J24" s="112"/>
      <c r="K24" s="111"/>
      <c r="L24" s="110"/>
      <c r="M24" s="110"/>
      <c r="N24" s="111"/>
      <c r="O24" s="110"/>
      <c r="P24" s="110"/>
      <c r="Q24" s="113"/>
      <c r="R24" s="110"/>
      <c r="S24" s="110"/>
      <c r="T24" s="111"/>
      <c r="U24" s="110"/>
      <c r="V24" s="110"/>
      <c r="W24" s="111"/>
      <c r="X24" s="114"/>
      <c r="Y24" s="110"/>
      <c r="Z24" s="111"/>
      <c r="AA24" s="110"/>
      <c r="AB24" s="110"/>
      <c r="AC24" s="111"/>
      <c r="AD24" s="110"/>
      <c r="AE24" s="110"/>
      <c r="AF24" s="110"/>
      <c r="AG24" s="114"/>
    </row>
    <row r="25" spans="2:33" customFormat="1" x14ac:dyDescent="0.25">
      <c r="B25" s="99" t="s">
        <v>51</v>
      </c>
      <c r="C25" s="100"/>
      <c r="D25" s="101"/>
      <c r="E25" s="101"/>
      <c r="F25" s="101"/>
      <c r="G25" s="101"/>
      <c r="H25" s="101"/>
      <c r="I25" s="101"/>
      <c r="J25" s="102"/>
      <c r="K25" s="101"/>
      <c r="L25" s="101"/>
      <c r="M25" s="101"/>
      <c r="N25" s="101"/>
      <c r="O25" s="101"/>
      <c r="P25" s="101"/>
      <c r="Q25" s="102"/>
      <c r="R25" s="101"/>
      <c r="S25" s="101"/>
      <c r="T25" s="101"/>
      <c r="U25" s="101"/>
      <c r="V25" s="101"/>
      <c r="W25" s="101"/>
      <c r="X25" s="102"/>
      <c r="Y25" s="101"/>
      <c r="Z25" s="101"/>
      <c r="AA25" s="101"/>
      <c r="AB25" s="101"/>
      <c r="AC25" s="101"/>
      <c r="AD25" s="101"/>
      <c r="AE25" s="101"/>
      <c r="AF25" s="101"/>
      <c r="AG25" s="102"/>
    </row>
    <row r="26" spans="2:33" customFormat="1" x14ac:dyDescent="0.25">
      <c r="B26" s="103" t="s">
        <v>52</v>
      </c>
      <c r="C26" s="100"/>
      <c r="D26" s="189">
        <v>44173.5</v>
      </c>
      <c r="E26" s="115"/>
      <c r="F26" s="116"/>
      <c r="G26" s="115"/>
      <c r="H26" s="115"/>
      <c r="I26" s="115"/>
      <c r="J26" s="112"/>
      <c r="K26" s="116"/>
      <c r="L26" s="115"/>
      <c r="M26" s="115"/>
      <c r="N26" s="116"/>
      <c r="O26" s="115"/>
      <c r="P26" s="115"/>
      <c r="Q26" s="117"/>
      <c r="R26" s="115"/>
      <c r="S26" s="115"/>
      <c r="T26" s="116"/>
      <c r="U26" s="115"/>
      <c r="V26" s="115"/>
      <c r="W26" s="116"/>
      <c r="X26" s="112"/>
      <c r="Y26" s="115"/>
      <c r="Z26" s="116"/>
      <c r="AA26" s="115"/>
      <c r="AB26" s="115"/>
      <c r="AC26" s="116"/>
      <c r="AD26" s="115"/>
      <c r="AE26" s="115"/>
      <c r="AF26" s="115"/>
      <c r="AG26" s="112"/>
    </row>
    <row r="27" spans="2:33" customFormat="1" x14ac:dyDescent="0.25">
      <c r="B27" s="109" t="s">
        <v>53</v>
      </c>
      <c r="C27" s="100"/>
      <c r="D27" s="118"/>
      <c r="E27" s="118"/>
      <c r="F27" s="119"/>
      <c r="G27" s="118"/>
      <c r="H27" s="118"/>
      <c r="I27" s="118"/>
      <c r="J27" s="120"/>
      <c r="K27" s="119"/>
      <c r="L27" s="118"/>
      <c r="M27" s="118"/>
      <c r="N27" s="119"/>
      <c r="O27" s="118"/>
      <c r="P27" s="118"/>
      <c r="Q27" s="121"/>
      <c r="R27" s="118"/>
      <c r="S27" s="118"/>
      <c r="T27" s="119"/>
      <c r="U27" s="118"/>
      <c r="V27" s="118"/>
      <c r="W27" s="119"/>
      <c r="X27" s="120"/>
      <c r="Y27" s="118"/>
      <c r="Z27" s="119"/>
      <c r="AA27" s="118"/>
      <c r="AB27" s="118"/>
      <c r="AC27" s="119"/>
      <c r="AD27" s="118"/>
      <c r="AE27" s="118"/>
      <c r="AF27" s="118"/>
      <c r="AG27" s="120"/>
    </row>
    <row r="28" spans="2:33" customFormat="1" x14ac:dyDescent="0.25">
      <c r="B28" s="103" t="s">
        <v>54</v>
      </c>
      <c r="C28" s="100"/>
      <c r="D28" s="190">
        <v>44173.854166666664</v>
      </c>
      <c r="E28" s="118"/>
      <c r="F28" s="119"/>
      <c r="G28" s="118"/>
      <c r="H28" s="118"/>
      <c r="I28" s="118"/>
      <c r="J28" s="120"/>
      <c r="K28" s="119"/>
      <c r="L28" s="118"/>
      <c r="M28" s="118"/>
      <c r="N28" s="119"/>
      <c r="O28" s="118"/>
      <c r="P28" s="118"/>
      <c r="Q28" s="121"/>
      <c r="R28" s="118"/>
      <c r="S28" s="118"/>
      <c r="T28" s="119"/>
      <c r="U28" s="118"/>
      <c r="V28" s="118"/>
      <c r="W28" s="119"/>
      <c r="X28" s="120"/>
      <c r="Y28" s="118"/>
      <c r="Z28" s="119"/>
      <c r="AA28" s="118"/>
      <c r="AB28" s="118"/>
      <c r="AC28" s="119"/>
      <c r="AD28" s="118"/>
      <c r="AE28" s="118"/>
      <c r="AF28" s="118"/>
      <c r="AG28" s="120"/>
    </row>
    <row r="29" spans="2:33" customFormat="1" x14ac:dyDescent="0.25">
      <c r="B29" s="109" t="s">
        <v>55</v>
      </c>
      <c r="C29" s="100"/>
      <c r="D29" s="118"/>
      <c r="E29" s="118"/>
      <c r="F29" s="119"/>
      <c r="G29" s="118"/>
      <c r="H29" s="118"/>
      <c r="I29" s="118"/>
      <c r="J29" s="120"/>
      <c r="K29" s="119"/>
      <c r="L29" s="118"/>
      <c r="M29" s="118"/>
      <c r="N29" s="119"/>
      <c r="O29" s="118"/>
      <c r="P29" s="118"/>
      <c r="Q29" s="121"/>
      <c r="R29" s="118"/>
      <c r="S29" s="118"/>
      <c r="T29" s="119"/>
      <c r="U29" s="118"/>
      <c r="V29" s="118"/>
      <c r="W29" s="119"/>
      <c r="X29" s="120"/>
      <c r="Y29" s="118"/>
      <c r="Z29" s="119"/>
      <c r="AA29" s="118"/>
      <c r="AB29" s="118"/>
      <c r="AC29" s="119"/>
      <c r="AD29" s="118"/>
      <c r="AE29" s="118"/>
      <c r="AF29" s="118"/>
      <c r="AG29" s="120"/>
    </row>
    <row r="30" spans="2:33" customFormat="1" x14ac:dyDescent="0.25">
      <c r="B30" s="99" t="s">
        <v>56</v>
      </c>
      <c r="C30" s="100"/>
      <c r="D30" s="101"/>
      <c r="E30" s="101"/>
      <c r="F30" s="101"/>
      <c r="G30" s="101"/>
      <c r="H30" s="101"/>
      <c r="I30" s="101"/>
      <c r="J30" s="102"/>
      <c r="K30" s="101"/>
      <c r="L30" s="101"/>
      <c r="M30" s="101"/>
      <c r="N30" s="101"/>
      <c r="O30" s="101"/>
      <c r="P30" s="101"/>
      <c r="Q30" s="102"/>
      <c r="R30" s="101"/>
      <c r="S30" s="101"/>
      <c r="T30" s="101"/>
      <c r="U30" s="101"/>
      <c r="V30" s="101"/>
      <c r="W30" s="101"/>
      <c r="X30" s="102"/>
      <c r="Y30" s="101"/>
      <c r="Z30" s="101"/>
      <c r="AA30" s="101"/>
      <c r="AB30" s="101"/>
      <c r="AC30" s="101"/>
      <c r="AD30" s="101"/>
      <c r="AE30" s="101"/>
      <c r="AF30" s="101"/>
      <c r="AG30" s="102"/>
    </row>
    <row r="31" spans="2:33" customFormat="1" x14ac:dyDescent="0.25">
      <c r="B31" s="122" t="s">
        <v>57</v>
      </c>
      <c r="C31" s="100"/>
      <c r="D31" s="123">
        <v>0.8</v>
      </c>
      <c r="E31" s="124"/>
      <c r="F31" s="124"/>
      <c r="G31" s="124"/>
      <c r="H31" s="124"/>
      <c r="I31" s="124"/>
      <c r="J31" s="125"/>
      <c r="K31" s="126"/>
      <c r="L31" s="124"/>
      <c r="M31" s="124"/>
      <c r="N31" s="124"/>
      <c r="O31" s="124"/>
      <c r="P31" s="124"/>
      <c r="Q31" s="127"/>
      <c r="R31" s="126"/>
      <c r="S31" s="124"/>
      <c r="T31" s="124"/>
      <c r="U31" s="124"/>
      <c r="V31" s="124"/>
      <c r="W31" s="124"/>
      <c r="X31" s="127"/>
      <c r="Y31" s="126"/>
      <c r="Z31" s="124"/>
      <c r="AA31" s="124"/>
      <c r="AB31" s="124"/>
      <c r="AC31" s="124"/>
      <c r="AD31" s="124"/>
      <c r="AE31" s="124"/>
      <c r="AF31" s="124"/>
      <c r="AG31" s="127"/>
    </row>
    <row r="32" spans="2:33" customFormat="1" x14ac:dyDescent="0.25">
      <c r="B32" s="122" t="s">
        <v>58</v>
      </c>
      <c r="C32" s="100"/>
      <c r="D32" s="123" t="str">
        <f>IF(mfManualSCr&lt;&gt;0,mfManualSCr,"")</f>
        <v/>
      </c>
      <c r="E32" s="128"/>
      <c r="F32" s="128"/>
      <c r="G32" s="128"/>
      <c r="H32" s="128"/>
      <c r="I32" s="128"/>
      <c r="J32" s="129"/>
      <c r="K32" s="130"/>
      <c r="L32" s="128"/>
      <c r="M32" s="128"/>
      <c r="N32" s="128"/>
      <c r="O32" s="128"/>
      <c r="P32" s="128"/>
      <c r="Q32" s="131"/>
      <c r="R32" s="130"/>
      <c r="S32" s="128"/>
      <c r="T32" s="128"/>
      <c r="U32" s="128"/>
      <c r="V32" s="128"/>
      <c r="W32" s="128"/>
      <c r="X32" s="131"/>
      <c r="Y32" s="130"/>
      <c r="Z32" s="128"/>
      <c r="AA32" s="128"/>
      <c r="AB32" s="128"/>
      <c r="AC32" s="128"/>
      <c r="AD32" s="128"/>
      <c r="AE32" s="128"/>
      <c r="AF32" s="128"/>
      <c r="AG32" s="131"/>
    </row>
    <row r="33" spans="2:33" customFormat="1" x14ac:dyDescent="0.25">
      <c r="B33" s="132" t="s">
        <v>59</v>
      </c>
      <c r="C33" s="100"/>
      <c r="D33" s="133">
        <f t="shared" ref="D33:AG33" si="6">IF(AND(mfGender&lt;&gt;"",mfAge&lt;&gt;"",mfWtUsed&lt;&gt;"",D31&lt;&gt;""),(140-mfAge)*mfWtUsed/(D31*72)*IF(mfGender="M",1,0.85),"")</f>
        <v>147.74739583333334</v>
      </c>
      <c r="E33" s="133" t="str">
        <f t="shared" si="6"/>
        <v/>
      </c>
      <c r="F33" s="133" t="str">
        <f t="shared" si="6"/>
        <v/>
      </c>
      <c r="G33" s="133" t="str">
        <f t="shared" si="6"/>
        <v/>
      </c>
      <c r="H33" s="133" t="str">
        <f t="shared" si="6"/>
        <v/>
      </c>
      <c r="I33" s="133" t="str">
        <f t="shared" si="6"/>
        <v/>
      </c>
      <c r="J33" s="134" t="str">
        <f t="shared" si="6"/>
        <v/>
      </c>
      <c r="K33" s="135" t="str">
        <f t="shared" si="6"/>
        <v/>
      </c>
      <c r="L33" s="133" t="str">
        <f t="shared" si="6"/>
        <v/>
      </c>
      <c r="M33" s="133" t="str">
        <f t="shared" si="6"/>
        <v/>
      </c>
      <c r="N33" s="133" t="str">
        <f t="shared" si="6"/>
        <v/>
      </c>
      <c r="O33" s="133" t="str">
        <f t="shared" si="6"/>
        <v/>
      </c>
      <c r="P33" s="133" t="str">
        <f t="shared" si="6"/>
        <v/>
      </c>
      <c r="Q33" s="134" t="str">
        <f t="shared" si="6"/>
        <v/>
      </c>
      <c r="R33" s="135" t="str">
        <f t="shared" si="6"/>
        <v/>
      </c>
      <c r="S33" s="133" t="str">
        <f t="shared" si="6"/>
        <v/>
      </c>
      <c r="T33" s="133" t="str">
        <f t="shared" si="6"/>
        <v/>
      </c>
      <c r="U33" s="133" t="str">
        <f t="shared" si="6"/>
        <v/>
      </c>
      <c r="V33" s="133" t="str">
        <f t="shared" si="6"/>
        <v/>
      </c>
      <c r="W33" s="133" t="str">
        <f t="shared" si="6"/>
        <v/>
      </c>
      <c r="X33" s="134" t="str">
        <f t="shared" si="6"/>
        <v/>
      </c>
      <c r="Y33" s="135" t="str">
        <f t="shared" si="6"/>
        <v/>
      </c>
      <c r="Z33" s="133" t="str">
        <f t="shared" si="6"/>
        <v/>
      </c>
      <c r="AA33" s="133" t="str">
        <f t="shared" si="6"/>
        <v/>
      </c>
      <c r="AB33" s="133" t="str">
        <f t="shared" si="6"/>
        <v/>
      </c>
      <c r="AC33" s="133" t="str">
        <f t="shared" si="6"/>
        <v/>
      </c>
      <c r="AD33" s="133" t="str">
        <f t="shared" si="6"/>
        <v/>
      </c>
      <c r="AE33" s="133" t="str">
        <f t="shared" si="6"/>
        <v/>
      </c>
      <c r="AF33" s="133" t="str">
        <f t="shared" si="6"/>
        <v/>
      </c>
      <c r="AG33" s="134" t="str">
        <f t="shared" si="6"/>
        <v/>
      </c>
    </row>
    <row r="34" spans="2:33" customFormat="1" x14ac:dyDescent="0.25">
      <c r="B34" s="132" t="s">
        <v>60</v>
      </c>
      <c r="C34" s="100"/>
      <c r="D34" s="123" t="str">
        <f>IF(mfManualCrCl&lt;&gt;"",mfManualCrCl,"")</f>
        <v/>
      </c>
      <c r="E34" s="128"/>
      <c r="F34" s="128"/>
      <c r="G34" s="128"/>
      <c r="H34" s="128"/>
      <c r="I34" s="128"/>
      <c r="J34" s="136"/>
      <c r="K34" s="137"/>
      <c r="L34" s="128"/>
      <c r="M34" s="128"/>
      <c r="N34" s="128"/>
      <c r="O34" s="128"/>
      <c r="P34" s="128"/>
      <c r="Q34" s="136"/>
      <c r="R34" s="137"/>
      <c r="S34" s="128"/>
      <c r="T34" s="128"/>
      <c r="U34" s="128"/>
      <c r="V34" s="128"/>
      <c r="W34" s="128"/>
      <c r="X34" s="136"/>
      <c r="Y34" s="137"/>
      <c r="Z34" s="128"/>
      <c r="AA34" s="128"/>
      <c r="AB34" s="128"/>
      <c r="AC34" s="128"/>
      <c r="AD34" s="128"/>
      <c r="AE34" s="128"/>
      <c r="AF34" s="128"/>
      <c r="AG34" s="136"/>
    </row>
    <row r="35" spans="2:33" customFormat="1" x14ac:dyDescent="0.25">
      <c r="B35" s="132" t="s">
        <v>61</v>
      </c>
      <c r="C35" s="100"/>
      <c r="D35" s="138">
        <f>IF(mfPKEqn="Matzke",IF(OR(D34&lt;&gt;"",D33&lt;&gt;""),IF(D34&lt;&gt;"",((D34*0.689)+3.66)*0.06,IF(D33&lt;&gt;"",((D33*0.689)+3.66)*0.06,"")),""),IF(mfPKEqn="Crass",IF(AND(mfAge&lt;&gt;"",OR(mfSCr2&lt;&gt;"",D32&lt;&gt;""),mfGender&lt;&gt;"",mfWt&lt;&gt;""),9.656-0.078*mfAge-2.009*IF(D32&lt;&gt;"",D32,D31)+1.09*IF(mfGender="M",1,0)+0.04*POWER(mfWt,0.75),""),""))</f>
        <v>6.3274773437499992</v>
      </c>
      <c r="E35" s="139" t="str">
        <f t="shared" ref="E35:AG35" si="7">IF(mfPKEqn="Matzke",IF(OR(E34&lt;&gt;"",E33&lt;&gt;""),IF(E34&lt;&gt;"",((E34*0.689)+3.66)*0.06,IF(E33&lt;&gt;"",((E33*0.689)+3.66)*0.06,"")),""),IF(mfPKEqn="Crass",IF(AND(mfAge&lt;&gt;"",OR(E31&lt;&gt;"",E32&lt;&gt;""),mfGender&lt;&gt;"",mfWt&lt;&gt;""),9.656-0.078*mfAge-2.009*IF(E32&lt;&gt;"",E32,E31)+1.09*IF(mfGender="M",1,0)+0.04*POWER(mfWt,0.75),""),""))</f>
        <v/>
      </c>
      <c r="F35" s="139" t="str">
        <f t="shared" si="7"/>
        <v/>
      </c>
      <c r="G35" s="139" t="str">
        <f t="shared" si="7"/>
        <v/>
      </c>
      <c r="H35" s="139" t="str">
        <f t="shared" si="7"/>
        <v/>
      </c>
      <c r="I35" s="139" t="str">
        <f t="shared" si="7"/>
        <v/>
      </c>
      <c r="J35" s="140" t="str">
        <f t="shared" si="7"/>
        <v/>
      </c>
      <c r="K35" s="139" t="str">
        <f t="shared" si="7"/>
        <v/>
      </c>
      <c r="L35" s="139" t="str">
        <f t="shared" si="7"/>
        <v/>
      </c>
      <c r="M35" s="139" t="str">
        <f t="shared" si="7"/>
        <v/>
      </c>
      <c r="N35" s="139" t="str">
        <f t="shared" si="7"/>
        <v/>
      </c>
      <c r="O35" s="139" t="str">
        <f t="shared" si="7"/>
        <v/>
      </c>
      <c r="P35" s="139" t="str">
        <f t="shared" si="7"/>
        <v/>
      </c>
      <c r="Q35" s="140" t="str">
        <f t="shared" si="7"/>
        <v/>
      </c>
      <c r="R35" s="139" t="str">
        <f t="shared" si="7"/>
        <v/>
      </c>
      <c r="S35" s="139" t="str">
        <f t="shared" si="7"/>
        <v/>
      </c>
      <c r="T35" s="139" t="str">
        <f t="shared" si="7"/>
        <v/>
      </c>
      <c r="U35" s="139" t="str">
        <f t="shared" si="7"/>
        <v/>
      </c>
      <c r="V35" s="139" t="str">
        <f t="shared" si="7"/>
        <v/>
      </c>
      <c r="W35" s="139" t="str">
        <f t="shared" si="7"/>
        <v/>
      </c>
      <c r="X35" s="140" t="str">
        <f t="shared" si="7"/>
        <v/>
      </c>
      <c r="Y35" s="139" t="str">
        <f t="shared" si="7"/>
        <v/>
      </c>
      <c r="Z35" s="139" t="str">
        <f t="shared" si="7"/>
        <v/>
      </c>
      <c r="AA35" s="139" t="str">
        <f t="shared" si="7"/>
        <v/>
      </c>
      <c r="AB35" s="139" t="str">
        <f t="shared" si="7"/>
        <v/>
      </c>
      <c r="AC35" s="139" t="str">
        <f t="shared" si="7"/>
        <v/>
      </c>
      <c r="AD35" s="139" t="str">
        <f t="shared" si="7"/>
        <v/>
      </c>
      <c r="AE35" s="139" t="str">
        <f t="shared" si="7"/>
        <v/>
      </c>
      <c r="AF35" s="139" t="str">
        <f t="shared" si="7"/>
        <v/>
      </c>
      <c r="AG35" s="140" t="str">
        <f t="shared" si="7"/>
        <v/>
      </c>
    </row>
    <row r="36" spans="2:33" customFormat="1" x14ac:dyDescent="0.25">
      <c r="B36" s="132" t="s">
        <v>62</v>
      </c>
      <c r="C36" s="100"/>
      <c r="D36" s="141">
        <f t="shared" ref="D36:AG36" si="8">IF(AND(D35&lt;&gt;"",mfVd&lt;&gt;""),D35/mfVd,"")</f>
        <v>0.10871105159117532</v>
      </c>
      <c r="E36" s="141" t="str">
        <f t="shared" si="8"/>
        <v/>
      </c>
      <c r="F36" s="141" t="str">
        <f t="shared" si="8"/>
        <v/>
      </c>
      <c r="G36" s="141" t="str">
        <f t="shared" si="8"/>
        <v/>
      </c>
      <c r="H36" s="141" t="str">
        <f t="shared" si="8"/>
        <v/>
      </c>
      <c r="I36" s="141" t="str">
        <f t="shared" si="8"/>
        <v/>
      </c>
      <c r="J36" s="142" t="str">
        <f t="shared" si="8"/>
        <v/>
      </c>
      <c r="K36" s="143" t="str">
        <f t="shared" si="8"/>
        <v/>
      </c>
      <c r="L36" s="141" t="str">
        <f t="shared" si="8"/>
        <v/>
      </c>
      <c r="M36" s="141" t="str">
        <f t="shared" si="8"/>
        <v/>
      </c>
      <c r="N36" s="141" t="str">
        <f t="shared" si="8"/>
        <v/>
      </c>
      <c r="O36" s="141" t="str">
        <f t="shared" si="8"/>
        <v/>
      </c>
      <c r="P36" s="141" t="str">
        <f t="shared" si="8"/>
        <v/>
      </c>
      <c r="Q36" s="144" t="str">
        <f t="shared" si="8"/>
        <v/>
      </c>
      <c r="R36" s="143" t="str">
        <f t="shared" si="8"/>
        <v/>
      </c>
      <c r="S36" s="141" t="str">
        <f t="shared" si="8"/>
        <v/>
      </c>
      <c r="T36" s="141" t="str">
        <f t="shared" si="8"/>
        <v/>
      </c>
      <c r="U36" s="141" t="str">
        <f t="shared" si="8"/>
        <v/>
      </c>
      <c r="V36" s="141" t="str">
        <f t="shared" si="8"/>
        <v/>
      </c>
      <c r="W36" s="141" t="str">
        <f t="shared" si="8"/>
        <v/>
      </c>
      <c r="X36" s="144" t="str">
        <f t="shared" si="8"/>
        <v/>
      </c>
      <c r="Y36" s="143" t="str">
        <f t="shared" si="8"/>
        <v/>
      </c>
      <c r="Z36" s="141" t="str">
        <f t="shared" si="8"/>
        <v/>
      </c>
      <c r="AA36" s="141" t="str">
        <f t="shared" si="8"/>
        <v/>
      </c>
      <c r="AB36" s="141" t="str">
        <f t="shared" si="8"/>
        <v/>
      </c>
      <c r="AC36" s="141" t="str">
        <f t="shared" si="8"/>
        <v/>
      </c>
      <c r="AD36" s="141" t="str">
        <f t="shared" si="8"/>
        <v/>
      </c>
      <c r="AE36" s="141" t="str">
        <f t="shared" si="8"/>
        <v/>
      </c>
      <c r="AF36" s="141" t="str">
        <f t="shared" si="8"/>
        <v/>
      </c>
      <c r="AG36" s="142" t="str">
        <f t="shared" si="8"/>
        <v/>
      </c>
    </row>
    <row r="37" spans="2:33" customFormat="1" x14ac:dyDescent="0.25">
      <c r="B37" s="132" t="s">
        <v>63</v>
      </c>
      <c r="C37" s="100"/>
      <c r="D37" s="145"/>
      <c r="E37" s="145"/>
      <c r="F37" s="146"/>
      <c r="G37" s="146"/>
      <c r="H37" s="146"/>
      <c r="I37" s="146"/>
      <c r="J37" s="147"/>
      <c r="K37" s="146"/>
      <c r="L37" s="146"/>
      <c r="M37" s="146"/>
      <c r="N37" s="146"/>
      <c r="O37" s="146"/>
      <c r="P37" s="146"/>
      <c r="Q37" s="147"/>
      <c r="R37" s="145"/>
      <c r="S37" s="146"/>
      <c r="T37" s="146"/>
      <c r="U37" s="146"/>
      <c r="V37" s="146"/>
      <c r="W37" s="146"/>
      <c r="X37" s="147"/>
      <c r="Y37" s="145"/>
      <c r="Z37" s="146"/>
      <c r="AA37" s="146"/>
      <c r="AB37" s="146"/>
      <c r="AC37" s="146"/>
      <c r="AD37" s="146"/>
      <c r="AE37" s="146"/>
      <c r="AF37" s="146"/>
      <c r="AG37" s="147"/>
    </row>
    <row r="38" spans="2:33" customFormat="1" x14ac:dyDescent="0.25">
      <c r="B38" s="132" t="s">
        <v>64</v>
      </c>
      <c r="C38" s="100"/>
      <c r="D38" s="145"/>
      <c r="E38" s="145"/>
      <c r="F38" s="146"/>
      <c r="G38" s="146"/>
      <c r="H38" s="146"/>
      <c r="I38" s="146"/>
      <c r="J38" s="147"/>
      <c r="K38" s="146"/>
      <c r="L38" s="146"/>
      <c r="M38" s="146"/>
      <c r="N38" s="146"/>
      <c r="O38" s="146"/>
      <c r="P38" s="146"/>
      <c r="Q38" s="147"/>
      <c r="R38" s="145"/>
      <c r="S38" s="146"/>
      <c r="T38" s="146"/>
      <c r="U38" s="146"/>
      <c r="V38" s="146"/>
      <c r="W38" s="146"/>
      <c r="X38" s="147"/>
      <c r="Y38" s="145"/>
      <c r="Z38" s="146"/>
      <c r="AA38" s="146"/>
      <c r="AB38" s="146"/>
      <c r="AC38" s="146"/>
      <c r="AD38" s="146"/>
      <c r="AE38" s="146"/>
      <c r="AF38" s="146"/>
      <c r="AG38" s="147"/>
    </row>
    <row r="39" spans="2:33" customFormat="1" x14ac:dyDescent="0.25">
      <c r="B39" s="148" t="s">
        <v>65</v>
      </c>
      <c r="C39" s="100"/>
      <c r="D39" s="149"/>
      <c r="E39" s="149"/>
      <c r="F39" s="150"/>
      <c r="G39" s="150"/>
      <c r="H39" s="150"/>
      <c r="I39" s="150"/>
      <c r="J39" s="151"/>
      <c r="K39" s="150"/>
      <c r="L39" s="150"/>
      <c r="M39" s="150"/>
      <c r="N39" s="150"/>
      <c r="O39" s="150"/>
      <c r="P39" s="150"/>
      <c r="Q39" s="151"/>
      <c r="R39" s="149"/>
      <c r="S39" s="150"/>
      <c r="T39" s="150"/>
      <c r="U39" s="150"/>
      <c r="V39" s="150"/>
      <c r="W39" s="150"/>
      <c r="X39" s="151"/>
      <c r="Y39" s="149"/>
      <c r="Z39" s="150"/>
      <c r="AA39" s="150"/>
      <c r="AB39" s="150"/>
      <c r="AC39" s="150"/>
      <c r="AD39" s="150"/>
      <c r="AE39" s="150"/>
      <c r="AF39" s="150"/>
      <c r="AG39" s="151"/>
    </row>
    <row r="40" spans="2:33" customFormat="1" x14ac:dyDescent="0.25">
      <c r="B40" s="148" t="s">
        <v>66</v>
      </c>
      <c r="C40" s="100"/>
      <c r="D40" s="149"/>
      <c r="E40" s="149"/>
      <c r="F40" s="150"/>
      <c r="G40" s="150"/>
      <c r="H40" s="150"/>
      <c r="I40" s="150"/>
      <c r="J40" s="151"/>
      <c r="K40" s="150"/>
      <c r="L40" s="150"/>
      <c r="M40" s="150"/>
      <c r="N40" s="150"/>
      <c r="O40" s="150"/>
      <c r="P40" s="150"/>
      <c r="Q40" s="151"/>
      <c r="R40" s="149"/>
      <c r="S40" s="150"/>
      <c r="T40" s="150"/>
      <c r="U40" s="150"/>
      <c r="V40" s="150"/>
      <c r="W40" s="150"/>
      <c r="X40" s="151"/>
      <c r="Y40" s="149"/>
      <c r="Z40" s="150"/>
      <c r="AA40" s="150"/>
      <c r="AB40" s="150"/>
      <c r="AC40" s="150"/>
      <c r="AD40" s="150"/>
      <c r="AE40" s="150"/>
      <c r="AF40" s="150"/>
      <c r="AG40" s="151"/>
    </row>
    <row r="41" spans="2:33" customFormat="1" ht="34.5" customHeight="1" x14ac:dyDescent="0.25">
      <c r="B41" s="103" t="s">
        <v>67</v>
      </c>
      <c r="C41" s="100"/>
      <c r="D41" s="152"/>
      <c r="E41" s="152"/>
      <c r="F41" s="152"/>
      <c r="G41" s="152"/>
      <c r="H41" s="152"/>
      <c r="I41" s="152"/>
      <c r="J41" s="153"/>
      <c r="K41" s="152"/>
      <c r="L41" s="152"/>
      <c r="M41" s="152"/>
      <c r="N41" s="152"/>
      <c r="O41" s="152"/>
      <c r="P41" s="152"/>
      <c r="Q41" s="153"/>
      <c r="R41" s="152"/>
      <c r="S41" s="152"/>
      <c r="T41" s="152"/>
      <c r="U41" s="152"/>
      <c r="V41" s="152"/>
      <c r="W41" s="152"/>
      <c r="X41" s="153"/>
      <c r="Y41" s="152"/>
      <c r="Z41" s="152"/>
      <c r="AA41" s="152"/>
      <c r="AB41" s="152"/>
      <c r="AC41" s="152"/>
      <c r="AD41" s="152"/>
      <c r="AE41" s="152"/>
      <c r="AF41" s="152"/>
      <c r="AG41" s="153"/>
    </row>
    <row r="42" spans="2:33" customFormat="1" ht="57.75" customHeight="1" x14ac:dyDescent="0.25">
      <c r="B42" s="103" t="s">
        <v>68</v>
      </c>
      <c r="C42" s="100"/>
      <c r="D42" s="154" t="s">
        <v>69</v>
      </c>
      <c r="E42" s="155"/>
      <c r="F42" s="155"/>
      <c r="G42" s="155"/>
      <c r="H42" s="155"/>
      <c r="I42" s="155"/>
      <c r="J42" s="156"/>
      <c r="Q42" s="157"/>
      <c r="X42" s="157"/>
      <c r="AG42" s="157"/>
    </row>
    <row r="43" spans="2:33" customFormat="1" ht="57.75" customHeight="1" thickBot="1" x14ac:dyDescent="0.3">
      <c r="B43" s="158" t="s">
        <v>70</v>
      </c>
      <c r="C43" s="159"/>
      <c r="D43" s="160"/>
      <c r="E43" s="161" t="s">
        <v>71</v>
      </c>
      <c r="F43" s="162" t="s">
        <v>72</v>
      </c>
      <c r="G43" s="163"/>
      <c r="H43" s="163"/>
      <c r="I43" s="163"/>
      <c r="J43" s="164"/>
      <c r="Q43" s="165"/>
      <c r="X43" s="165"/>
      <c r="AG43" s="165"/>
    </row>
    <row r="44" spans="2:33" customFormat="1" ht="16.5" thickTop="1" thickBot="1" x14ac:dyDescent="0.3">
      <c r="B44" s="166"/>
      <c r="C44" s="167"/>
      <c r="D44" s="168"/>
      <c r="E44" s="168"/>
      <c r="F44" s="168"/>
      <c r="G44" s="168"/>
      <c r="H44" s="168"/>
      <c r="I44" s="168"/>
      <c r="J44" s="169"/>
      <c r="K44" s="168"/>
      <c r="L44" s="168"/>
      <c r="M44" s="168"/>
      <c r="N44" s="168"/>
      <c r="O44" s="168"/>
      <c r="P44" s="168"/>
      <c r="Q44" s="169"/>
      <c r="R44" s="168"/>
      <c r="S44" s="168"/>
      <c r="T44" s="168"/>
      <c r="U44" s="168"/>
      <c r="V44" s="168"/>
      <c r="W44" s="168"/>
      <c r="X44" s="169"/>
      <c r="Y44" s="168"/>
      <c r="Z44" s="168"/>
      <c r="AA44" s="168"/>
      <c r="AB44" s="168"/>
      <c r="AC44" s="168"/>
      <c r="AD44" s="168"/>
      <c r="AE44" s="168"/>
      <c r="AF44" s="168"/>
      <c r="AG44" s="169"/>
    </row>
    <row r="45" spans="2:33" customFormat="1" ht="20.100000000000001" customHeight="1" thickTop="1" x14ac:dyDescent="0.25">
      <c r="B45" s="170" t="s">
        <v>73</v>
      </c>
      <c r="C45" s="171"/>
      <c r="D45" s="172"/>
      <c r="E45" s="172"/>
      <c r="F45" s="172"/>
      <c r="G45" s="172"/>
      <c r="H45" s="172"/>
      <c r="I45" s="172"/>
      <c r="J45" s="173"/>
      <c r="K45" s="172"/>
      <c r="L45" s="172"/>
      <c r="M45" s="172"/>
      <c r="N45" s="172"/>
      <c r="O45" s="172"/>
      <c r="P45" s="172"/>
      <c r="Q45" s="173"/>
      <c r="R45" s="172"/>
      <c r="S45" s="172"/>
      <c r="T45" s="172"/>
      <c r="U45" s="172"/>
      <c r="V45" s="172"/>
      <c r="W45" s="172"/>
      <c r="X45" s="173"/>
      <c r="Y45" s="172"/>
      <c r="Z45" s="172"/>
      <c r="AA45" s="172"/>
      <c r="AB45" s="172"/>
      <c r="AC45" s="172"/>
      <c r="AD45" s="172"/>
      <c r="AE45" s="172"/>
      <c r="AF45" s="172"/>
      <c r="AG45" s="173"/>
    </row>
    <row r="46" spans="2:33" customFormat="1" ht="20.100000000000001" customHeight="1" x14ac:dyDescent="0.25">
      <c r="B46" s="174"/>
      <c r="C46" s="175"/>
      <c r="D46" s="176"/>
      <c r="E46" s="176"/>
      <c r="F46" s="176"/>
      <c r="G46" s="176"/>
      <c r="H46" s="176"/>
      <c r="I46" s="176"/>
      <c r="J46" s="177"/>
      <c r="K46" s="176"/>
      <c r="L46" s="176"/>
      <c r="M46" s="176"/>
      <c r="N46" s="176"/>
      <c r="O46" s="176"/>
      <c r="P46" s="176"/>
      <c r="Q46" s="177"/>
      <c r="R46" s="176"/>
      <c r="S46" s="176"/>
      <c r="T46" s="176"/>
      <c r="U46" s="176"/>
      <c r="V46" s="176"/>
      <c r="W46" s="176"/>
      <c r="X46" s="177"/>
      <c r="Y46" s="176"/>
      <c r="Z46" s="176"/>
      <c r="AA46" s="176"/>
      <c r="AB46" s="176"/>
      <c r="AC46" s="176"/>
      <c r="AD46" s="176"/>
      <c r="AE46" s="176"/>
      <c r="AF46" s="176"/>
      <c r="AG46" s="177"/>
    </row>
    <row r="47" spans="2:33" customFormat="1" ht="20.100000000000001" customHeight="1" x14ac:dyDescent="0.25">
      <c r="B47" s="174"/>
      <c r="C47" s="175"/>
      <c r="D47" s="176"/>
      <c r="E47" s="176"/>
      <c r="F47" s="176"/>
      <c r="G47" s="176"/>
      <c r="H47" s="176"/>
      <c r="I47" s="176"/>
      <c r="J47" s="177"/>
      <c r="K47" s="176"/>
      <c r="L47" s="176"/>
      <c r="M47" s="176"/>
      <c r="N47" s="176"/>
      <c r="O47" s="176"/>
      <c r="P47" s="176"/>
      <c r="Q47" s="177"/>
      <c r="R47" s="176"/>
      <c r="S47" s="176"/>
      <c r="T47" s="176"/>
      <c r="U47" s="176"/>
      <c r="V47" s="176"/>
      <c r="W47" s="176"/>
      <c r="X47" s="177"/>
      <c r="Y47" s="176"/>
      <c r="Z47" s="176"/>
      <c r="AA47" s="176"/>
      <c r="AB47" s="176"/>
      <c r="AC47" s="176"/>
      <c r="AD47" s="176"/>
      <c r="AE47" s="176"/>
      <c r="AF47" s="176"/>
      <c r="AG47" s="177"/>
    </row>
    <row r="48" spans="2:33" customFormat="1" ht="20.100000000000001" customHeight="1" x14ac:dyDescent="0.25">
      <c r="B48" s="174"/>
      <c r="C48" s="175"/>
      <c r="D48" s="176"/>
      <c r="E48" s="178"/>
      <c r="J48" s="177"/>
      <c r="Q48" s="157"/>
      <c r="X48" s="157"/>
      <c r="AG48" s="177"/>
    </row>
    <row r="49" spans="2:33" customFormat="1" ht="20.100000000000001" customHeight="1" thickBot="1" x14ac:dyDescent="0.3">
      <c r="B49" s="179"/>
      <c r="C49" s="180"/>
      <c r="D49" s="181"/>
      <c r="E49" s="181"/>
      <c r="F49" s="180"/>
      <c r="G49" s="180"/>
      <c r="H49" s="181"/>
      <c r="I49" s="181"/>
      <c r="J49" s="182"/>
      <c r="K49" s="181"/>
      <c r="L49" s="181"/>
      <c r="M49" s="181"/>
      <c r="N49" s="181"/>
      <c r="O49" s="181"/>
      <c r="P49" s="181"/>
      <c r="Q49" s="182"/>
      <c r="R49" s="181"/>
      <c r="S49" s="181"/>
      <c r="T49" s="181"/>
      <c r="U49" s="181"/>
      <c r="V49" s="181"/>
      <c r="W49" s="181"/>
      <c r="X49" s="182"/>
      <c r="Y49" s="181"/>
      <c r="Z49" s="181"/>
      <c r="AA49" s="181"/>
      <c r="AB49" s="181"/>
      <c r="AC49" s="181"/>
      <c r="AD49" s="181"/>
      <c r="AE49" s="181"/>
      <c r="AF49" s="181"/>
      <c r="AG49" s="182"/>
    </row>
    <row r="50" spans="2:33" customFormat="1" ht="15.75" thickTop="1" x14ac:dyDescent="0.25"/>
    <row r="53" spans="2:33" x14ac:dyDescent="0.25">
      <c r="B53" s="183" t="s">
        <v>74</v>
      </c>
      <c r="D53" s="184" t="s">
        <v>75</v>
      </c>
      <c r="F53" s="184" t="s">
        <v>76</v>
      </c>
      <c r="H53" s="184" t="s">
        <v>77</v>
      </c>
      <c r="J53" s="184" t="s">
        <v>78</v>
      </c>
      <c r="L53" s="184" t="s">
        <v>79</v>
      </c>
      <c r="M53" s="184" t="s">
        <v>80</v>
      </c>
      <c r="N53" s="184" t="s">
        <v>81</v>
      </c>
      <c r="O53" s="184" t="s">
        <v>82</v>
      </c>
      <c r="Q53" s="184" t="s">
        <v>83</v>
      </c>
      <c r="S53" s="184" t="s">
        <v>84</v>
      </c>
      <c r="U53" s="184" t="s">
        <v>85</v>
      </c>
      <c r="W53" s="184" t="s">
        <v>86</v>
      </c>
    </row>
    <row r="54" spans="2:33" x14ac:dyDescent="0.25">
      <c r="D54" s="184">
        <v>6</v>
      </c>
      <c r="F54" s="184" t="s">
        <v>87</v>
      </c>
      <c r="H54" s="184">
        <v>750</v>
      </c>
      <c r="J54" s="184">
        <v>750</v>
      </c>
      <c r="L54" s="184" t="s">
        <v>88</v>
      </c>
      <c r="M54" s="184">
        <v>0</v>
      </c>
      <c r="N54" s="184" t="s">
        <v>89</v>
      </c>
      <c r="O54" s="185">
        <f>IF(mfManualCrCl&lt;&gt;"", mfManualCrCl, IF(mfCrCl="","",IF(mfCrCl&gt;150, 150, mfCrCl)))</f>
        <v>147.74739583333334</v>
      </c>
      <c r="Q54" s="184" t="s">
        <v>13</v>
      </c>
      <c r="S54" s="184">
        <v>0.65</v>
      </c>
      <c r="U54" s="184">
        <v>1000</v>
      </c>
      <c r="W54" s="184" t="b">
        <v>1</v>
      </c>
    </row>
    <row r="55" spans="2:33" x14ac:dyDescent="0.25">
      <c r="D55" s="184">
        <v>8</v>
      </c>
      <c r="F55" s="184" t="s">
        <v>90</v>
      </c>
      <c r="H55" s="184">
        <v>1000</v>
      </c>
      <c r="J55" s="184">
        <v>1000</v>
      </c>
      <c r="L55" s="184">
        <v>15</v>
      </c>
      <c r="M55" s="184">
        <v>15</v>
      </c>
      <c r="N55" s="184" t="s">
        <v>81</v>
      </c>
      <c r="O55" s="184">
        <v>2</v>
      </c>
      <c r="Q55" s="184" t="s">
        <v>91</v>
      </c>
      <c r="S55" s="184">
        <v>0.6</v>
      </c>
      <c r="U55" s="184">
        <v>750</v>
      </c>
    </row>
    <row r="56" spans="2:33" x14ac:dyDescent="0.25">
      <c r="D56" s="184">
        <v>12</v>
      </c>
      <c r="H56" s="184">
        <v>1250</v>
      </c>
      <c r="J56" s="184">
        <v>1250</v>
      </c>
      <c r="L56" s="184">
        <v>30</v>
      </c>
      <c r="M56" s="184">
        <v>15</v>
      </c>
      <c r="N56" s="184" t="s">
        <v>92</v>
      </c>
      <c r="O56" s="184">
        <f>M61*2-SUM(O54:O55)</f>
        <v>150.25260416666666</v>
      </c>
      <c r="S56" s="184">
        <v>0.7</v>
      </c>
      <c r="U56" s="184">
        <v>600</v>
      </c>
    </row>
    <row r="57" spans="2:33" x14ac:dyDescent="0.25">
      <c r="D57" s="184">
        <v>18</v>
      </c>
      <c r="H57" s="184">
        <v>1500</v>
      </c>
      <c r="J57" s="184">
        <v>1500</v>
      </c>
      <c r="L57" s="184">
        <v>45</v>
      </c>
      <c r="M57" s="184">
        <v>15</v>
      </c>
      <c r="S57" s="184">
        <v>0.5</v>
      </c>
    </row>
    <row r="58" spans="2:33" x14ac:dyDescent="0.25">
      <c r="D58" s="184">
        <v>24</v>
      </c>
      <c r="H58" s="184">
        <v>1750</v>
      </c>
      <c r="J58" s="184">
        <v>1750</v>
      </c>
      <c r="L58" s="184">
        <v>60</v>
      </c>
      <c r="M58" s="184">
        <v>15</v>
      </c>
      <c r="O58" s="186">
        <f>IF(mfManualCrCl&lt;&gt;"", mfManualCrCl, mfCrCl)</f>
        <v>147.74739583333334</v>
      </c>
    </row>
    <row r="59" spans="2:33" x14ac:dyDescent="0.25">
      <c r="D59" s="184">
        <v>36</v>
      </c>
      <c r="H59" s="184">
        <v>2000</v>
      </c>
      <c r="J59" s="184">
        <v>2000</v>
      </c>
      <c r="L59" s="184">
        <v>90</v>
      </c>
      <c r="M59" s="184">
        <v>30</v>
      </c>
    </row>
    <row r="60" spans="2:33" x14ac:dyDescent="0.25">
      <c r="D60" s="184">
        <v>48</v>
      </c>
      <c r="H60" s="184">
        <v>2250</v>
      </c>
      <c r="L60" s="184">
        <v>150</v>
      </c>
      <c r="M60" s="184">
        <v>60</v>
      </c>
    </row>
    <row r="61" spans="2:33" x14ac:dyDescent="0.25">
      <c r="D61" s="184">
        <v>72</v>
      </c>
      <c r="H61" s="184">
        <v>2500</v>
      </c>
      <c r="L61" s="184" t="s">
        <v>93</v>
      </c>
      <c r="M61" s="184">
        <f>SUM(M54:M60)</f>
        <v>150</v>
      </c>
    </row>
    <row r="62" spans="2:33" x14ac:dyDescent="0.25">
      <c r="H62" s="184">
        <v>2750</v>
      </c>
    </row>
    <row r="63" spans="2:33" x14ac:dyDescent="0.25">
      <c r="H63" s="184">
        <v>3000</v>
      </c>
    </row>
  </sheetData>
  <mergeCells count="11">
    <mergeCell ref="D8:E8"/>
    <mergeCell ref="O8:P8"/>
    <mergeCell ref="B11:J11"/>
    <mergeCell ref="D42:J42"/>
    <mergeCell ref="C2:P2"/>
    <mergeCell ref="D5:E5"/>
    <mergeCell ref="O5:P5"/>
    <mergeCell ref="D6:E6"/>
    <mergeCell ref="O6:P6"/>
    <mergeCell ref="D7:E7"/>
    <mergeCell ref="O7:P7"/>
  </mergeCells>
  <dataValidations count="6">
    <dataValidation type="list" allowBlank="1" showDropDown="1" showInputMessage="1" showErrorMessage="1" sqref="S8" xr:uid="{5D2DCACE-3B6E-4231-BE56-CDC3F6D8E2F8}">
      <formula1>INDIRECT("mfInfRates")</formula1>
    </dataValidation>
    <dataValidation type="list" allowBlank="1" showDropDown="1" showInputMessage="1" showErrorMessage="1" sqref="S6" xr:uid="{FE3D9914-5808-4162-9AC0-82B27C6367B1}">
      <formula1>INDIRECT("mfVdOptions")</formula1>
    </dataValidation>
    <dataValidation type="list" allowBlank="1" showInputMessage="1" showErrorMessage="1" sqref="S5" xr:uid="{7ACE3388-86BC-4459-8497-20DB42AEFDE5}">
      <formula1>INDIRECT("mfPKEquations")</formula1>
    </dataValidation>
    <dataValidation type="list" allowBlank="1" showInputMessage="1" showErrorMessage="1" sqref="G6" xr:uid="{3AA223E1-E19D-4D29-A2D8-85384AD5CCD8}">
      <formula1>INDIRECT("GenderChar")</formula1>
    </dataValidation>
    <dataValidation type="list" allowBlank="1" showInputMessage="1" showErrorMessage="1" sqref="D15:AG15" xr:uid="{2AE61B04-68AD-4694-BED8-04E941D59507}">
      <formula1>INDIRECT("Frequencies")</formula1>
    </dataValidation>
    <dataValidation type="list" allowBlank="1" showInputMessage="1" showErrorMessage="1" sqref="D14:AG14" xr:uid="{FE48C11F-F43A-48EE-B7DE-8561142A5843}">
      <formula1>INDIRECT("MDDoses")</formula1>
    </dataValidation>
  </dataValidations>
  <pageMargins left="0.25" right="0.25" top="0.75" bottom="0.75" header="0.3" footer="0.3"/>
  <pageSetup scale="8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1190625</xdr:colOff>
                    <xdr:row>11</xdr:row>
                    <xdr:rowOff>9525</xdr:rowOff>
                  </from>
                  <to>
                    <xdr:col>1</xdr:col>
                    <xdr:colOff>2638425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8"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43</vt:i4>
      </vt:variant>
    </vt:vector>
  </HeadingPairs>
  <TitlesOfParts>
    <vt:vector size="44" baseType="lpstr">
      <vt:lpstr>MonitoringForm</vt:lpstr>
      <vt:lpstr>DifferentDay</vt:lpstr>
      <vt:lpstr>HtCm</vt:lpstr>
      <vt:lpstr>mfABW</vt:lpstr>
      <vt:lpstr>mfAdjBW</vt:lpstr>
      <vt:lpstr>mfAge</vt:lpstr>
      <vt:lpstr>MonitoringForm!mfBMI</vt:lpstr>
      <vt:lpstr>mfCLVanco</vt:lpstr>
      <vt:lpstr>mfCrCl</vt:lpstr>
      <vt:lpstr>mfFIN</vt:lpstr>
      <vt:lpstr>mfFirstName</vt:lpstr>
      <vt:lpstr>mfGender</vt:lpstr>
      <vt:lpstr>mfHt</vt:lpstr>
      <vt:lpstr>mfIBW</vt:lpstr>
      <vt:lpstr>MonitoringForm!mfIndication</vt:lpstr>
      <vt:lpstr>mfInfRate</vt:lpstr>
      <vt:lpstr>mfKe</vt:lpstr>
      <vt:lpstr>mfLastName</vt:lpstr>
      <vt:lpstr>mfLDDose</vt:lpstr>
      <vt:lpstr>mfLDScheduledAt</vt:lpstr>
      <vt:lpstr>mfManualCrCl</vt:lpstr>
      <vt:lpstr>mfManualSCr</vt:lpstr>
      <vt:lpstr>mfMDDose</vt:lpstr>
      <vt:lpstr>mfMDScheduledAt</vt:lpstr>
      <vt:lpstr>mfMDTau</vt:lpstr>
      <vt:lpstr>mfMIC</vt:lpstr>
      <vt:lpstr>mfMRN</vt:lpstr>
      <vt:lpstr>mfPeak</vt:lpstr>
      <vt:lpstr>mfPKEqn</vt:lpstr>
      <vt:lpstr>mfPopAUC</vt:lpstr>
      <vt:lpstr>MonitoringForm!mfProvider</vt:lpstr>
      <vt:lpstr>mfSCr</vt:lpstr>
      <vt:lpstr>mfSCr2</vt:lpstr>
      <vt:lpstr>mfT1_2</vt:lpstr>
      <vt:lpstr>mfTarget</vt:lpstr>
      <vt:lpstr>mfTBW_IBW</vt:lpstr>
      <vt:lpstr>mfTrough</vt:lpstr>
      <vt:lpstr>mfUsing</vt:lpstr>
      <vt:lpstr>mfVd</vt:lpstr>
      <vt:lpstr>mfVd_Lkg</vt:lpstr>
      <vt:lpstr>mfWt</vt:lpstr>
      <vt:lpstr>mfWtUsed</vt:lpstr>
      <vt:lpstr>OneLiner</vt:lpstr>
      <vt:lpstr>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Pessa</dc:creator>
  <cp:lastModifiedBy>Kurt Pessa</cp:lastModifiedBy>
  <dcterms:created xsi:type="dcterms:W3CDTF">2020-12-07T19:09:31Z</dcterms:created>
  <dcterms:modified xsi:type="dcterms:W3CDTF">2020-12-07T19:09:32Z</dcterms:modified>
</cp:coreProperties>
</file>