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8_{72B61F41-198F-472D-9E70-753FD6329ADC}" xr6:coauthVersionLast="45" xr6:coauthVersionMax="45" xr10:uidLastSave="{00000000-0000-0000-0000-000000000000}"/>
  <bookViews>
    <workbookView xWindow="2325" yWindow="825" windowWidth="20265" windowHeight="19500" xr2:uid="{745FC768-66CE-41AF-9A52-C25B944F0CF4}"/>
  </bookViews>
  <sheets>
    <sheet name="MonitoringForm" sheetId="1" r:id="rId1"/>
  </sheets>
  <externalReferences>
    <externalReference r:id="rId2"/>
  </externalReference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D12" i="1" s="1"/>
  <c r="I8" i="1"/>
  <c r="G8" i="1"/>
  <c r="U7" i="1"/>
  <c r="I7" i="1"/>
  <c r="K6" i="1" s="1"/>
  <c r="I6" i="1"/>
  <c r="M5" i="1"/>
  <c r="I9" i="1" l="1"/>
  <c r="M7" i="1"/>
  <c r="M6" i="1" s="1"/>
  <c r="M9" i="1" s="1" a="1"/>
  <c r="M9" i="1" s="1"/>
  <c r="O54" i="1" s="1"/>
  <c r="O56" i="1" s="1"/>
  <c r="K5" i="1"/>
  <c r="E13" i="1"/>
  <c r="C2" i="1" l="1"/>
  <c r="O58" i="1"/>
  <c r="U8" i="1"/>
  <c r="U5" i="1" s="1"/>
  <c r="U6" i="1" s="1"/>
  <c r="F13" i="1"/>
  <c r="E12" i="1"/>
  <c r="Z33" i="1"/>
  <c r="Z35" i="1" s="1"/>
  <c r="Z36" i="1" s="1"/>
  <c r="Z22" i="1" s="1"/>
  <c r="N33" i="1"/>
  <c r="N35" i="1" s="1"/>
  <c r="N36" i="1" s="1"/>
  <c r="N22" i="1" s="1"/>
  <c r="AF33" i="1"/>
  <c r="AF35" i="1" s="1"/>
  <c r="AF36" i="1" s="1"/>
  <c r="AF22" i="1" s="1"/>
  <c r="AD33" i="1"/>
  <c r="AD35" i="1" s="1"/>
  <c r="AD36" i="1" s="1"/>
  <c r="AD22" i="1" s="1"/>
  <c r="R33" i="1"/>
  <c r="R35" i="1" s="1"/>
  <c r="R36" i="1" s="1"/>
  <c r="R22" i="1" s="1"/>
  <c r="Q33" i="1"/>
  <c r="Q35" i="1" s="1"/>
  <c r="Q36" i="1" s="1"/>
  <c r="Q22" i="1" s="1"/>
  <c r="Y33" i="1"/>
  <c r="Y35" i="1" s="1"/>
  <c r="Y36" i="1" s="1"/>
  <c r="Y22" i="1" s="1"/>
  <c r="M33" i="1"/>
  <c r="M35" i="1" s="1"/>
  <c r="M36" i="1" s="1"/>
  <c r="M22" i="1" s="1"/>
  <c r="W33" i="1"/>
  <c r="W35" i="1" s="1"/>
  <c r="W36" i="1" s="1"/>
  <c r="W22" i="1" s="1"/>
  <c r="K33" i="1"/>
  <c r="K35" i="1" s="1"/>
  <c r="K36" i="1" s="1"/>
  <c r="K22" i="1" s="1"/>
  <c r="J33" i="1"/>
  <c r="J35" i="1" s="1"/>
  <c r="J36" i="1" s="1"/>
  <c r="J22" i="1" s="1"/>
  <c r="AG33" i="1"/>
  <c r="AG35" i="1" s="1"/>
  <c r="AG36" i="1" s="1"/>
  <c r="AG22" i="1" s="1"/>
  <c r="I33" i="1"/>
  <c r="I35" i="1" s="1"/>
  <c r="I36" i="1" s="1"/>
  <c r="I22" i="1" s="1"/>
  <c r="T33" i="1"/>
  <c r="T35" i="1" s="1"/>
  <c r="T36" i="1" s="1"/>
  <c r="T22" i="1" s="1"/>
  <c r="AE33" i="1"/>
  <c r="AE35" i="1" s="1"/>
  <c r="AE36" i="1" s="1"/>
  <c r="AE22" i="1" s="1"/>
  <c r="G33" i="1"/>
  <c r="G35" i="1" s="1"/>
  <c r="G36" i="1" s="1"/>
  <c r="G22" i="1" s="1"/>
  <c r="E33" i="1"/>
  <c r="E35" i="1" s="1"/>
  <c r="E36" i="1" s="1"/>
  <c r="E22" i="1" s="1"/>
  <c r="X33" i="1"/>
  <c r="X35" i="1" s="1"/>
  <c r="X36" i="1" s="1"/>
  <c r="X22" i="1" s="1"/>
  <c r="L33" i="1"/>
  <c r="L35" i="1" s="1"/>
  <c r="L36" i="1" s="1"/>
  <c r="L22" i="1" s="1"/>
  <c r="V33" i="1"/>
  <c r="V35" i="1" s="1"/>
  <c r="V36" i="1" s="1"/>
  <c r="V22" i="1" s="1"/>
  <c r="U33" i="1"/>
  <c r="U35" i="1" s="1"/>
  <c r="U36" i="1" s="1"/>
  <c r="U22" i="1" s="1"/>
  <c r="H33" i="1"/>
  <c r="H35" i="1" s="1"/>
  <c r="H36" i="1" s="1"/>
  <c r="H22" i="1" s="1"/>
  <c r="S33" i="1"/>
  <c r="S35" i="1" s="1"/>
  <c r="S36" i="1" s="1"/>
  <c r="S22" i="1" s="1"/>
  <c r="F33" i="1"/>
  <c r="F35" i="1" s="1"/>
  <c r="F36" i="1" s="1"/>
  <c r="F22" i="1" s="1"/>
  <c r="AB33" i="1"/>
  <c r="AB35" i="1" s="1"/>
  <c r="AB36" i="1" s="1"/>
  <c r="AB22" i="1" s="1"/>
  <c r="P33" i="1"/>
  <c r="P35" i="1" s="1"/>
  <c r="P36" i="1" s="1"/>
  <c r="P22" i="1" s="1"/>
  <c r="D33" i="1"/>
  <c r="D35" i="1" s="1"/>
  <c r="D36" i="1" s="1"/>
  <c r="D22" i="1" s="1"/>
  <c r="AC33" i="1"/>
  <c r="AC35" i="1" s="1"/>
  <c r="AC36" i="1" s="1"/>
  <c r="AC22" i="1" s="1"/>
  <c r="AA33" i="1"/>
  <c r="AA35" i="1" s="1"/>
  <c r="AA36" i="1" s="1"/>
  <c r="AA22" i="1" s="1"/>
  <c r="O33" i="1"/>
  <c r="O35" i="1" s="1"/>
  <c r="O36" i="1" s="1"/>
  <c r="O22" i="1" s="1"/>
  <c r="U23" i="1" l="1"/>
  <c r="U21" i="1" s="1"/>
  <c r="W23" i="1"/>
  <c r="W21" i="1" s="1"/>
  <c r="H23" i="1"/>
  <c r="H21" i="1" s="1"/>
  <c r="V23" i="1"/>
  <c r="V21" i="1" s="1"/>
  <c r="M23" i="1"/>
  <c r="M21" i="1" s="1"/>
  <c r="K23" i="1"/>
  <c r="K21" i="1" s="1"/>
  <c r="L23" i="1"/>
  <c r="L21" i="1" s="1"/>
  <c r="Y23" i="1"/>
  <c r="Y21" i="1" s="1"/>
  <c r="O23" i="1"/>
  <c r="O21" i="1" s="1"/>
  <c r="X23" i="1"/>
  <c r="X21" i="1" s="1"/>
  <c r="Q23" i="1"/>
  <c r="Q21" i="1" s="1"/>
  <c r="AA23" i="1"/>
  <c r="AA21" i="1" s="1"/>
  <c r="E23" i="1"/>
  <c r="E21" i="1" s="1"/>
  <c r="R23" i="1"/>
  <c r="R21" i="1" s="1"/>
  <c r="AC23" i="1"/>
  <c r="AC21" i="1" s="1"/>
  <c r="G23" i="1"/>
  <c r="G21" i="1" s="1"/>
  <c r="AD23" i="1"/>
  <c r="AD21" i="1" s="1"/>
  <c r="AF23" i="1"/>
  <c r="AF21" i="1" s="1"/>
  <c r="P23" i="1"/>
  <c r="P21" i="1" s="1"/>
  <c r="T23" i="1"/>
  <c r="T21" i="1" s="1"/>
  <c r="N23" i="1"/>
  <c r="N21" i="1" s="1"/>
  <c r="AE23" i="1"/>
  <c r="AE21" i="1" s="1"/>
  <c r="I23" i="1"/>
  <c r="I21" i="1" s="1"/>
  <c r="Z23" i="1"/>
  <c r="Z21" i="1" s="1"/>
  <c r="D23" i="1"/>
  <c r="F23" i="1"/>
  <c r="F21" i="1" s="1"/>
  <c r="AG23" i="1"/>
  <c r="AG21" i="1" s="1"/>
  <c r="AB23" i="1"/>
  <c r="AB21" i="1" s="1"/>
  <c r="S23" i="1"/>
  <c r="S21" i="1" s="1"/>
  <c r="J23" i="1"/>
  <c r="J21" i="1" s="1"/>
  <c r="G13" i="1"/>
  <c r="F12" i="1"/>
  <c r="G12" i="1" l="1"/>
  <c r="H13" i="1"/>
  <c r="H12" i="1" l="1"/>
  <c r="I13" i="1"/>
  <c r="J13" i="1" l="1"/>
  <c r="I12" i="1"/>
  <c r="J12" i="1" l="1"/>
  <c r="K13" i="1"/>
  <c r="K12" i="1" l="1"/>
  <c r="L13" i="1"/>
  <c r="L12" i="1" l="1"/>
  <c r="M13" i="1"/>
  <c r="N13" i="1" l="1"/>
  <c r="M12" i="1"/>
  <c r="O13" i="1" l="1"/>
  <c r="N12" i="1"/>
  <c r="P13" i="1" l="1"/>
  <c r="O12" i="1"/>
  <c r="P12" i="1" l="1"/>
  <c r="Q13" i="1"/>
  <c r="R13" i="1" l="1"/>
  <c r="Q12" i="1"/>
  <c r="S13" i="1" l="1"/>
  <c r="R12" i="1"/>
  <c r="T13" i="1" l="1"/>
  <c r="S12" i="1"/>
  <c r="T12" i="1" l="1"/>
  <c r="U13" i="1"/>
  <c r="V13" i="1" l="1"/>
  <c r="U12" i="1"/>
  <c r="V12" i="1" l="1"/>
  <c r="W13" i="1"/>
  <c r="W12" i="1" l="1"/>
  <c r="X13" i="1"/>
  <c r="X12" i="1" l="1"/>
  <c r="Y13" i="1"/>
  <c r="Z13" i="1" l="1"/>
  <c r="Y12" i="1"/>
  <c r="AA13" i="1" l="1"/>
  <c r="Z12" i="1"/>
  <c r="AB13" i="1" l="1"/>
  <c r="AA12" i="1"/>
  <c r="AB12" i="1" l="1"/>
  <c r="AC13" i="1"/>
  <c r="AD13" i="1" l="1"/>
  <c r="AC12" i="1"/>
  <c r="AE13" i="1" l="1"/>
  <c r="AD12" i="1"/>
  <c r="AF13" i="1" l="1"/>
  <c r="AE12" i="1"/>
  <c r="AF12" i="1" l="1"/>
  <c r="AG13" i="1"/>
  <c r="AG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<sst xmlns="http://schemas.openxmlformats.org/spreadsheetml/2006/main" count="104" uniqueCount="98">
  <si>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</si>
  <si>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</si>
  <si>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</si>
  <si>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</si>
  <si>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</si>
  <si>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</si>
  <si>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</si>
  <si>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</si>
  <si>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</si>
  <si>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</si>
  <si>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</si>
  <si>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</si>
  <si>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</si>
  <si>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</si>
  <si>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</si>
  <si>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</si>
  <si>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</si>
  <si>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</si>
  <si>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</si>
  <si>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</si>
  <si>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</si>
  <si>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</si>
  <si>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</si>
  <si>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</si>
  <si>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</si>
  <si>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</si>
  <si>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</si>
  <si>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</si>
  <si>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</si>
  <si>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</si>
  <si>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</si>
  <si>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</si>
  <si>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</si>
  <si>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</si>
  <si>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</si>
  <si>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</si>
  <si>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</si>
  <si>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</si>
  <si>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</si>
  <si>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</si>
  <si>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</si>
  <si>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</si>
  <si>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</si>
  <si>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</si>
  <si>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</si>
  <si>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</si>
  <si>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</si>
  <si>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</si>
  <si>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</si>
  <si>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</si>
  <si>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</si>
  <si>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</si>
  <si>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</si>
  <si>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</si>
  <si>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</si>
  <si>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</si>
  <si>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</si>
  <si>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</si>
  <si>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</si>
  <si>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</si>
  <si>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</si>
  <si>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</si>
  <si>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</si>
  <si>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</si>
  <si>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</si>
  <si>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</si>
  <si>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</si>
  <si>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</si>
  <si>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</si>
  <si>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</si>
  <si>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</si>
  <si>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</si>
  <si>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</si>
  <si>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</si>
  <si>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</si>
  <si>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</si>
  <si>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</si>
  <si>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</si>
  <si>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</si>
  <si>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</si>
  <si>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</si>
  <si>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</si>
  <si>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</si>
  <si>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</si>
  <si>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</si>
  <si>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</si>
  <si>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</si>
  <si>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</si>
  <si>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</si>
  <si>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</si>
  <si>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</si>
  <si>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</si>
  <si>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</si>
  <si>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</si>
  <si>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Cat</t>
  </si>
  <si>
    <t>Tom</t>
  </si>
  <si>
    <t>Nikola Tesla</t>
  </si>
  <si>
    <t>Bacteremia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</si>
</sst>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89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2" fillId="2" borderId="2" xfId="2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0" borderId="40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</cellXfs>
  <cellStyles count="6">
    <cellStyle name="Calculation" xfId="3" builtinId="22"/>
    <cellStyle name="Input" xfId="1" builtinId="20"/>
    <cellStyle name="Input 2" xfId="5" xr:uid="{BF60495C-3E64-4382-9C86-BBF39E539A3F}"/>
    <cellStyle name="Normal" xfId="0" builtinId="0"/>
    <cellStyle name="Not Applicable" xfId="4" xr:uid="{E7D3541F-ED37-4EB2-AC95-11E2EC176EF8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06-4C23-8232-AA7D0F231E53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06-4C23-8232-AA7D0F231E53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06-4C23-8232-AA7D0F231E53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06-4C23-8232-AA7D0F231E53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06-4C23-8232-AA7D0F231E53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06-4C23-8232-AA7D0F231E53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C06-4C23-8232-AA7D0F231E53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CC06-4C23-8232-AA7D0F23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C06-4C23-8232-AA7D0F231E53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C06-4C23-8232-AA7D0F231E53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C06-4C23-8232-AA7D0F231E5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C06-4C23-8232-AA7D0F231E53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60.6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{18605852-19E4-471F-A440-416D307C2A7E}</c15:txfldGUID>
                      <c15:f>MonitoringForm!$O$58</c15:f>
                      <c15:dlblFieldTableCache>
                        <c:ptCount val="1"/>
                        <c:pt idx="0">
                          <c:v>60.6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CC06-4C23-8232-AA7D0F231E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C06-4C23-8232-AA7D0F231E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60.631186868686868</c:v>
                </c:pt>
                <c:pt idx="1">
                  <c:v>2</c:v>
                </c:pt>
                <c:pt idx="2">
                  <c:v>237.36881313131312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C06-4C23-8232-AA7D0F23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39738-34D0-42FB-B7E1-BE4ACB098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92552748-D637-41FE-9FA3-815F20E4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DEABB855-52BD-4741-854D-B4D506356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93A549D4-EEE9-4DC4-800D-D19A58B6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B696B6DE-ABBC-42C9-AC61-9402AAADA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1190625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BC404A5-0F20-4A5E-A143-822B60AB7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Git/wrmc/vanco-auc/VancoAUC_v1.16.2_Dec-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Patient View"/>
      <sheetName val="db"/>
      <sheetName val="dbMisc"/>
      <sheetName val="dbSite"/>
      <sheetName val="MonitoringForm"/>
      <sheetName val="Updates"/>
      <sheetName val="Quantifi"/>
      <sheetName val="dbQ"/>
      <sheetName val="Time Log"/>
    </sheetNames>
    <sheetDataSet>
      <sheetData sheetId="0"/>
      <sheetData sheetId="1"/>
      <sheetData sheetId="2"/>
      <sheetData sheetId="3"/>
      <sheetData sheetId="4"/>
      <sheetData sheetId="5">
        <row r="54">
          <cell r="O54" t="str">
            <v/>
          </cell>
        </row>
        <row r="55">
          <cell r="O55">
            <v>2</v>
          </cell>
        </row>
        <row r="56">
          <cell r="O56">
            <v>298</v>
          </cell>
        </row>
        <row r="58">
          <cell r="O58" t="str">
            <v/>
          </cell>
        </row>
      </sheetData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A6852-71E2-4431-B38A-D84952B8993C}" name="Frequencies" displayName="Frequencies" ref="D53:D61" totalsRowShown="0" headerRowDxfId="26" dataDxfId="25">
  <autoFilter ref="D53:D61" xr:uid="{36809F97-9078-45B0-B15E-5245E273B8F5}"/>
  <tableColumns count="1">
    <tableColumn id="1" xr3:uid="{AEDD0ACF-F343-4B46-AFF4-D82B8F75D5B4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9CD46-8ABA-4F26-8120-6BEB03BD52C6}" name="GenderChar" displayName="GenderChar" ref="F53:F55" totalsRowShown="0" headerRowDxfId="23" dataDxfId="22">
  <autoFilter ref="F53:F55" xr:uid="{32BDD2C9-832F-4C8F-9547-195685DF9702}"/>
  <tableColumns count="1">
    <tableColumn id="1" xr3:uid="{CA4E7883-162F-4EB2-AC7A-08E86ABCC0DA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E595EB-0787-49BF-94F5-DAA6F95B3E07}" name="mfLoadDoses347" displayName="mfLoadDoses347" ref="H53:H63" totalsRowShown="0" headerRowDxfId="20" dataDxfId="19">
  <autoFilter ref="H53:H63" xr:uid="{BC72603F-6E02-438F-8A31-41BDC2E4B2B4}"/>
  <tableColumns count="1">
    <tableColumn id="1" xr3:uid="{D6C35E4E-FC11-4964-877F-9618E2069102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36A9C4-0BD5-4FFD-A8E4-FA368D475718}" name="MDDoses" displayName="MDDoses" ref="J53:J59" totalsRowShown="0" headerRowDxfId="17" dataDxfId="16">
  <autoFilter ref="J53:J59" xr:uid="{1FC47814-EC3A-4156-9293-6BADD6499E2C}"/>
  <tableColumns count="1">
    <tableColumn id="1" xr3:uid="{4621B74F-E084-45FD-8345-E200661D4AE5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82A373-0EFF-4700-B5E4-EBCF649A9815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E631FEFD-24D2-4F6A-8B1F-2D335F235EF3}" name="Speedometer" dataDxfId="12"/>
    <tableColumn id="2" xr3:uid="{F069E69B-0754-47E5-806C-1BD252C1E672}" name="Values" dataDxfId="11"/>
    <tableColumn id="3" xr3:uid="{35440DC1-4CC5-450E-B3FC-85FDCB365276}" name="Pointer" dataDxfId="10"/>
    <tableColumn id="4" xr3:uid="{7C3CD300-AA3A-46F4-A6C2-45F040ABE889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96B14A-9AB8-4C0E-A770-0DC21CE31A4D}" name="mfPKEquations" displayName="mfPKEquations" ref="Q53:Q55" totalsRowShown="0" headerRowDxfId="8" dataDxfId="7">
  <autoFilter ref="Q53:Q55" xr:uid="{F7B8D1DF-124E-48A3-81FA-13BD638F06BD}"/>
  <tableColumns count="1">
    <tableColumn id="1" xr3:uid="{4154FCBF-DEB3-4C16-8A78-EA21603FBE6A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19A811-A61F-453B-9AAF-AD2185055D8A}" name="mfVdOptions" displayName="mfVdOptions" ref="S53:S57" totalsRowShown="0" headerRowDxfId="5" dataDxfId="4">
  <autoFilter ref="S53:S57" xr:uid="{1A1D3B44-52D6-4FDD-912F-F9000180D386}"/>
  <tableColumns count="1">
    <tableColumn id="1" xr3:uid="{80AF2B4F-784B-4333-A96C-DDD1789ECEDD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C55AC9-754B-4893-A4D1-0CCAE6EF4C90}" name="mfInfRates" displayName="mfInfRates" ref="U53:U56" totalsRowShown="0" headerRowDxfId="2" dataDxfId="1">
  <autoFilter ref="U53:U56" xr:uid="{8B19E75F-2B4F-429E-963A-DA8DF874179E}"/>
  <tableColumns count="1">
    <tableColumn id="1" xr3:uid="{B275E72A-AD4E-45B3-ACE0-42FC764DE560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109D-4C73-4C76-BA19-0F64EB8A0449}">
  <sheetPr codeName="MonitoringForm">
    <pageSetUpPr fitToPage="1"/>
  </sheetPr>
  <dimension ref="B1:AG63"/>
  <sheetViews>
    <sheetView showGridLines="0" tabSelected="1" zoomScaleNormal="100" workbookViewId="0"/>
  </sheetViews>
  <sheetFormatPr defaultColWidth="9.140625" defaultRowHeight="15" x14ac:dyDescent="0.25"/>
  <cols>
    <col min="1" max="1" width="3.42578125" style="184" customWidth="1"/>
    <col min="2" max="2" width="40.140625" style="184" customWidth="1"/>
    <col min="3" max="3" width="10" style="184" customWidth="1"/>
    <col min="4" max="9" width="9.140625" style="184" customWidth="1"/>
    <col min="10" max="10" width="10.7109375" style="184" customWidth="1"/>
    <col min="11" max="12" width="9.140625" style="184" customWidth="1"/>
    <col min="13" max="13" width="11" style="184" customWidth="1"/>
    <col min="14" max="14" width="9.7109375" style="184" customWidth="1"/>
    <col min="15" max="34" width="9.140625" style="184" customWidth="1"/>
    <col min="35" max="16384" width="9.140625" style="184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7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adult, normal weight, 46 yr old female with mildly decreased renal function (61 mL/min) has been diagnosed by Nikola Tesla with Bacteremia. Pharmacy is being consulted to dose vancomycin.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33" customFormat="1" ht="15" customHeight="1" thickBot="1" x14ac:dyDescent="0.35">
      <c r="B3" s="8"/>
      <c r="C3" s="8"/>
      <c r="D3" s="9"/>
      <c r="E3" s="10"/>
      <c r="F3" s="11"/>
      <c r="G3" s="11"/>
      <c r="H3" s="11"/>
      <c r="I3" s="9"/>
      <c r="J3" s="9"/>
    </row>
    <row r="4" spans="2:33" customFormat="1" ht="15" customHeight="1" thickTop="1" thickBot="1" x14ac:dyDescent="0.3">
      <c r="B4" s="12"/>
      <c r="C4" s="13" t="s">
        <v>2</v>
      </c>
      <c r="D4" s="14"/>
      <c r="E4" s="15"/>
      <c r="F4" s="16" t="s">
        <v>3</v>
      </c>
      <c r="G4" s="14"/>
      <c r="H4" s="14"/>
      <c r="I4" s="14"/>
      <c r="J4" s="14"/>
      <c r="K4" s="14"/>
      <c r="L4" s="14"/>
      <c r="M4" s="15"/>
      <c r="N4" s="13" t="s">
        <v>4</v>
      </c>
      <c r="O4" s="14"/>
      <c r="P4" s="15"/>
      <c r="R4" s="13" t="s">
        <v>5</v>
      </c>
      <c r="S4" s="14"/>
      <c r="T4" s="14"/>
      <c r="U4" s="15"/>
    </row>
    <row r="5" spans="2:33" customFormat="1" ht="15" customHeight="1" thickTop="1" x14ac:dyDescent="0.25">
      <c r="B5" s="12"/>
      <c r="C5" s="17" t="s">
        <v>6</v>
      </c>
      <c r="D5" s="18">
        <v>248514</v>
      </c>
      <c r="E5" s="19"/>
      <c r="F5" s="20" t="s">
        <v>7</v>
      </c>
      <c r="G5" s="21">
        <v>46</v>
      </c>
      <c r="H5" s="17" t="s">
        <v>8</v>
      </c>
      <c r="I5" s="22">
        <v>60.1</v>
      </c>
      <c r="J5" s="17" t="s">
        <v>9</v>
      </c>
      <c r="K5" s="23">
        <f>IFERROR(mfABW/POWER(HtCm/100,2),"")</f>
        <v>20.291433604977446</v>
      </c>
      <c r="L5" s="17" t="s">
        <v>10</v>
      </c>
      <c r="M5" s="24">
        <f>mfAge</f>
        <v>46</v>
      </c>
      <c r="N5" s="17" t="s">
        <v>11</v>
      </c>
      <c r="O5" s="18" t="s">
        <v>96</v>
      </c>
      <c r="P5" s="19"/>
      <c r="R5" s="17" t="s">
        <v>12</v>
      </c>
      <c r="S5" s="25" t="s">
        <v>13</v>
      </c>
      <c r="T5" s="26" t="s">
        <v>14</v>
      </c>
      <c r="U5" s="27">
        <f>IF(OR(mfVd="",mfCLVanco=""),"",mfCLVanco/mfVd)</f>
        <v>6.9783521442506449E-2</v>
      </c>
    </row>
    <row r="6" spans="2:33" customFormat="1" ht="15" customHeight="1" thickBot="1" x14ac:dyDescent="0.3">
      <c r="B6" s="12"/>
      <c r="C6" s="17" t="s">
        <v>15</v>
      </c>
      <c r="D6" s="28" t="s">
        <v>94</v>
      </c>
      <c r="E6" s="29"/>
      <c r="F6" s="20" t="s">
        <v>16</v>
      </c>
      <c r="G6" s="21" t="s">
        <v>90</v>
      </c>
      <c r="H6" s="17" t="s">
        <v>8</v>
      </c>
      <c r="I6" s="30">
        <f>mfWt*2.2</f>
        <v>132.22000000000003</v>
      </c>
      <c r="J6" s="31" t="s">
        <v>17</v>
      </c>
      <c r="K6" s="32">
        <f>IFERROR(mfABW/mfIBW,"")</f>
        <v>0.94886872202884154</v>
      </c>
      <c r="L6" s="17" t="s">
        <v>18</v>
      </c>
      <c r="M6" s="33">
        <f>IF(mfUsing="IBW",mfIBW,IF(mfUsing="AdjBW",mfAdjBW,IF(mfUsing="ABW",mfABW,"")))</f>
        <v>60.1</v>
      </c>
      <c r="N6" s="17" t="s">
        <v>19</v>
      </c>
      <c r="O6" s="28" t="s">
        <v>97</v>
      </c>
      <c r="P6" s="29"/>
      <c r="R6" s="34" t="s">
        <v>20</v>
      </c>
      <c r="S6" s="35">
        <v>0.65</v>
      </c>
      <c r="T6" s="36" t="s">
        <v>21</v>
      </c>
      <c r="U6" s="37">
        <f>IF(mfKe&lt;&gt;"",0.693/mfKe,"")</f>
        <v>9.9307112291682191</v>
      </c>
    </row>
    <row r="7" spans="2:33" customFormat="1" ht="15" customHeight="1" thickTop="1" thickBot="1" x14ac:dyDescent="0.3">
      <c r="B7" s="12"/>
      <c r="C7" s="38" t="s">
        <v>22</v>
      </c>
      <c r="D7" s="28" t="s">
        <v>95</v>
      </c>
      <c r="E7" s="29"/>
      <c r="F7" s="20" t="s">
        <v>23</v>
      </c>
      <c r="G7" s="39">
        <v>172.1</v>
      </c>
      <c r="H7" s="17" t="s">
        <v>24</v>
      </c>
      <c r="I7" s="40">
        <f>mfWt</f>
        <v>60.1</v>
      </c>
      <c r="J7" s="41"/>
      <c r="K7" s="42"/>
      <c r="L7" s="20" t="s">
        <v>25</v>
      </c>
      <c r="M7" s="43" t="str">
        <f>IF(mfABW=0, "", IF(mfABW&lt;mfIBW,"ABW",IF(mfTBW_IBW&gt;1.3,"AdjBW",IF(mfABW&gt;0,"IBW",""))))</f>
        <v>ABW</v>
      </c>
      <c r="N7" s="38" t="s">
        <v>26</v>
      </c>
      <c r="O7" s="28"/>
      <c r="P7" s="29"/>
      <c r="R7" s="44"/>
      <c r="S7" s="45"/>
      <c r="T7" s="36" t="s">
        <v>20</v>
      </c>
      <c r="U7" s="46">
        <f>IF(mfWt&lt;&gt;"",S6*mfWt,"")</f>
        <v>39.065000000000005</v>
      </c>
    </row>
    <row r="8" spans="2:33" customFormat="1" ht="15" customHeight="1" thickTop="1" thickBot="1" x14ac:dyDescent="0.3">
      <c r="B8" s="12"/>
      <c r="C8" s="34" t="s">
        <v>27</v>
      </c>
      <c r="D8" s="28"/>
      <c r="E8" s="29"/>
      <c r="F8" s="47" t="s">
        <v>23</v>
      </c>
      <c r="G8" s="48" t="str">
        <f>IF(mfHt="","",TRUNC(mfHt/2.54/12)&amp;"'"&amp;ROUND((mfHt/2.54/12-TRUNC(mfHt/2.54/12))*12,0)&amp;"""")</f>
        <v>5'8"</v>
      </c>
      <c r="H8" s="17" t="s">
        <v>28</v>
      </c>
      <c r="I8" s="49">
        <f>IF(mfGender="M",50+2.3*(mfHt/2.54-60),IF(mfGender="F",45.5+2.3*(mfHt/2.54-60),""))</f>
        <v>63.338582677165348</v>
      </c>
      <c r="J8" s="50" t="s">
        <v>29</v>
      </c>
      <c r="K8" s="51"/>
      <c r="L8" s="20" t="s">
        <v>30</v>
      </c>
      <c r="M8" s="52">
        <v>1.1000000000000001</v>
      </c>
      <c r="N8" s="38" t="s">
        <v>31</v>
      </c>
      <c r="O8" s="28"/>
      <c r="P8" s="29"/>
      <c r="R8" s="53" t="s">
        <v>32</v>
      </c>
      <c r="S8" s="54">
        <v>1000</v>
      </c>
      <c r="T8" s="55" t="s">
        <v>33</v>
      </c>
      <c r="U8" s="56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2.7260932651515146</v>
      </c>
    </row>
    <row r="9" spans="2:33" customFormat="1" ht="15" customHeight="1" thickTop="1" thickBot="1" x14ac:dyDescent="0.3">
      <c r="B9" s="12"/>
      <c r="C9" s="57"/>
      <c r="D9" s="58"/>
      <c r="E9" s="58"/>
      <c r="F9" s="58"/>
      <c r="G9" s="59"/>
      <c r="H9" s="31" t="s">
        <v>34</v>
      </c>
      <c r="I9" s="60">
        <f>IFERROR(mfIBW+0.4*(mfABW-mfIBW),"")</f>
        <v>62.04314960629921</v>
      </c>
      <c r="J9" s="61" t="s">
        <v>35</v>
      </c>
      <c r="K9" s="62"/>
      <c r="L9" s="63" t="s">
        <v>36</v>
      </c>
      <c r="M9" s="64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60.631186868686868</v>
      </c>
      <c r="N9" s="57"/>
      <c r="O9" s="58"/>
      <c r="P9" s="59"/>
      <c r="R9" s="65"/>
      <c r="S9" s="66"/>
      <c r="T9" s="66"/>
      <c r="U9" s="67"/>
    </row>
    <row r="10" spans="2:33" customFormat="1" ht="15" customHeight="1" thickTop="1" x14ac:dyDescent="0.25">
      <c r="B10" s="12"/>
      <c r="C10" s="12"/>
      <c r="D10" s="68"/>
      <c r="E10" s="69"/>
      <c r="F10" s="70"/>
      <c r="G10" s="70"/>
      <c r="H10" s="70"/>
      <c r="I10" s="71"/>
    </row>
    <row r="11" spans="2:33" customFormat="1" ht="15" customHeight="1" thickBot="1" x14ac:dyDescent="0.3">
      <c r="B11" s="72"/>
      <c r="C11" s="72"/>
      <c r="D11" s="72"/>
      <c r="E11" s="72"/>
      <c r="F11" s="72"/>
      <c r="G11" s="72"/>
      <c r="H11" s="72"/>
      <c r="I11" s="72"/>
      <c r="J11" s="72"/>
    </row>
    <row r="12" spans="2:33" customFormat="1" ht="15.75" customHeight="1" thickTop="1" thickBot="1" x14ac:dyDescent="0.3">
      <c r="B12" s="73" t="s">
        <v>37</v>
      </c>
      <c r="C12" s="74" t="s">
        <v>38</v>
      </c>
      <c r="D12" s="75" t="str">
        <f t="shared" ref="D12:AG12" si="0" xml:space="preserve"> "Day " &amp; D13-StartDate+1</f>
        <v>Day 1</v>
      </c>
      <c r="E12" s="75" t="str">
        <f t="shared" si="0"/>
        <v>Day 2</v>
      </c>
      <c r="F12" s="75" t="str">
        <f t="shared" si="0"/>
        <v>Day 3</v>
      </c>
      <c r="G12" s="75" t="str">
        <f t="shared" si="0"/>
        <v>Day 4</v>
      </c>
      <c r="H12" s="75" t="str">
        <f t="shared" si="0"/>
        <v>Day 5</v>
      </c>
      <c r="I12" s="75" t="str">
        <f t="shared" si="0"/>
        <v>Day 6</v>
      </c>
      <c r="J12" s="75" t="str">
        <f t="shared" si="0"/>
        <v>Day 7</v>
      </c>
      <c r="K12" s="75" t="str">
        <f t="shared" si="0"/>
        <v>Day 8</v>
      </c>
      <c r="L12" s="75" t="str">
        <f t="shared" si="0"/>
        <v>Day 9</v>
      </c>
      <c r="M12" s="75" t="str">
        <f t="shared" si="0"/>
        <v>Day 10</v>
      </c>
      <c r="N12" s="75" t="str">
        <f t="shared" si="0"/>
        <v>Day 11</v>
      </c>
      <c r="O12" s="75" t="str">
        <f t="shared" si="0"/>
        <v>Day 12</v>
      </c>
      <c r="P12" s="75" t="str">
        <f t="shared" si="0"/>
        <v>Day 13</v>
      </c>
      <c r="Q12" s="75" t="str">
        <f t="shared" si="0"/>
        <v>Day 14</v>
      </c>
      <c r="R12" s="75" t="str">
        <f t="shared" si="0"/>
        <v>Day 15</v>
      </c>
      <c r="S12" s="75" t="str">
        <f t="shared" si="0"/>
        <v>Day 16</v>
      </c>
      <c r="T12" s="75" t="str">
        <f t="shared" si="0"/>
        <v>Day 17</v>
      </c>
      <c r="U12" s="75" t="str">
        <f t="shared" si="0"/>
        <v>Day 18</v>
      </c>
      <c r="V12" s="75" t="str">
        <f t="shared" si="0"/>
        <v>Day 19</v>
      </c>
      <c r="W12" s="75" t="str">
        <f t="shared" si="0"/>
        <v>Day 20</v>
      </c>
      <c r="X12" s="75" t="str">
        <f t="shared" si="0"/>
        <v>Day 21</v>
      </c>
      <c r="Y12" s="75" t="str">
        <f t="shared" si="0"/>
        <v>Day 22</v>
      </c>
      <c r="Z12" s="75" t="str">
        <f t="shared" si="0"/>
        <v>Day 23</v>
      </c>
      <c r="AA12" s="75" t="str">
        <f t="shared" si="0"/>
        <v>Day 24</v>
      </c>
      <c r="AB12" s="75" t="str">
        <f t="shared" si="0"/>
        <v>Day 25</v>
      </c>
      <c r="AC12" s="75" t="str">
        <f t="shared" si="0"/>
        <v>Day 26</v>
      </c>
      <c r="AD12" s="75" t="str">
        <f t="shared" si="0"/>
        <v>Day 27</v>
      </c>
      <c r="AE12" s="75" t="str">
        <f t="shared" si="0"/>
        <v>Day 28</v>
      </c>
      <c r="AF12" s="75" t="str">
        <f t="shared" si="0"/>
        <v>Day 29</v>
      </c>
      <c r="AG12" s="75" t="str">
        <f t="shared" si="0"/>
        <v>Day 30</v>
      </c>
    </row>
    <row r="13" spans="2:33" customFormat="1" ht="15.75" customHeight="1" thickTop="1" thickBot="1" x14ac:dyDescent="0.3">
      <c r="B13" s="76" t="s">
        <v>39</v>
      </c>
      <c r="C13" s="77">
        <v>44170.958333333336</v>
      </c>
      <c r="D13" s="78">
        <f>IF(DifferentDay,C13+0,C13+1)</f>
        <v>44170.958333333336</v>
      </c>
      <c r="E13" s="78">
        <f>D13+1</f>
        <v>44171.958333333336</v>
      </c>
      <c r="F13" s="78">
        <f t="shared" ref="F13:AG13" si="1">E13+1</f>
        <v>44172.958333333336</v>
      </c>
      <c r="G13" s="78">
        <f t="shared" si="1"/>
        <v>44173.958333333336</v>
      </c>
      <c r="H13" s="78">
        <f t="shared" si="1"/>
        <v>44174.958333333336</v>
      </c>
      <c r="I13" s="78">
        <f t="shared" si="1"/>
        <v>44175.958333333336</v>
      </c>
      <c r="J13" s="78">
        <f t="shared" si="1"/>
        <v>44176.958333333336</v>
      </c>
      <c r="K13" s="78">
        <f t="shared" si="1"/>
        <v>44177.958333333336</v>
      </c>
      <c r="L13" s="78">
        <f t="shared" si="1"/>
        <v>44178.958333333336</v>
      </c>
      <c r="M13" s="78">
        <f t="shared" si="1"/>
        <v>44179.958333333336</v>
      </c>
      <c r="N13" s="78">
        <f t="shared" si="1"/>
        <v>44180.958333333336</v>
      </c>
      <c r="O13" s="78">
        <f t="shared" si="1"/>
        <v>44181.958333333336</v>
      </c>
      <c r="P13" s="78">
        <f t="shared" si="1"/>
        <v>44182.958333333336</v>
      </c>
      <c r="Q13" s="78">
        <f t="shared" si="1"/>
        <v>44183.958333333336</v>
      </c>
      <c r="R13" s="78">
        <f t="shared" si="1"/>
        <v>44184.958333333336</v>
      </c>
      <c r="S13" s="78">
        <f t="shared" si="1"/>
        <v>44185.958333333336</v>
      </c>
      <c r="T13" s="78">
        <f t="shared" si="1"/>
        <v>44186.958333333336</v>
      </c>
      <c r="U13" s="78">
        <f t="shared" si="1"/>
        <v>44187.958333333336</v>
      </c>
      <c r="V13" s="78">
        <f t="shared" si="1"/>
        <v>44188.958333333336</v>
      </c>
      <c r="W13" s="78">
        <f t="shared" si="1"/>
        <v>44189.958333333336</v>
      </c>
      <c r="X13" s="78">
        <f t="shared" si="1"/>
        <v>44190.958333333336</v>
      </c>
      <c r="Y13" s="78">
        <f t="shared" si="1"/>
        <v>44191.958333333336</v>
      </c>
      <c r="Z13" s="78">
        <f t="shared" si="1"/>
        <v>44192.958333333336</v>
      </c>
      <c r="AA13" s="78">
        <f t="shared" si="1"/>
        <v>44193.958333333336</v>
      </c>
      <c r="AB13" s="78">
        <f t="shared" si="1"/>
        <v>44194.958333333336</v>
      </c>
      <c r="AC13" s="78">
        <f t="shared" si="1"/>
        <v>44195.958333333336</v>
      </c>
      <c r="AD13" s="78">
        <f t="shared" si="1"/>
        <v>44196.958333333336</v>
      </c>
      <c r="AE13" s="78">
        <f t="shared" si="1"/>
        <v>44197.958333333336</v>
      </c>
      <c r="AF13" s="78">
        <f t="shared" si="1"/>
        <v>44198.958333333336</v>
      </c>
      <c r="AG13" s="78">
        <f t="shared" si="1"/>
        <v>44199.958333333336</v>
      </c>
    </row>
    <row r="14" spans="2:33" customFormat="1" ht="15.75" thickTop="1" x14ac:dyDescent="0.25">
      <c r="B14" s="79" t="s">
        <v>40</v>
      </c>
      <c r="C14" s="80">
        <v>0</v>
      </c>
      <c r="D14" s="81">
        <v>750</v>
      </c>
      <c r="E14" s="82"/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3"/>
      <c r="R14" s="81"/>
      <c r="S14" s="82"/>
      <c r="T14" s="82"/>
      <c r="U14" s="82"/>
      <c r="V14" s="82"/>
      <c r="W14" s="82"/>
      <c r="X14" s="83"/>
      <c r="Y14" s="81"/>
      <c r="Z14" s="82"/>
      <c r="AA14" s="82"/>
      <c r="AB14" s="82"/>
      <c r="AC14" s="82"/>
      <c r="AD14" s="82"/>
      <c r="AE14" s="82"/>
      <c r="AF14" s="82"/>
      <c r="AG14" s="83"/>
    </row>
    <row r="15" spans="2:33" customFormat="1" x14ac:dyDescent="0.25">
      <c r="B15" s="79" t="s">
        <v>41</v>
      </c>
      <c r="C15" s="84"/>
      <c r="D15" s="85">
        <v>12</v>
      </c>
      <c r="E15" s="86"/>
      <c r="F15" s="86"/>
      <c r="G15" s="86"/>
      <c r="H15" s="86"/>
      <c r="I15" s="86"/>
      <c r="J15" s="87"/>
      <c r="K15" s="85"/>
      <c r="L15" s="86"/>
      <c r="M15" s="86"/>
      <c r="N15" s="86"/>
      <c r="O15" s="86"/>
      <c r="P15" s="86"/>
      <c r="Q15" s="87"/>
      <c r="R15" s="85"/>
      <c r="S15" s="86"/>
      <c r="T15" s="86"/>
      <c r="U15" s="86"/>
      <c r="V15" s="86"/>
      <c r="W15" s="86"/>
      <c r="X15" s="87"/>
      <c r="Y15" s="85"/>
      <c r="Z15" s="86"/>
      <c r="AA15" s="86"/>
      <c r="AB15" s="86"/>
      <c r="AC15" s="86"/>
      <c r="AD15" s="86"/>
      <c r="AE15" s="86"/>
      <c r="AF15" s="86"/>
      <c r="AG15" s="87"/>
    </row>
    <row r="16" spans="2:33" customFormat="1" x14ac:dyDescent="0.25">
      <c r="B16" s="79" t="s">
        <v>42</v>
      </c>
      <c r="C16" s="88"/>
      <c r="D16" s="89">
        <f>IFERROR(D14*(24/D15)/1000,"")</f>
        <v>1.5</v>
      </c>
      <c r="E16" s="90" t="str">
        <f t="shared" ref="E16:AG16" si="2">IFERROR(E14*(24/E15)/1000,"")</f>
        <v/>
      </c>
      <c r="F16" s="90" t="str">
        <f t="shared" si="2"/>
        <v/>
      </c>
      <c r="G16" s="90" t="str">
        <f t="shared" si="2"/>
        <v/>
      </c>
      <c r="H16" s="90" t="str">
        <f t="shared" si="2"/>
        <v/>
      </c>
      <c r="I16" s="90" t="str">
        <f t="shared" si="2"/>
        <v/>
      </c>
      <c r="J16" s="91" t="str">
        <f t="shared" si="2"/>
        <v/>
      </c>
      <c r="K16" s="89" t="str">
        <f t="shared" si="2"/>
        <v/>
      </c>
      <c r="L16" s="90" t="str">
        <f t="shared" si="2"/>
        <v/>
      </c>
      <c r="M16" s="90" t="str">
        <f t="shared" si="2"/>
        <v/>
      </c>
      <c r="N16" s="90" t="str">
        <f t="shared" si="2"/>
        <v/>
      </c>
      <c r="O16" s="90" t="str">
        <f t="shared" si="2"/>
        <v/>
      </c>
      <c r="P16" s="90" t="str">
        <f t="shared" si="2"/>
        <v/>
      </c>
      <c r="Q16" s="91" t="str">
        <f t="shared" si="2"/>
        <v/>
      </c>
      <c r="R16" s="89" t="str">
        <f t="shared" si="2"/>
        <v/>
      </c>
      <c r="S16" s="90" t="str">
        <f t="shared" si="2"/>
        <v/>
      </c>
      <c r="T16" s="90" t="str">
        <f t="shared" si="2"/>
        <v/>
      </c>
      <c r="U16" s="90" t="str">
        <f t="shared" si="2"/>
        <v/>
      </c>
      <c r="V16" s="90" t="str">
        <f t="shared" si="2"/>
        <v/>
      </c>
      <c r="W16" s="90" t="str">
        <f t="shared" si="2"/>
        <v/>
      </c>
      <c r="X16" s="91" t="str">
        <f t="shared" si="2"/>
        <v/>
      </c>
      <c r="Y16" s="89" t="str">
        <f t="shared" si="2"/>
        <v/>
      </c>
      <c r="Z16" s="90" t="str">
        <f t="shared" si="2"/>
        <v/>
      </c>
      <c r="AA16" s="90" t="str">
        <f t="shared" si="2"/>
        <v/>
      </c>
      <c r="AB16" s="90" t="str">
        <f t="shared" si="2"/>
        <v/>
      </c>
      <c r="AC16" s="90" t="str">
        <f t="shared" si="2"/>
        <v/>
      </c>
      <c r="AD16" s="90" t="str">
        <f t="shared" si="2"/>
        <v/>
      </c>
      <c r="AE16" s="90" t="str">
        <f t="shared" si="2"/>
        <v/>
      </c>
      <c r="AF16" s="90" t="str">
        <f t="shared" si="2"/>
        <v/>
      </c>
      <c r="AG16" s="91" t="str">
        <f t="shared" si="2"/>
        <v/>
      </c>
    </row>
    <row r="17" spans="2:33" customFormat="1" x14ac:dyDescent="0.25">
      <c r="B17" s="92" t="s">
        <v>43</v>
      </c>
      <c r="C17" s="187">
        <v>0</v>
      </c>
      <c r="D17" s="188">
        <v>44170.958333333336</v>
      </c>
      <c r="E17" s="94"/>
      <c r="F17" s="95"/>
      <c r="G17" s="94"/>
      <c r="H17" s="94"/>
      <c r="I17" s="94"/>
      <c r="J17" s="96"/>
      <c r="K17" s="94"/>
      <c r="L17" s="94"/>
      <c r="M17" s="94"/>
      <c r="N17" s="95"/>
      <c r="O17" s="94"/>
      <c r="P17" s="94"/>
      <c r="Q17" s="97"/>
      <c r="R17" s="94"/>
      <c r="S17" s="94"/>
      <c r="T17" s="95"/>
      <c r="U17" s="94"/>
      <c r="V17" s="94"/>
      <c r="W17" s="95"/>
      <c r="X17" s="96"/>
      <c r="Y17" s="94"/>
      <c r="Z17" s="95"/>
      <c r="AA17" s="94"/>
      <c r="AB17" s="94"/>
      <c r="AC17" s="95"/>
      <c r="AD17" s="94"/>
      <c r="AE17" s="94"/>
      <c r="AF17" s="94"/>
      <c r="AG17" s="96"/>
    </row>
    <row r="18" spans="2:33" customFormat="1" x14ac:dyDescent="0.25">
      <c r="B18" s="92" t="s">
        <v>44</v>
      </c>
      <c r="C18" s="98"/>
      <c r="D18" s="93"/>
      <c r="E18" s="94"/>
      <c r="F18" s="95"/>
      <c r="G18" s="94"/>
      <c r="H18" s="94"/>
      <c r="I18" s="94"/>
      <c r="J18" s="96"/>
      <c r="K18" s="95"/>
      <c r="L18" s="94"/>
      <c r="M18" s="94"/>
      <c r="N18" s="95"/>
      <c r="O18" s="94"/>
      <c r="P18" s="94"/>
      <c r="Q18" s="97"/>
      <c r="R18" s="94"/>
      <c r="S18" s="94"/>
      <c r="T18" s="95"/>
      <c r="U18" s="94"/>
      <c r="V18" s="94"/>
      <c r="W18" s="95"/>
      <c r="X18" s="96"/>
      <c r="Y18" s="94"/>
      <c r="Z18" s="95"/>
      <c r="AA18" s="94"/>
      <c r="AB18" s="94"/>
      <c r="AC18" s="95"/>
      <c r="AD18" s="94"/>
      <c r="AE18" s="94"/>
      <c r="AF18" s="94"/>
      <c r="AG18" s="96"/>
    </row>
    <row r="19" spans="2:33" customFormat="1" x14ac:dyDescent="0.25">
      <c r="B19" s="92" t="s">
        <v>45</v>
      </c>
      <c r="C19" s="98"/>
      <c r="D19" s="93"/>
      <c r="E19" s="94"/>
      <c r="F19" s="95"/>
      <c r="G19" s="94"/>
      <c r="H19" s="94"/>
      <c r="I19" s="94"/>
      <c r="J19" s="96"/>
      <c r="K19" s="95"/>
      <c r="L19" s="94"/>
      <c r="M19" s="94"/>
      <c r="N19" s="95"/>
      <c r="O19" s="94"/>
      <c r="P19" s="94"/>
      <c r="Q19" s="97"/>
      <c r="R19" s="94"/>
      <c r="S19" s="94"/>
      <c r="T19" s="95"/>
      <c r="U19" s="94"/>
      <c r="V19" s="94"/>
      <c r="W19" s="95"/>
      <c r="X19" s="96"/>
      <c r="Y19" s="94"/>
      <c r="Z19" s="95"/>
      <c r="AA19" s="94"/>
      <c r="AB19" s="94"/>
      <c r="AC19" s="95"/>
      <c r="AD19" s="94"/>
      <c r="AE19" s="94"/>
      <c r="AF19" s="94"/>
      <c r="AG19" s="96"/>
    </row>
    <row r="20" spans="2:33" customFormat="1" x14ac:dyDescent="0.25">
      <c r="B20" s="99" t="s">
        <v>46</v>
      </c>
      <c r="C20" s="100"/>
      <c r="D20" s="101"/>
      <c r="E20" s="101"/>
      <c r="F20" s="101"/>
      <c r="G20" s="101"/>
      <c r="H20" s="101"/>
      <c r="I20" s="101"/>
      <c r="J20" s="102"/>
      <c r="K20" s="101"/>
      <c r="L20" s="101"/>
      <c r="M20" s="101"/>
      <c r="N20" s="101"/>
      <c r="O20" s="101"/>
      <c r="P20" s="101"/>
      <c r="Q20" s="102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2:33" customFormat="1" x14ac:dyDescent="0.25">
      <c r="B21" s="103" t="s">
        <v>47</v>
      </c>
      <c r="C21" s="100"/>
      <c r="D21" s="104">
        <v>560</v>
      </c>
      <c r="E21" s="104" t="str">
        <f t="shared" ref="E21:AG21" si="3">IFERROR(((E22+E23)/2*(E14/mfInfRate)+(E22-E23)/E36)*(24/E15),"")</f>
        <v/>
      </c>
      <c r="F21" s="104" t="str">
        <f t="shared" si="3"/>
        <v/>
      </c>
      <c r="G21" s="104" t="str">
        <f t="shared" si="3"/>
        <v/>
      </c>
      <c r="H21" s="104" t="str">
        <f t="shared" si="3"/>
        <v/>
      </c>
      <c r="I21" s="104" t="str">
        <f t="shared" si="3"/>
        <v/>
      </c>
      <c r="J21" s="105" t="str">
        <f t="shared" si="3"/>
        <v/>
      </c>
      <c r="K21" s="106" t="str">
        <f t="shared" si="3"/>
        <v/>
      </c>
      <c r="L21" s="104" t="str">
        <f t="shared" si="3"/>
        <v/>
      </c>
      <c r="M21" s="104" t="str">
        <f t="shared" si="3"/>
        <v/>
      </c>
      <c r="N21" s="104" t="str">
        <f t="shared" si="3"/>
        <v/>
      </c>
      <c r="O21" s="104" t="str">
        <f t="shared" si="3"/>
        <v/>
      </c>
      <c r="P21" s="104" t="str">
        <f t="shared" si="3"/>
        <v/>
      </c>
      <c r="Q21" s="105" t="str">
        <f t="shared" si="3"/>
        <v/>
      </c>
      <c r="R21" s="106" t="str">
        <f t="shared" si="3"/>
        <v/>
      </c>
      <c r="S21" s="104" t="str">
        <f t="shared" si="3"/>
        <v/>
      </c>
      <c r="T21" s="104" t="str">
        <f t="shared" si="3"/>
        <v/>
      </c>
      <c r="U21" s="104" t="str">
        <f t="shared" si="3"/>
        <v/>
      </c>
      <c r="V21" s="104" t="str">
        <f t="shared" si="3"/>
        <v/>
      </c>
      <c r="W21" s="104" t="str">
        <f t="shared" si="3"/>
        <v/>
      </c>
      <c r="X21" s="105" t="str">
        <f t="shared" si="3"/>
        <v/>
      </c>
      <c r="Y21" s="106" t="str">
        <f t="shared" si="3"/>
        <v/>
      </c>
      <c r="Z21" s="104" t="str">
        <f t="shared" si="3"/>
        <v/>
      </c>
      <c r="AA21" s="104" t="str">
        <f t="shared" si="3"/>
        <v/>
      </c>
      <c r="AB21" s="104" t="str">
        <f t="shared" si="3"/>
        <v/>
      </c>
      <c r="AC21" s="104" t="str">
        <f t="shared" si="3"/>
        <v/>
      </c>
      <c r="AD21" s="104" t="str">
        <f t="shared" si="3"/>
        <v/>
      </c>
      <c r="AE21" s="104" t="str">
        <f t="shared" si="3"/>
        <v/>
      </c>
      <c r="AF21" s="104" t="str">
        <f t="shared" si="3"/>
        <v/>
      </c>
      <c r="AG21" s="105" t="str">
        <f t="shared" si="3"/>
        <v/>
      </c>
    </row>
    <row r="22" spans="2:33" customFormat="1" x14ac:dyDescent="0.25">
      <c r="B22" s="107" t="s">
        <v>48</v>
      </c>
      <c r="C22" s="100"/>
      <c r="D22" s="104">
        <f>IFERROR((D14/mfVd)/(1-EXP(-D36*mfMDTau)),"")</f>
        <v>33.850323896382996</v>
      </c>
      <c r="E22" s="104" t="str">
        <f t="shared" ref="E22:AG22" si="4">IFERROR((E14/mfVd)/(1-EXP(-E36*E15)),"")</f>
        <v/>
      </c>
      <c r="F22" s="104" t="str">
        <f t="shared" si="4"/>
        <v/>
      </c>
      <c r="G22" s="104" t="str">
        <f t="shared" si="4"/>
        <v/>
      </c>
      <c r="H22" s="104" t="str">
        <f t="shared" si="4"/>
        <v/>
      </c>
      <c r="I22" s="104" t="str">
        <f t="shared" si="4"/>
        <v/>
      </c>
      <c r="J22" s="108" t="str">
        <f t="shared" si="4"/>
        <v/>
      </c>
      <c r="K22" s="106" t="str">
        <f t="shared" si="4"/>
        <v/>
      </c>
      <c r="L22" s="104" t="str">
        <f t="shared" si="4"/>
        <v/>
      </c>
      <c r="M22" s="104" t="str">
        <f t="shared" si="4"/>
        <v/>
      </c>
      <c r="N22" s="104" t="str">
        <f t="shared" si="4"/>
        <v/>
      </c>
      <c r="O22" s="104" t="str">
        <f t="shared" si="4"/>
        <v/>
      </c>
      <c r="P22" s="104" t="str">
        <f t="shared" si="4"/>
        <v/>
      </c>
      <c r="Q22" s="108" t="str">
        <f t="shared" si="4"/>
        <v/>
      </c>
      <c r="R22" s="106" t="str">
        <f t="shared" si="4"/>
        <v/>
      </c>
      <c r="S22" s="104" t="str">
        <f t="shared" si="4"/>
        <v/>
      </c>
      <c r="T22" s="104" t="str">
        <f t="shared" si="4"/>
        <v/>
      </c>
      <c r="U22" s="104" t="str">
        <f t="shared" si="4"/>
        <v/>
      </c>
      <c r="V22" s="104" t="str">
        <f t="shared" si="4"/>
        <v/>
      </c>
      <c r="W22" s="104" t="str">
        <f t="shared" si="4"/>
        <v/>
      </c>
      <c r="X22" s="108" t="str">
        <f t="shared" si="4"/>
        <v/>
      </c>
      <c r="Y22" s="106" t="str">
        <f t="shared" si="4"/>
        <v/>
      </c>
      <c r="Z22" s="104" t="str">
        <f t="shared" si="4"/>
        <v/>
      </c>
      <c r="AA22" s="104" t="str">
        <f t="shared" si="4"/>
        <v/>
      </c>
      <c r="AB22" s="104" t="str">
        <f t="shared" si="4"/>
        <v/>
      </c>
      <c r="AC22" s="104" t="str">
        <f t="shared" si="4"/>
        <v/>
      </c>
      <c r="AD22" s="104" t="str">
        <f t="shared" si="4"/>
        <v/>
      </c>
      <c r="AE22" s="104" t="str">
        <f t="shared" si="4"/>
        <v/>
      </c>
      <c r="AF22" s="104" t="str">
        <f t="shared" si="4"/>
        <v/>
      </c>
      <c r="AG22" s="108" t="str">
        <f t="shared" si="4"/>
        <v/>
      </c>
    </row>
    <row r="23" spans="2:33" customFormat="1" x14ac:dyDescent="0.25">
      <c r="B23" s="107" t="s">
        <v>49</v>
      </c>
      <c r="C23" s="100"/>
      <c r="D23" s="104">
        <f>IFERROR(D22*(EXP(-mfKe*(mfMDTau-mfMDDose/mfInfRate))),"")</f>
        <v>15.438802011580457</v>
      </c>
      <c r="E23" s="104" t="str">
        <f t="shared" ref="E23:AG23" si="5">IFERROR(E22*(EXP(-mfKe*(E15-E14/mfInfRate))),"")</f>
        <v/>
      </c>
      <c r="F23" s="104" t="str">
        <f t="shared" si="5"/>
        <v/>
      </c>
      <c r="G23" s="104" t="str">
        <f t="shared" si="5"/>
        <v/>
      </c>
      <c r="H23" s="104" t="str">
        <f t="shared" si="5"/>
        <v/>
      </c>
      <c r="I23" s="104" t="str">
        <f t="shared" si="5"/>
        <v/>
      </c>
      <c r="J23" s="108" t="str">
        <f t="shared" si="5"/>
        <v/>
      </c>
      <c r="K23" s="106" t="str">
        <f t="shared" si="5"/>
        <v/>
      </c>
      <c r="L23" s="104" t="str">
        <f t="shared" si="5"/>
        <v/>
      </c>
      <c r="M23" s="104" t="str">
        <f t="shared" si="5"/>
        <v/>
      </c>
      <c r="N23" s="104" t="str">
        <f t="shared" si="5"/>
        <v/>
      </c>
      <c r="O23" s="104" t="str">
        <f t="shared" si="5"/>
        <v/>
      </c>
      <c r="P23" s="104" t="str">
        <f t="shared" si="5"/>
        <v/>
      </c>
      <c r="Q23" s="108" t="str">
        <f t="shared" si="5"/>
        <v/>
      </c>
      <c r="R23" s="106" t="str">
        <f t="shared" si="5"/>
        <v/>
      </c>
      <c r="S23" s="104" t="str">
        <f t="shared" si="5"/>
        <v/>
      </c>
      <c r="T23" s="104" t="str">
        <f t="shared" si="5"/>
        <v/>
      </c>
      <c r="U23" s="104" t="str">
        <f t="shared" si="5"/>
        <v/>
      </c>
      <c r="V23" s="104" t="str">
        <f t="shared" si="5"/>
        <v/>
      </c>
      <c r="W23" s="104" t="str">
        <f t="shared" si="5"/>
        <v/>
      </c>
      <c r="X23" s="108" t="str">
        <f t="shared" si="5"/>
        <v/>
      </c>
      <c r="Y23" s="106" t="str">
        <f t="shared" si="5"/>
        <v/>
      </c>
      <c r="Z23" s="104" t="str">
        <f t="shared" si="5"/>
        <v/>
      </c>
      <c r="AA23" s="104" t="str">
        <f t="shared" si="5"/>
        <v/>
      </c>
      <c r="AB23" s="104" t="str">
        <f t="shared" si="5"/>
        <v/>
      </c>
      <c r="AC23" s="104" t="str">
        <f t="shared" si="5"/>
        <v/>
      </c>
      <c r="AD23" s="104" t="str">
        <f t="shared" si="5"/>
        <v/>
      </c>
      <c r="AE23" s="104" t="str">
        <f t="shared" si="5"/>
        <v/>
      </c>
      <c r="AF23" s="104" t="str">
        <f t="shared" si="5"/>
        <v/>
      </c>
      <c r="AG23" s="108" t="str">
        <f t="shared" si="5"/>
        <v/>
      </c>
    </row>
    <row r="24" spans="2:33" customFormat="1" x14ac:dyDescent="0.25">
      <c r="B24" s="109" t="s">
        <v>50</v>
      </c>
      <c r="C24" s="100"/>
      <c r="D24" s="110"/>
      <c r="E24" s="110"/>
      <c r="F24" s="111"/>
      <c r="G24" s="110"/>
      <c r="H24" s="110"/>
      <c r="I24" s="110"/>
      <c r="J24" s="112"/>
      <c r="K24" s="111"/>
      <c r="L24" s="110"/>
      <c r="M24" s="110"/>
      <c r="N24" s="111"/>
      <c r="O24" s="110"/>
      <c r="P24" s="110"/>
      <c r="Q24" s="113"/>
      <c r="R24" s="110"/>
      <c r="S24" s="110"/>
      <c r="T24" s="111"/>
      <c r="U24" s="110"/>
      <c r="V24" s="110"/>
      <c r="W24" s="111"/>
      <c r="X24" s="114"/>
      <c r="Y24" s="110"/>
      <c r="Z24" s="111"/>
      <c r="AA24" s="110"/>
      <c r="AB24" s="110"/>
      <c r="AC24" s="111"/>
      <c r="AD24" s="110"/>
      <c r="AE24" s="110"/>
      <c r="AF24" s="110"/>
      <c r="AG24" s="114"/>
    </row>
    <row r="25" spans="2:33" customFormat="1" x14ac:dyDescent="0.25">
      <c r="B25" s="99" t="s">
        <v>51</v>
      </c>
      <c r="C25" s="100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2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2:33" customFormat="1" x14ac:dyDescent="0.25">
      <c r="B26" s="103" t="s">
        <v>52</v>
      </c>
      <c r="C26" s="100"/>
      <c r="D26" s="115"/>
      <c r="E26" s="115"/>
      <c r="F26" s="116"/>
      <c r="G26" s="115"/>
      <c r="H26" s="115"/>
      <c r="I26" s="115"/>
      <c r="J26" s="112"/>
      <c r="K26" s="116"/>
      <c r="L26" s="115"/>
      <c r="M26" s="115"/>
      <c r="N26" s="116"/>
      <c r="O26" s="115"/>
      <c r="P26" s="115"/>
      <c r="Q26" s="117"/>
      <c r="R26" s="115"/>
      <c r="S26" s="115"/>
      <c r="T26" s="116"/>
      <c r="U26" s="115"/>
      <c r="V26" s="115"/>
      <c r="W26" s="116"/>
      <c r="X26" s="112"/>
      <c r="Y26" s="115"/>
      <c r="Z26" s="116"/>
      <c r="AA26" s="115"/>
      <c r="AB26" s="115"/>
      <c r="AC26" s="116"/>
      <c r="AD26" s="115"/>
      <c r="AE26" s="115"/>
      <c r="AF26" s="115"/>
      <c r="AG26" s="112"/>
    </row>
    <row r="27" spans="2:33" customFormat="1" x14ac:dyDescent="0.25">
      <c r="B27" s="109" t="s">
        <v>53</v>
      </c>
      <c r="C27" s="100"/>
      <c r="D27" s="118"/>
      <c r="E27" s="118"/>
      <c r="F27" s="119"/>
      <c r="G27" s="118"/>
      <c r="H27" s="118"/>
      <c r="I27" s="118"/>
      <c r="J27" s="120"/>
      <c r="K27" s="119"/>
      <c r="L27" s="118"/>
      <c r="M27" s="118"/>
      <c r="N27" s="119"/>
      <c r="O27" s="118"/>
      <c r="P27" s="118"/>
      <c r="Q27" s="121"/>
      <c r="R27" s="118"/>
      <c r="S27" s="118"/>
      <c r="T27" s="119"/>
      <c r="U27" s="118"/>
      <c r="V27" s="118"/>
      <c r="W27" s="119"/>
      <c r="X27" s="120"/>
      <c r="Y27" s="118"/>
      <c r="Z27" s="119"/>
      <c r="AA27" s="118"/>
      <c r="AB27" s="118"/>
      <c r="AC27" s="119"/>
      <c r="AD27" s="118"/>
      <c r="AE27" s="118"/>
      <c r="AF27" s="118"/>
      <c r="AG27" s="120"/>
    </row>
    <row r="28" spans="2:33" customFormat="1" x14ac:dyDescent="0.25">
      <c r="B28" s="103" t="s">
        <v>54</v>
      </c>
      <c r="C28" s="100"/>
      <c r="D28" s="118"/>
      <c r="E28" s="118"/>
      <c r="F28" s="119"/>
      <c r="G28" s="118"/>
      <c r="H28" s="118"/>
      <c r="I28" s="118"/>
      <c r="J28" s="120"/>
      <c r="K28" s="119"/>
      <c r="L28" s="118"/>
      <c r="M28" s="118"/>
      <c r="N28" s="119"/>
      <c r="O28" s="118"/>
      <c r="P28" s="118"/>
      <c r="Q28" s="121"/>
      <c r="R28" s="118"/>
      <c r="S28" s="118"/>
      <c r="T28" s="119"/>
      <c r="U28" s="118"/>
      <c r="V28" s="118"/>
      <c r="W28" s="119"/>
      <c r="X28" s="120"/>
      <c r="Y28" s="118"/>
      <c r="Z28" s="119"/>
      <c r="AA28" s="118"/>
      <c r="AB28" s="118"/>
      <c r="AC28" s="119"/>
      <c r="AD28" s="118"/>
      <c r="AE28" s="118"/>
      <c r="AF28" s="118"/>
      <c r="AG28" s="120"/>
    </row>
    <row r="29" spans="2:33" customFormat="1" x14ac:dyDescent="0.25">
      <c r="B29" s="109" t="s">
        <v>55</v>
      </c>
      <c r="C29" s="100"/>
      <c r="D29" s="118"/>
      <c r="E29" s="118"/>
      <c r="F29" s="119"/>
      <c r="G29" s="118"/>
      <c r="H29" s="118"/>
      <c r="I29" s="118"/>
      <c r="J29" s="120"/>
      <c r="K29" s="119"/>
      <c r="L29" s="118"/>
      <c r="M29" s="118"/>
      <c r="N29" s="119"/>
      <c r="O29" s="118"/>
      <c r="P29" s="118"/>
      <c r="Q29" s="121"/>
      <c r="R29" s="118"/>
      <c r="S29" s="118"/>
      <c r="T29" s="119"/>
      <c r="U29" s="118"/>
      <c r="V29" s="118"/>
      <c r="W29" s="119"/>
      <c r="X29" s="120"/>
      <c r="Y29" s="118"/>
      <c r="Z29" s="119"/>
      <c r="AA29" s="118"/>
      <c r="AB29" s="118"/>
      <c r="AC29" s="119"/>
      <c r="AD29" s="118"/>
      <c r="AE29" s="118"/>
      <c r="AF29" s="118"/>
      <c r="AG29" s="120"/>
    </row>
    <row r="30" spans="2:33" customFormat="1" x14ac:dyDescent="0.25">
      <c r="B30" s="99" t="s">
        <v>56</v>
      </c>
      <c r="C30" s="100"/>
      <c r="D30" s="101"/>
      <c r="E30" s="101"/>
      <c r="F30" s="101"/>
      <c r="G30" s="101"/>
      <c r="H30" s="101"/>
      <c r="I30" s="101"/>
      <c r="J30" s="102"/>
      <c r="K30" s="101"/>
      <c r="L30" s="101"/>
      <c r="M30" s="101"/>
      <c r="N30" s="101"/>
      <c r="O30" s="101"/>
      <c r="P30" s="101"/>
      <c r="Q30" s="102"/>
      <c r="R30" s="101"/>
      <c r="S30" s="101"/>
      <c r="T30" s="101"/>
      <c r="U30" s="101"/>
      <c r="V30" s="101"/>
      <c r="W30" s="101"/>
      <c r="X30" s="102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2:33" customFormat="1" x14ac:dyDescent="0.25">
      <c r="B31" s="122" t="s">
        <v>57</v>
      </c>
      <c r="C31" s="100"/>
      <c r="D31" s="123">
        <v>1.1000000000000001</v>
      </c>
      <c r="E31" s="124"/>
      <c r="F31" s="124"/>
      <c r="G31" s="124"/>
      <c r="H31" s="124"/>
      <c r="I31" s="124"/>
      <c r="J31" s="125"/>
      <c r="K31" s="126"/>
      <c r="L31" s="124"/>
      <c r="M31" s="124"/>
      <c r="N31" s="124"/>
      <c r="O31" s="124"/>
      <c r="P31" s="124"/>
      <c r="Q31" s="127"/>
      <c r="R31" s="126"/>
      <c r="S31" s="124"/>
      <c r="T31" s="124"/>
      <c r="U31" s="124"/>
      <c r="V31" s="124"/>
      <c r="W31" s="124"/>
      <c r="X31" s="127"/>
      <c r="Y31" s="126"/>
      <c r="Z31" s="124"/>
      <c r="AA31" s="124"/>
      <c r="AB31" s="124"/>
      <c r="AC31" s="124"/>
      <c r="AD31" s="124"/>
      <c r="AE31" s="124"/>
      <c r="AF31" s="124"/>
      <c r="AG31" s="127"/>
    </row>
    <row r="32" spans="2:33" customFormat="1" x14ac:dyDescent="0.25">
      <c r="B32" s="122" t="s">
        <v>58</v>
      </c>
      <c r="C32" s="100"/>
      <c r="D32" s="123" t="str">
        <f>IF(mfManualSCr&lt;&gt;0,mfManualSCr,"")</f>
        <v/>
      </c>
      <c r="E32" s="128"/>
      <c r="F32" s="128"/>
      <c r="G32" s="128"/>
      <c r="H32" s="128"/>
      <c r="I32" s="128"/>
      <c r="J32" s="129"/>
      <c r="K32" s="130"/>
      <c r="L32" s="128"/>
      <c r="M32" s="128"/>
      <c r="N32" s="128"/>
      <c r="O32" s="128"/>
      <c r="P32" s="128"/>
      <c r="Q32" s="131"/>
      <c r="R32" s="130"/>
      <c r="S32" s="128"/>
      <c r="T32" s="128"/>
      <c r="U32" s="128"/>
      <c r="V32" s="128"/>
      <c r="W32" s="128"/>
      <c r="X32" s="131"/>
      <c r="Y32" s="130"/>
      <c r="Z32" s="128"/>
      <c r="AA32" s="128"/>
      <c r="AB32" s="128"/>
      <c r="AC32" s="128"/>
      <c r="AD32" s="128"/>
      <c r="AE32" s="128"/>
      <c r="AF32" s="128"/>
      <c r="AG32" s="131"/>
    </row>
    <row r="33" spans="2:33" customFormat="1" x14ac:dyDescent="0.25">
      <c r="B33" s="132" t="s">
        <v>59</v>
      </c>
      <c r="C33" s="100"/>
      <c r="D33" s="133">
        <f t="shared" ref="D33:AG33" si="6">IF(AND(mfGender&lt;&gt;"",mfAge&lt;&gt;"",mfWtUsed&lt;&gt;"",D31&lt;&gt;""),(140-mfAge)*mfWtUsed/(D31*72)*IF(mfGender="M",1,0.85),"")</f>
        <v>60.631186868686868</v>
      </c>
      <c r="E33" s="133" t="str">
        <f t="shared" si="6"/>
        <v/>
      </c>
      <c r="F33" s="133" t="str">
        <f t="shared" si="6"/>
        <v/>
      </c>
      <c r="G33" s="133" t="str">
        <f t="shared" si="6"/>
        <v/>
      </c>
      <c r="H33" s="133" t="str">
        <f t="shared" si="6"/>
        <v/>
      </c>
      <c r="I33" s="133" t="str">
        <f t="shared" si="6"/>
        <v/>
      </c>
      <c r="J33" s="134" t="str">
        <f t="shared" si="6"/>
        <v/>
      </c>
      <c r="K33" s="135" t="str">
        <f t="shared" si="6"/>
        <v/>
      </c>
      <c r="L33" s="133" t="str">
        <f t="shared" si="6"/>
        <v/>
      </c>
      <c r="M33" s="133" t="str">
        <f t="shared" si="6"/>
        <v/>
      </c>
      <c r="N33" s="133" t="str">
        <f t="shared" si="6"/>
        <v/>
      </c>
      <c r="O33" s="133" t="str">
        <f t="shared" si="6"/>
        <v/>
      </c>
      <c r="P33" s="133" t="str">
        <f t="shared" si="6"/>
        <v/>
      </c>
      <c r="Q33" s="134" t="str">
        <f t="shared" si="6"/>
        <v/>
      </c>
      <c r="R33" s="135" t="str">
        <f t="shared" si="6"/>
        <v/>
      </c>
      <c r="S33" s="133" t="str">
        <f t="shared" si="6"/>
        <v/>
      </c>
      <c r="T33" s="133" t="str">
        <f t="shared" si="6"/>
        <v/>
      </c>
      <c r="U33" s="133" t="str">
        <f t="shared" si="6"/>
        <v/>
      </c>
      <c r="V33" s="133" t="str">
        <f t="shared" si="6"/>
        <v/>
      </c>
      <c r="W33" s="133" t="str">
        <f t="shared" si="6"/>
        <v/>
      </c>
      <c r="X33" s="134" t="str">
        <f t="shared" si="6"/>
        <v/>
      </c>
      <c r="Y33" s="135" t="str">
        <f t="shared" si="6"/>
        <v/>
      </c>
      <c r="Z33" s="133" t="str">
        <f t="shared" si="6"/>
        <v/>
      </c>
      <c r="AA33" s="133" t="str">
        <f t="shared" si="6"/>
        <v/>
      </c>
      <c r="AB33" s="133" t="str">
        <f t="shared" si="6"/>
        <v/>
      </c>
      <c r="AC33" s="133" t="str">
        <f t="shared" si="6"/>
        <v/>
      </c>
      <c r="AD33" s="133" t="str">
        <f t="shared" si="6"/>
        <v/>
      </c>
      <c r="AE33" s="133" t="str">
        <f t="shared" si="6"/>
        <v/>
      </c>
      <c r="AF33" s="133" t="str">
        <f t="shared" si="6"/>
        <v/>
      </c>
      <c r="AG33" s="134" t="str">
        <f t="shared" si="6"/>
        <v/>
      </c>
    </row>
    <row r="34" spans="2:33" customFormat="1" x14ac:dyDescent="0.25">
      <c r="B34" s="132" t="s">
        <v>60</v>
      </c>
      <c r="C34" s="100"/>
      <c r="D34" s="123" t="str">
        <f>IF(mfManualCrCl&lt;&gt;"",mfManualCrCl,"")</f>
        <v/>
      </c>
      <c r="E34" s="128"/>
      <c r="F34" s="128"/>
      <c r="G34" s="128"/>
      <c r="H34" s="128"/>
      <c r="I34" s="128"/>
      <c r="J34" s="136"/>
      <c r="K34" s="137"/>
      <c r="L34" s="128"/>
      <c r="M34" s="128"/>
      <c r="N34" s="128"/>
      <c r="O34" s="128"/>
      <c r="P34" s="128"/>
      <c r="Q34" s="136"/>
      <c r="R34" s="137"/>
      <c r="S34" s="128"/>
      <c r="T34" s="128"/>
      <c r="U34" s="128"/>
      <c r="V34" s="128"/>
      <c r="W34" s="128"/>
      <c r="X34" s="136"/>
      <c r="Y34" s="137"/>
      <c r="Z34" s="128"/>
      <c r="AA34" s="128"/>
      <c r="AB34" s="128"/>
      <c r="AC34" s="128"/>
      <c r="AD34" s="128"/>
      <c r="AE34" s="128"/>
      <c r="AF34" s="128"/>
      <c r="AG34" s="136"/>
    </row>
    <row r="35" spans="2:33" customFormat="1" x14ac:dyDescent="0.25">
      <c r="B35" s="132" t="s">
        <v>61</v>
      </c>
      <c r="C35" s="100"/>
      <c r="D35" s="138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2.7260932651515146</v>
      </c>
      <c r="E35" s="139" t="str">
        <f t="shared" ref="E35:AG35" si="7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/>
      </c>
      <c r="F35" s="139" t="str">
        <f t="shared" si="7"/>
        <v/>
      </c>
      <c r="G35" s="139" t="str">
        <f t="shared" si="7"/>
        <v/>
      </c>
      <c r="H35" s="139" t="str">
        <f t="shared" si="7"/>
        <v/>
      </c>
      <c r="I35" s="139" t="str">
        <f t="shared" si="7"/>
        <v/>
      </c>
      <c r="J35" s="140" t="str">
        <f t="shared" si="7"/>
        <v/>
      </c>
      <c r="K35" s="139" t="str">
        <f t="shared" si="7"/>
        <v/>
      </c>
      <c r="L35" s="139" t="str">
        <f t="shared" si="7"/>
        <v/>
      </c>
      <c r="M35" s="139" t="str">
        <f t="shared" si="7"/>
        <v/>
      </c>
      <c r="N35" s="139" t="str">
        <f t="shared" si="7"/>
        <v/>
      </c>
      <c r="O35" s="139" t="str">
        <f t="shared" si="7"/>
        <v/>
      </c>
      <c r="P35" s="139" t="str">
        <f t="shared" si="7"/>
        <v/>
      </c>
      <c r="Q35" s="140" t="str">
        <f t="shared" si="7"/>
        <v/>
      </c>
      <c r="R35" s="139" t="str">
        <f t="shared" si="7"/>
        <v/>
      </c>
      <c r="S35" s="139" t="str">
        <f t="shared" si="7"/>
        <v/>
      </c>
      <c r="T35" s="139" t="str">
        <f t="shared" si="7"/>
        <v/>
      </c>
      <c r="U35" s="139" t="str">
        <f t="shared" si="7"/>
        <v/>
      </c>
      <c r="V35" s="139" t="str">
        <f t="shared" si="7"/>
        <v/>
      </c>
      <c r="W35" s="139" t="str">
        <f t="shared" si="7"/>
        <v/>
      </c>
      <c r="X35" s="140" t="str">
        <f t="shared" si="7"/>
        <v/>
      </c>
      <c r="Y35" s="139" t="str">
        <f t="shared" si="7"/>
        <v/>
      </c>
      <c r="Z35" s="139" t="str">
        <f t="shared" si="7"/>
        <v/>
      </c>
      <c r="AA35" s="139" t="str">
        <f t="shared" si="7"/>
        <v/>
      </c>
      <c r="AB35" s="139" t="str">
        <f t="shared" si="7"/>
        <v/>
      </c>
      <c r="AC35" s="139" t="str">
        <f t="shared" si="7"/>
        <v/>
      </c>
      <c r="AD35" s="139" t="str">
        <f t="shared" si="7"/>
        <v/>
      </c>
      <c r="AE35" s="139" t="str">
        <f t="shared" si="7"/>
        <v/>
      </c>
      <c r="AF35" s="139" t="str">
        <f t="shared" si="7"/>
        <v/>
      </c>
      <c r="AG35" s="140" t="str">
        <f t="shared" si="7"/>
        <v/>
      </c>
    </row>
    <row r="36" spans="2:33" customFormat="1" x14ac:dyDescent="0.25">
      <c r="B36" s="132" t="s">
        <v>62</v>
      </c>
      <c r="C36" s="100"/>
      <c r="D36" s="141">
        <f t="shared" ref="D36:AG36" si="8">IF(AND(D35&lt;&gt;"",mfVd&lt;&gt;""),D35/mfVd,"")</f>
        <v>6.9783521442506449E-2</v>
      </c>
      <c r="E36" s="141" t="str">
        <f t="shared" si="8"/>
        <v/>
      </c>
      <c r="F36" s="141" t="str">
        <f t="shared" si="8"/>
        <v/>
      </c>
      <c r="G36" s="141" t="str">
        <f t="shared" si="8"/>
        <v/>
      </c>
      <c r="H36" s="141" t="str">
        <f t="shared" si="8"/>
        <v/>
      </c>
      <c r="I36" s="141" t="str">
        <f t="shared" si="8"/>
        <v/>
      </c>
      <c r="J36" s="142" t="str">
        <f t="shared" si="8"/>
        <v/>
      </c>
      <c r="K36" s="143" t="str">
        <f t="shared" si="8"/>
        <v/>
      </c>
      <c r="L36" s="141" t="str">
        <f t="shared" si="8"/>
        <v/>
      </c>
      <c r="M36" s="141" t="str">
        <f t="shared" si="8"/>
        <v/>
      </c>
      <c r="N36" s="141" t="str">
        <f t="shared" si="8"/>
        <v/>
      </c>
      <c r="O36" s="141" t="str">
        <f t="shared" si="8"/>
        <v/>
      </c>
      <c r="P36" s="141" t="str">
        <f t="shared" si="8"/>
        <v/>
      </c>
      <c r="Q36" s="144" t="str">
        <f t="shared" si="8"/>
        <v/>
      </c>
      <c r="R36" s="143" t="str">
        <f t="shared" si="8"/>
        <v/>
      </c>
      <c r="S36" s="141" t="str">
        <f t="shared" si="8"/>
        <v/>
      </c>
      <c r="T36" s="141" t="str">
        <f t="shared" si="8"/>
        <v/>
      </c>
      <c r="U36" s="141" t="str">
        <f t="shared" si="8"/>
        <v/>
      </c>
      <c r="V36" s="141" t="str">
        <f t="shared" si="8"/>
        <v/>
      </c>
      <c r="W36" s="141" t="str">
        <f t="shared" si="8"/>
        <v/>
      </c>
      <c r="X36" s="144" t="str">
        <f t="shared" si="8"/>
        <v/>
      </c>
      <c r="Y36" s="143" t="str">
        <f t="shared" si="8"/>
        <v/>
      </c>
      <c r="Z36" s="141" t="str">
        <f t="shared" si="8"/>
        <v/>
      </c>
      <c r="AA36" s="141" t="str">
        <f t="shared" si="8"/>
        <v/>
      </c>
      <c r="AB36" s="141" t="str">
        <f t="shared" si="8"/>
        <v/>
      </c>
      <c r="AC36" s="141" t="str">
        <f t="shared" si="8"/>
        <v/>
      </c>
      <c r="AD36" s="141" t="str">
        <f t="shared" si="8"/>
        <v/>
      </c>
      <c r="AE36" s="141" t="str">
        <f t="shared" si="8"/>
        <v/>
      </c>
      <c r="AF36" s="141" t="str">
        <f t="shared" si="8"/>
        <v/>
      </c>
      <c r="AG36" s="142" t="str">
        <f t="shared" si="8"/>
        <v/>
      </c>
    </row>
    <row r="37" spans="2:33" customFormat="1" x14ac:dyDescent="0.25">
      <c r="B37" s="132" t="s">
        <v>63</v>
      </c>
      <c r="C37" s="100"/>
      <c r="D37" s="145"/>
      <c r="E37" s="145"/>
      <c r="F37" s="146"/>
      <c r="G37" s="146"/>
      <c r="H37" s="146"/>
      <c r="I37" s="146"/>
      <c r="J37" s="147"/>
      <c r="K37" s="146"/>
      <c r="L37" s="146"/>
      <c r="M37" s="146"/>
      <c r="N37" s="146"/>
      <c r="O37" s="146"/>
      <c r="P37" s="146"/>
      <c r="Q37" s="147"/>
      <c r="R37" s="145"/>
      <c r="S37" s="146"/>
      <c r="T37" s="146"/>
      <c r="U37" s="146"/>
      <c r="V37" s="146"/>
      <c r="W37" s="146"/>
      <c r="X37" s="147"/>
      <c r="Y37" s="145"/>
      <c r="Z37" s="146"/>
      <c r="AA37" s="146"/>
      <c r="AB37" s="146"/>
      <c r="AC37" s="146"/>
      <c r="AD37" s="146"/>
      <c r="AE37" s="146"/>
      <c r="AF37" s="146"/>
      <c r="AG37" s="147"/>
    </row>
    <row r="38" spans="2:33" customFormat="1" x14ac:dyDescent="0.25">
      <c r="B38" s="132" t="s">
        <v>64</v>
      </c>
      <c r="C38" s="100"/>
      <c r="D38" s="145"/>
      <c r="E38" s="145"/>
      <c r="F38" s="146"/>
      <c r="G38" s="146"/>
      <c r="H38" s="146"/>
      <c r="I38" s="146"/>
      <c r="J38" s="147"/>
      <c r="K38" s="146"/>
      <c r="L38" s="146"/>
      <c r="M38" s="146"/>
      <c r="N38" s="146"/>
      <c r="O38" s="146"/>
      <c r="P38" s="146"/>
      <c r="Q38" s="147"/>
      <c r="R38" s="145"/>
      <c r="S38" s="146"/>
      <c r="T38" s="146"/>
      <c r="U38" s="146"/>
      <c r="V38" s="146"/>
      <c r="W38" s="146"/>
      <c r="X38" s="147"/>
      <c r="Y38" s="145"/>
      <c r="Z38" s="146"/>
      <c r="AA38" s="146"/>
      <c r="AB38" s="146"/>
      <c r="AC38" s="146"/>
      <c r="AD38" s="146"/>
      <c r="AE38" s="146"/>
      <c r="AF38" s="146"/>
      <c r="AG38" s="147"/>
    </row>
    <row r="39" spans="2:33" customFormat="1" x14ac:dyDescent="0.25">
      <c r="B39" s="148" t="s">
        <v>65</v>
      </c>
      <c r="C39" s="100"/>
      <c r="D39" s="149"/>
      <c r="E39" s="149"/>
      <c r="F39" s="150"/>
      <c r="G39" s="150"/>
      <c r="H39" s="150"/>
      <c r="I39" s="150"/>
      <c r="J39" s="151"/>
      <c r="K39" s="150"/>
      <c r="L39" s="150"/>
      <c r="M39" s="150"/>
      <c r="N39" s="150"/>
      <c r="O39" s="150"/>
      <c r="P39" s="150"/>
      <c r="Q39" s="151"/>
      <c r="R39" s="149"/>
      <c r="S39" s="150"/>
      <c r="T39" s="150"/>
      <c r="U39" s="150"/>
      <c r="V39" s="150"/>
      <c r="W39" s="150"/>
      <c r="X39" s="151"/>
      <c r="Y39" s="149"/>
      <c r="Z39" s="150"/>
      <c r="AA39" s="150"/>
      <c r="AB39" s="150"/>
      <c r="AC39" s="150"/>
      <c r="AD39" s="150"/>
      <c r="AE39" s="150"/>
      <c r="AF39" s="150"/>
      <c r="AG39" s="151"/>
    </row>
    <row r="40" spans="2:33" customFormat="1" x14ac:dyDescent="0.25">
      <c r="B40" s="148" t="s">
        <v>66</v>
      </c>
      <c r="C40" s="100"/>
      <c r="D40" s="149"/>
      <c r="E40" s="149"/>
      <c r="F40" s="150"/>
      <c r="G40" s="150"/>
      <c r="H40" s="150"/>
      <c r="I40" s="150"/>
      <c r="J40" s="151"/>
      <c r="K40" s="150"/>
      <c r="L40" s="150"/>
      <c r="M40" s="150"/>
      <c r="N40" s="150"/>
      <c r="O40" s="150"/>
      <c r="P40" s="150"/>
      <c r="Q40" s="151"/>
      <c r="R40" s="149"/>
      <c r="S40" s="150"/>
      <c r="T40" s="150"/>
      <c r="U40" s="150"/>
      <c r="V40" s="150"/>
      <c r="W40" s="150"/>
      <c r="X40" s="151"/>
      <c r="Y40" s="149"/>
      <c r="Z40" s="150"/>
      <c r="AA40" s="150"/>
      <c r="AB40" s="150"/>
      <c r="AC40" s="150"/>
      <c r="AD40" s="150"/>
      <c r="AE40" s="150"/>
      <c r="AF40" s="150"/>
      <c r="AG40" s="151"/>
    </row>
    <row r="41" spans="2:33" customFormat="1" ht="34.5" customHeight="1" x14ac:dyDescent="0.25">
      <c r="B41" s="103" t="s">
        <v>67</v>
      </c>
      <c r="C41" s="100"/>
      <c r="D41" s="152"/>
      <c r="E41" s="152"/>
      <c r="F41" s="152"/>
      <c r="G41" s="152"/>
      <c r="H41" s="152"/>
      <c r="I41" s="152"/>
      <c r="J41" s="153"/>
      <c r="K41" s="152"/>
      <c r="L41" s="152"/>
      <c r="M41" s="152"/>
      <c r="N41" s="152"/>
      <c r="O41" s="152"/>
      <c r="P41" s="152"/>
      <c r="Q41" s="153"/>
      <c r="R41" s="152"/>
      <c r="S41" s="152"/>
      <c r="T41" s="152"/>
      <c r="U41" s="152"/>
      <c r="V41" s="152"/>
      <c r="W41" s="152"/>
      <c r="X41" s="153"/>
      <c r="Y41" s="152"/>
      <c r="Z41" s="152"/>
      <c r="AA41" s="152"/>
      <c r="AB41" s="152"/>
      <c r="AC41" s="152"/>
      <c r="AD41" s="152"/>
      <c r="AE41" s="152"/>
      <c r="AF41" s="152"/>
      <c r="AG41" s="153"/>
    </row>
    <row r="42" spans="2:33" customFormat="1" ht="57.75" customHeight="1" x14ac:dyDescent="0.25">
      <c r="B42" s="103" t="s">
        <v>68</v>
      </c>
      <c r="C42" s="100"/>
      <c r="D42" s="154" t="s">
        <v>69</v>
      </c>
      <c r="E42" s="155"/>
      <c r="F42" s="155"/>
      <c r="G42" s="155"/>
      <c r="H42" s="155"/>
      <c r="I42" s="155"/>
      <c r="J42" s="156"/>
      <c r="Q42" s="157"/>
      <c r="X42" s="157"/>
      <c r="AG42" s="157"/>
    </row>
    <row r="43" spans="2:33" customFormat="1" ht="57.75" customHeight="1" thickBot="1" x14ac:dyDescent="0.3">
      <c r="B43" s="158" t="s">
        <v>70</v>
      </c>
      <c r="C43" s="159"/>
      <c r="D43" s="160"/>
      <c r="E43" s="161" t="s">
        <v>71</v>
      </c>
      <c r="F43" s="162" t="s">
        <v>72</v>
      </c>
      <c r="G43" s="163"/>
      <c r="H43" s="163"/>
      <c r="I43" s="163"/>
      <c r="J43" s="164"/>
      <c r="Q43" s="165"/>
      <c r="X43" s="165"/>
      <c r="AG43" s="165"/>
    </row>
    <row r="44" spans="2:33" customFormat="1" ht="16.5" thickTop="1" thickBot="1" x14ac:dyDescent="0.3">
      <c r="B44" s="166"/>
      <c r="C44" s="167"/>
      <c r="D44" s="168"/>
      <c r="E44" s="168"/>
      <c r="F44" s="168"/>
      <c r="G44" s="168"/>
      <c r="H44" s="168"/>
      <c r="I44" s="168"/>
      <c r="J44" s="169"/>
      <c r="K44" s="168"/>
      <c r="L44" s="168"/>
      <c r="M44" s="168"/>
      <c r="N44" s="168"/>
      <c r="O44" s="168"/>
      <c r="P44" s="168"/>
      <c r="Q44" s="169"/>
      <c r="R44" s="168"/>
      <c r="S44" s="168"/>
      <c r="T44" s="168"/>
      <c r="U44" s="168"/>
      <c r="V44" s="168"/>
      <c r="W44" s="168"/>
      <c r="X44" s="169"/>
      <c r="Y44" s="168"/>
      <c r="Z44" s="168"/>
      <c r="AA44" s="168"/>
      <c r="AB44" s="168"/>
      <c r="AC44" s="168"/>
      <c r="AD44" s="168"/>
      <c r="AE44" s="168"/>
      <c r="AF44" s="168"/>
      <c r="AG44" s="169"/>
    </row>
    <row r="45" spans="2:33" customFormat="1" ht="20.100000000000001" customHeight="1" thickTop="1" x14ac:dyDescent="0.25">
      <c r="B45" s="170" t="s">
        <v>73</v>
      </c>
      <c r="C45" s="171"/>
      <c r="D45" s="172"/>
      <c r="E45" s="172"/>
      <c r="F45" s="172"/>
      <c r="G45" s="172"/>
      <c r="H45" s="172"/>
      <c r="I45" s="172"/>
      <c r="J45" s="173"/>
      <c r="K45" s="172"/>
      <c r="L45" s="172"/>
      <c r="M45" s="172"/>
      <c r="N45" s="172"/>
      <c r="O45" s="172"/>
      <c r="P45" s="172"/>
      <c r="Q45" s="173"/>
      <c r="R45" s="172"/>
      <c r="S45" s="172"/>
      <c r="T45" s="172"/>
      <c r="U45" s="172"/>
      <c r="V45" s="172"/>
      <c r="W45" s="172"/>
      <c r="X45" s="173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3" customFormat="1" ht="20.100000000000001" customHeight="1" x14ac:dyDescent="0.25">
      <c r="B46" s="174"/>
      <c r="C46" s="175"/>
      <c r="D46" s="176"/>
      <c r="E46" s="176"/>
      <c r="F46" s="176"/>
      <c r="G46" s="176"/>
      <c r="H46" s="176"/>
      <c r="I46" s="176"/>
      <c r="J46" s="177"/>
      <c r="K46" s="176"/>
      <c r="L46" s="176"/>
      <c r="M46" s="176"/>
      <c r="N46" s="176"/>
      <c r="O46" s="176"/>
      <c r="P46" s="176"/>
      <c r="Q46" s="177"/>
      <c r="R46" s="176"/>
      <c r="S46" s="176"/>
      <c r="T46" s="176"/>
      <c r="U46" s="176"/>
      <c r="V46" s="176"/>
      <c r="W46" s="176"/>
      <c r="X46" s="177"/>
      <c r="Y46" s="176"/>
      <c r="Z46" s="176"/>
      <c r="AA46" s="176"/>
      <c r="AB46" s="176"/>
      <c r="AC46" s="176"/>
      <c r="AD46" s="176"/>
      <c r="AE46" s="176"/>
      <c r="AF46" s="176"/>
      <c r="AG46" s="177"/>
    </row>
    <row r="47" spans="2:33" customFormat="1" ht="20.100000000000001" customHeight="1" x14ac:dyDescent="0.25">
      <c r="B47" s="174"/>
      <c r="C47" s="175"/>
      <c r="D47" s="176"/>
      <c r="E47" s="176"/>
      <c r="F47" s="176"/>
      <c r="G47" s="176"/>
      <c r="H47" s="176"/>
      <c r="I47" s="176"/>
      <c r="J47" s="177"/>
      <c r="K47" s="176"/>
      <c r="L47" s="176"/>
      <c r="M47" s="176"/>
      <c r="N47" s="176"/>
      <c r="O47" s="176"/>
      <c r="P47" s="176"/>
      <c r="Q47" s="177"/>
      <c r="R47" s="176"/>
      <c r="S47" s="176"/>
      <c r="T47" s="176"/>
      <c r="U47" s="176"/>
      <c r="V47" s="176"/>
      <c r="W47" s="176"/>
      <c r="X47" s="177"/>
      <c r="Y47" s="176"/>
      <c r="Z47" s="176"/>
      <c r="AA47" s="176"/>
      <c r="AB47" s="176"/>
      <c r="AC47" s="176"/>
      <c r="AD47" s="176"/>
      <c r="AE47" s="176"/>
      <c r="AF47" s="176"/>
      <c r="AG47" s="177"/>
    </row>
    <row r="48" spans="2:33" customFormat="1" ht="20.100000000000001" customHeight="1" x14ac:dyDescent="0.25">
      <c r="B48" s="174"/>
      <c r="C48" s="175"/>
      <c r="D48" s="176"/>
      <c r="E48" s="178"/>
      <c r="J48" s="177"/>
      <c r="Q48" s="157"/>
      <c r="X48" s="157"/>
      <c r="AG48" s="177"/>
    </row>
    <row r="49" spans="2:33" customFormat="1" ht="20.100000000000001" customHeight="1" thickBot="1" x14ac:dyDescent="0.3">
      <c r="B49" s="179"/>
      <c r="C49" s="180"/>
      <c r="D49" s="181"/>
      <c r="E49" s="181"/>
      <c r="F49" s="180"/>
      <c r="G49" s="180"/>
      <c r="H49" s="181"/>
      <c r="I49" s="181"/>
      <c r="J49" s="182"/>
      <c r="K49" s="181"/>
      <c r="L49" s="181"/>
      <c r="M49" s="181"/>
      <c r="N49" s="181"/>
      <c r="O49" s="181"/>
      <c r="P49" s="181"/>
      <c r="Q49" s="182"/>
      <c r="R49" s="181"/>
      <c r="S49" s="181"/>
      <c r="T49" s="181"/>
      <c r="U49" s="181"/>
      <c r="V49" s="181"/>
      <c r="W49" s="181"/>
      <c r="X49" s="182"/>
      <c r="Y49" s="181"/>
      <c r="Z49" s="181"/>
      <c r="AA49" s="181"/>
      <c r="AB49" s="181"/>
      <c r="AC49" s="181"/>
      <c r="AD49" s="181"/>
      <c r="AE49" s="181"/>
      <c r="AF49" s="181"/>
      <c r="AG49" s="182"/>
    </row>
    <row r="50" spans="2:33" customFormat="1" ht="15.75" thickTop="1" x14ac:dyDescent="0.25"/>
    <row r="53" spans="2:33" x14ac:dyDescent="0.25">
      <c r="B53" s="183" t="s">
        <v>74</v>
      </c>
      <c r="D53" s="184" t="s">
        <v>75</v>
      </c>
      <c r="F53" s="184" t="s">
        <v>76</v>
      </c>
      <c r="H53" s="184" t="s">
        <v>77</v>
      </c>
      <c r="J53" s="184" t="s">
        <v>78</v>
      </c>
      <c r="L53" s="184" t="s">
        <v>79</v>
      </c>
      <c r="M53" s="184" t="s">
        <v>80</v>
      </c>
      <c r="N53" s="184" t="s">
        <v>81</v>
      </c>
      <c r="O53" s="184" t="s">
        <v>82</v>
      </c>
      <c r="Q53" s="184" t="s">
        <v>83</v>
      </c>
      <c r="S53" s="184" t="s">
        <v>84</v>
      </c>
      <c r="U53" s="184" t="s">
        <v>85</v>
      </c>
      <c r="W53" s="184" t="s">
        <v>86</v>
      </c>
    </row>
    <row r="54" spans="2:33" x14ac:dyDescent="0.25">
      <c r="D54" s="184">
        <v>6</v>
      </c>
      <c r="F54" s="184" t="s">
        <v>87</v>
      </c>
      <c r="H54" s="184">
        <v>750</v>
      </c>
      <c r="J54" s="184">
        <v>750</v>
      </c>
      <c r="L54" s="184" t="s">
        <v>88</v>
      </c>
      <c r="M54" s="184">
        <v>0</v>
      </c>
      <c r="N54" s="184" t="s">
        <v>89</v>
      </c>
      <c r="O54" s="185">
        <f>IF(mfManualCrCl&lt;&gt;"", mfManualCrCl, IF(mfCrCl="","",IF(mfCrCl&gt;150, 150, mfCrCl)))</f>
        <v>60.631186868686868</v>
      </c>
      <c r="Q54" s="184" t="s">
        <v>13</v>
      </c>
      <c r="S54" s="184">
        <v>0.65</v>
      </c>
      <c r="U54" s="184">
        <v>1000</v>
      </c>
      <c r="W54" s="184" t="b">
        <v>1</v>
      </c>
    </row>
    <row r="55" spans="2:33" x14ac:dyDescent="0.25">
      <c r="D55" s="184">
        <v>8</v>
      </c>
      <c r="F55" s="184" t="s">
        <v>90</v>
      </c>
      <c r="H55" s="184">
        <v>1000</v>
      </c>
      <c r="J55" s="184">
        <v>1000</v>
      </c>
      <c r="L55" s="184">
        <v>15</v>
      </c>
      <c r="M55" s="184">
        <v>15</v>
      </c>
      <c r="N55" s="184" t="s">
        <v>81</v>
      </c>
      <c r="O55" s="184">
        <v>2</v>
      </c>
      <c r="Q55" s="184" t="s">
        <v>91</v>
      </c>
      <c r="S55" s="184">
        <v>0.6</v>
      </c>
      <c r="U55" s="184">
        <v>750</v>
      </c>
    </row>
    <row r="56" spans="2:33" x14ac:dyDescent="0.25">
      <c r="D56" s="184">
        <v>12</v>
      </c>
      <c r="H56" s="184">
        <v>1250</v>
      </c>
      <c r="J56" s="184">
        <v>1250</v>
      </c>
      <c r="L56" s="184">
        <v>30</v>
      </c>
      <c r="M56" s="184">
        <v>15</v>
      </c>
      <c r="N56" s="184" t="s">
        <v>92</v>
      </c>
      <c r="O56" s="184">
        <f>M61*2-SUM(O54:O55)</f>
        <v>237.36881313131312</v>
      </c>
      <c r="S56" s="184">
        <v>0.7</v>
      </c>
      <c r="U56" s="184">
        <v>600</v>
      </c>
    </row>
    <row r="57" spans="2:33" x14ac:dyDescent="0.25">
      <c r="D57" s="184">
        <v>18</v>
      </c>
      <c r="H57" s="184">
        <v>1500</v>
      </c>
      <c r="J57" s="184">
        <v>1500</v>
      </c>
      <c r="L57" s="184">
        <v>45</v>
      </c>
      <c r="M57" s="184">
        <v>15</v>
      </c>
      <c r="S57" s="184">
        <v>0.5</v>
      </c>
    </row>
    <row r="58" spans="2:33" x14ac:dyDescent="0.25">
      <c r="D58" s="184">
        <v>24</v>
      </c>
      <c r="H58" s="184">
        <v>1750</v>
      </c>
      <c r="J58" s="184">
        <v>1750</v>
      </c>
      <c r="L58" s="184">
        <v>60</v>
      </c>
      <c r="M58" s="184">
        <v>15</v>
      </c>
      <c r="O58" s="186">
        <f>IF(mfManualCrCl&lt;&gt;"", mfManualCrCl, mfCrCl)</f>
        <v>60.631186868686868</v>
      </c>
    </row>
    <row r="59" spans="2:33" x14ac:dyDescent="0.25">
      <c r="D59" s="184">
        <v>36</v>
      </c>
      <c r="H59" s="184">
        <v>2000</v>
      </c>
      <c r="J59" s="184">
        <v>2000</v>
      </c>
      <c r="L59" s="184">
        <v>90</v>
      </c>
      <c r="M59" s="184">
        <v>30</v>
      </c>
    </row>
    <row r="60" spans="2:33" x14ac:dyDescent="0.25">
      <c r="D60" s="184">
        <v>48</v>
      </c>
      <c r="H60" s="184">
        <v>2250</v>
      </c>
      <c r="L60" s="184">
        <v>150</v>
      </c>
      <c r="M60" s="184">
        <v>60</v>
      </c>
    </row>
    <row r="61" spans="2:33" x14ac:dyDescent="0.25">
      <c r="D61" s="184">
        <v>72</v>
      </c>
      <c r="H61" s="184">
        <v>2500</v>
      </c>
      <c r="L61" s="184" t="s">
        <v>93</v>
      </c>
      <c r="M61" s="184">
        <f>SUM(M54:M60)</f>
        <v>150</v>
      </c>
    </row>
    <row r="62" spans="2:33" x14ac:dyDescent="0.25">
      <c r="H62" s="184">
        <v>2750</v>
      </c>
    </row>
    <row r="63" spans="2:33" x14ac:dyDescent="0.25">
      <c r="H63" s="184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63FA1607-D07B-4359-A2C6-9D3BFD85066A}">
      <formula1>INDIRECT("mfInfRates")</formula1>
    </dataValidation>
    <dataValidation type="list" allowBlank="1" showDropDown="1" showInputMessage="1" showErrorMessage="1" sqref="S6" xr:uid="{8E6E89D1-E2C8-4422-B776-38FFB978DA57}">
      <formula1>INDIRECT("mfVdOptions")</formula1>
    </dataValidation>
    <dataValidation type="list" allowBlank="1" showInputMessage="1" showErrorMessage="1" sqref="S5" xr:uid="{83FF7FB3-5DB3-4AB1-AD76-3FEC880A458A}">
      <formula1>INDIRECT("mfPKEquations")</formula1>
    </dataValidation>
    <dataValidation type="list" allowBlank="1" showInputMessage="1" showErrorMessage="1" sqref="G6" xr:uid="{A88796E3-0552-44EB-91F4-C531CD944EFD}">
      <formula1>INDIRECT("GenderChar")</formula1>
    </dataValidation>
    <dataValidation type="list" allowBlank="1" showInputMessage="1" showErrorMessage="1" sqref="D15:AG15" xr:uid="{A1697052-BD10-43A0-851F-B3D2BA085026}">
      <formula1>INDIRECT("Frequencies")</formula1>
    </dataValidation>
    <dataValidation type="list" allowBlank="1" showInputMessage="1" showErrorMessage="1" sqref="D14:AG14" xr:uid="{6E762BC8-0D86-4D80-873F-5BFF59692B2B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2020-12-08T16:32:16Z</dcterms:created>
  <dcterms:modified xsi:type="dcterms:W3CDTF">2020-12-08T16:32:17Z</dcterms:modified>
</cp:coreProperties>
</file>