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426" codeName="{4D1C537B-E38A-612A-F078-A93A15B4B7F4}"/>
  <workbookPr codeName="ThisWorkbook"/>
  <mc:AlternateContent xmlns:mc="http://schemas.openxmlformats.org/markup-compatibility/2006">
    <mc:Choice Requires="x15">
      <x15ac:absPath xmlns:x15ac="http://schemas.microsoft.com/office/spreadsheetml/2010/11/ac" url="C:\code\Git\wrmc\vanco-auc\"/>
    </mc:Choice>
  </mc:AlternateContent>
  <xr:revisionPtr revIDLastSave="0" documentId="13_ncr:1_{A50FF89A-310B-4424-956A-9A0408DF08F4}" xr6:coauthVersionLast="45" xr6:coauthVersionMax="45" xr10:uidLastSave="{00000000-0000-0000-0000-000000000000}"/>
  <bookViews>
    <workbookView showHorizontalScroll="0" showVerticalScroll="0" xWindow="1980" yWindow="480" windowWidth="12510" windowHeight="9930" xr2:uid="{00000000-000D-0000-FFFF-FFFF00000000}"/>
  </bookViews>
  <sheets>
    <sheet name="Landing Page" sheetId="2" r:id="rId1"/>
    <sheet name="Patient View" sheetId="8" state="hidden" r:id="rId2"/>
    <sheet name="db" sheetId="1" state="hidden" r:id="rId3"/>
    <sheet name="dbMisc" sheetId="16" r:id="rId4"/>
    <sheet name="dbSite" sheetId="9" r:id="rId5"/>
    <sheet name="MonitoringForm" sheetId="14"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DifferentDay">MonitoringForm!$W$54</definedName>
    <definedName name="Height">'Patient View'!$C$16</definedName>
    <definedName name="HtCm">MonitoringForm!$G$7</definedName>
    <definedName name="Location">'Patient View'!$C$7</definedName>
    <definedName name="mfABW">MonitoringForm!$I$7</definedName>
    <definedName name="mfAdjBW">MonitoringForm!$I$9</definedName>
    <definedName name="mfAge">MonitoringForm!$G$5</definedName>
    <definedName name="mfBMI" localSheetId="5">MonitoringForm!$K$5</definedName>
    <definedName name="mfCLVanco">MonitoringForm!$U$8</definedName>
    <definedName name="mfCrCl">MonitoringForm!$M$9</definedName>
    <definedName name="mfFIN">MonitoringForm!$D$8</definedName>
    <definedName name="mfFirstName">MonitoringForm!$D$7</definedName>
    <definedName name="mfGender">MonitoringForm!$G$6</definedName>
    <definedName name="mfHt">MonitoringForm!$G$7</definedName>
    <definedName name="mfIBW">MonitoringForm!$I$8</definedName>
    <definedName name="mfIndication" localSheetId="5">MonitoringForm!$O$6</definedName>
    <definedName name="mfInfRate">MonitoringForm!$S$8</definedName>
    <definedName name="mfKe">MonitoringForm!$U$5</definedName>
    <definedName name="mfLastName">MonitoringForm!$D$6</definedName>
    <definedName name="mfLDDose">MonitoringForm!$C$14</definedName>
    <definedName name="mfLDScheduledAt">MonitoringForm!$C$17</definedName>
    <definedName name="mfManualCrCl">MonitoringForm!$K$9</definedName>
    <definedName name="mfManualSCr">MonitoringForm!$K$8</definedName>
    <definedName name="mfMDDose">MonitoringForm!$D$14</definedName>
    <definedName name="mfMDScheduledAt">MonitoringForm!$D$17</definedName>
    <definedName name="mfMDTau">MonitoringForm!$D$15</definedName>
    <definedName name="mfMIC">MonitoringForm!$O$8</definedName>
    <definedName name="mfMRN">MonitoringForm!$D$5</definedName>
    <definedName name="mfPeak">MonitoringForm!$D$26</definedName>
    <definedName name="mfPKEqn">MonitoringForm!$S$5</definedName>
    <definedName name="mfPopAUC">MonitoringForm!$D$21</definedName>
    <definedName name="mfProvider" localSheetId="5">MonitoringForm!$O$5</definedName>
    <definedName name="mfSCr">MonitoringForm!$M$8</definedName>
    <definedName name="mfSCr2">MonitoringForm!$D$31</definedName>
    <definedName name="mfT1_2">MonitoringForm!$U$6</definedName>
    <definedName name="mfTarget">MonitoringForm!$O$7</definedName>
    <definedName name="mfTBW_IBW">MonitoringForm!$K$6</definedName>
    <definedName name="mfTrough">MonitoringForm!$D$28</definedName>
    <definedName name="mfUsing">MonitoringForm!$M$7</definedName>
    <definedName name="mfVd">MonitoringForm!$U$7</definedName>
    <definedName name="mfVd_Lkg">MonitoringForm!$S$6</definedName>
    <definedName name="mfWt">MonitoringForm!$I$5</definedName>
    <definedName name="mfWtUsed">MonitoringForm!$M$6</definedName>
    <definedName name="MRN">'Patient View'!$C$4</definedName>
    <definedName name="Name">'Patient View'!$C$5</definedName>
    <definedName name="OneLiner">MonitoringForm!$C$2</definedName>
    <definedName name="OtherNephrotoxicDrugs">'Patient View'!$C$24</definedName>
    <definedName name="SCr">'Patient View'!$C$22</definedName>
    <definedName name="StartDate">MonitoringForm!$C$13</definedName>
    <definedName name="SuspectedIndication">'Patient View'!$C$9</definedName>
    <definedName name="TBW_IBW">'Patient View'!$C$19</definedName>
    <definedName name="Weight">'Patient View'!$C$17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3" i="14" l="1"/>
  <c r="E13" i="14" s="1"/>
  <c r="F13" i="14" s="1"/>
  <c r="G13" i="14" s="1"/>
  <c r="H13" i="14" s="1"/>
  <c r="I13" i="14" s="1"/>
  <c r="J13" i="14" s="1"/>
  <c r="K13" i="14" s="1"/>
  <c r="L13" i="14" s="1"/>
  <c r="M13" i="14" s="1"/>
  <c r="N13" i="14" s="1"/>
  <c r="O13" i="14" s="1"/>
  <c r="P13" i="14" s="1"/>
  <c r="Q13" i="14" s="1"/>
  <c r="R13" i="14" s="1"/>
  <c r="S13" i="14" s="1"/>
  <c r="T13" i="14" s="1"/>
  <c r="U13" i="14" s="1"/>
  <c r="V13" i="14" s="1"/>
  <c r="W13" i="14" s="1"/>
  <c r="X13" i="14" s="1"/>
  <c r="Y13" i="14" s="1"/>
  <c r="Z13" i="14" s="1"/>
  <c r="AA13" i="14" s="1"/>
  <c r="AB13" i="14" s="1"/>
  <c r="AC13" i="14" s="1"/>
  <c r="AD13" i="14" s="1"/>
  <c r="AE13" i="14" s="1"/>
  <c r="AF13" i="14" s="1"/>
  <c r="AG13" i="14" s="1"/>
  <c r="AG12" i="14" s="1"/>
  <c r="D12" i="14" l="1"/>
  <c r="J12" i="14"/>
  <c r="U12" i="14"/>
  <c r="I12" i="14"/>
  <c r="O12" i="14"/>
  <c r="M12" i="14"/>
  <c r="K12" i="14"/>
  <c r="AF12" i="14"/>
  <c r="H12" i="14"/>
  <c r="AB12" i="14"/>
  <c r="Z12" i="14"/>
  <c r="X12" i="14"/>
  <c r="V12" i="14"/>
  <c r="AE12" i="14"/>
  <c r="S12" i="14"/>
  <c r="G12" i="14"/>
  <c r="AA12" i="14"/>
  <c r="Y12" i="14"/>
  <c r="W12" i="14"/>
  <c r="T12" i="14"/>
  <c r="AD12" i="14"/>
  <c r="R12" i="14"/>
  <c r="F12" i="14"/>
  <c r="P12" i="14"/>
  <c r="N12" i="14"/>
  <c r="L12" i="14"/>
  <c r="AC12" i="14"/>
  <c r="Q12" i="14"/>
  <c r="E12" i="14"/>
  <c r="D31" i="14"/>
  <c r="D34" i="14"/>
  <c r="D32" i="14"/>
  <c r="U7" i="14"/>
  <c r="I7" i="14" l="1"/>
  <c r="I6" i="14"/>
  <c r="I8" i="14"/>
  <c r="G8" i="14"/>
  <c r="M61" i="14"/>
  <c r="E16" i="14" l="1"/>
  <c r="F16" i="14"/>
  <c r="G16" i="14"/>
  <c r="H16" i="14"/>
  <c r="I16" i="14"/>
  <c r="J16" i="14"/>
  <c r="K16" i="14"/>
  <c r="L16" i="14"/>
  <c r="M16" i="14"/>
  <c r="N16" i="14"/>
  <c r="O16" i="14"/>
  <c r="P16" i="14"/>
  <c r="Q16" i="14"/>
  <c r="R16" i="14"/>
  <c r="S16" i="14"/>
  <c r="T16" i="14"/>
  <c r="U16" i="14"/>
  <c r="V16" i="14"/>
  <c r="W16" i="14"/>
  <c r="X16" i="14"/>
  <c r="Y16" i="14"/>
  <c r="Z16" i="14"/>
  <c r="AA16" i="14"/>
  <c r="AB16" i="14"/>
  <c r="AC16" i="14"/>
  <c r="AD16" i="14"/>
  <c r="AE16" i="14"/>
  <c r="AF16" i="14"/>
  <c r="AG16" i="14"/>
  <c r="M5" i="14"/>
  <c r="K5" i="14"/>
  <c r="D16" i="14"/>
  <c r="I9" i="14" l="1"/>
  <c r="K6" i="14"/>
  <c r="M7" i="14" s="1"/>
  <c r="M6" i="14" s="1"/>
  <c r="D33" i="14" l="1"/>
  <c r="L33" i="14"/>
  <c r="L35" i="14" s="1"/>
  <c r="L36" i="14" s="1"/>
  <c r="L22" i="14" s="1"/>
  <c r="X33" i="14"/>
  <c r="X35" i="14" s="1"/>
  <c r="X36" i="14" s="1"/>
  <c r="X22" i="14" s="1"/>
  <c r="S33" i="14"/>
  <c r="S35" i="14" s="1"/>
  <c r="S36" i="14" s="1"/>
  <c r="AF33" i="14"/>
  <c r="AF35" i="14" s="1"/>
  <c r="AF36" i="14" s="1"/>
  <c r="K33" i="14"/>
  <c r="K35" i="14" s="1"/>
  <c r="K36" i="14" s="1"/>
  <c r="M33" i="14"/>
  <c r="M35" i="14" s="1"/>
  <c r="M36" i="14" s="1"/>
  <c r="M22" i="14" s="1"/>
  <c r="Y33" i="14"/>
  <c r="Y35" i="14" s="1"/>
  <c r="Y36" i="14" s="1"/>
  <c r="AD33" i="14"/>
  <c r="AD35" i="14" s="1"/>
  <c r="AD36" i="14" s="1"/>
  <c r="AE33" i="14"/>
  <c r="AE35" i="14" s="1"/>
  <c r="AE36" i="14" s="1"/>
  <c r="H33" i="14"/>
  <c r="H35" i="14" s="1"/>
  <c r="H36" i="14" s="1"/>
  <c r="H22" i="14" s="1"/>
  <c r="U33" i="14"/>
  <c r="U35" i="14" s="1"/>
  <c r="U36" i="14" s="1"/>
  <c r="U22" i="14" s="1"/>
  <c r="V33" i="14"/>
  <c r="V35" i="14" s="1"/>
  <c r="V36" i="14" s="1"/>
  <c r="N33" i="14"/>
  <c r="N35" i="14" s="1"/>
  <c r="N36" i="14" s="1"/>
  <c r="N22" i="14" s="1"/>
  <c r="Z33" i="14"/>
  <c r="Z35" i="14" s="1"/>
  <c r="Z36" i="14" s="1"/>
  <c r="Z22" i="14" s="1"/>
  <c r="O33" i="14"/>
  <c r="O35" i="14" s="1"/>
  <c r="O36" i="14" s="1"/>
  <c r="AB33" i="14"/>
  <c r="AB35" i="14" s="1"/>
  <c r="AB36" i="14" s="1"/>
  <c r="AC33" i="14"/>
  <c r="AC35" i="14" s="1"/>
  <c r="AC36" i="14" s="1"/>
  <c r="AG33" i="14"/>
  <c r="AG35" i="14" s="1"/>
  <c r="AG36" i="14" s="1"/>
  <c r="AG22" i="14" s="1"/>
  <c r="AA33" i="14"/>
  <c r="AA35" i="14" s="1"/>
  <c r="AA36" i="14" s="1"/>
  <c r="I33" i="14"/>
  <c r="I35" i="14" s="1"/>
  <c r="I36" i="14" s="1"/>
  <c r="I22" i="14" s="1"/>
  <c r="E33" i="14"/>
  <c r="E35" i="14" s="1"/>
  <c r="E36" i="14" s="1"/>
  <c r="P33" i="14"/>
  <c r="P35" i="14" s="1"/>
  <c r="P36" i="14" s="1"/>
  <c r="P22" i="14" s="1"/>
  <c r="F33" i="14"/>
  <c r="F35" i="14" s="1"/>
  <c r="F36" i="14" s="1"/>
  <c r="F22" i="14" s="1"/>
  <c r="G33" i="14"/>
  <c r="G35" i="14" s="1"/>
  <c r="G36" i="14" s="1"/>
  <c r="Q33" i="14"/>
  <c r="Q35" i="14" s="1"/>
  <c r="Q36" i="14" s="1"/>
  <c r="T33" i="14"/>
  <c r="T35" i="14" s="1"/>
  <c r="T36" i="14" s="1"/>
  <c r="T22" i="14" s="1"/>
  <c r="J33" i="14"/>
  <c r="J35" i="14" s="1"/>
  <c r="J36" i="14" s="1"/>
  <c r="J22" i="14" s="1"/>
  <c r="W33" i="14"/>
  <c r="W35" i="14" s="1"/>
  <c r="W36" i="14" s="1"/>
  <c r="R33" i="14"/>
  <c r="R35" i="14" s="1"/>
  <c r="R36" i="14" s="1"/>
  <c r="M9" i="14" a="1"/>
  <c r="M9" i="14" s="1"/>
  <c r="U8" i="14" s="1"/>
  <c r="U5" i="14" s="1"/>
  <c r="D35" i="14"/>
  <c r="Y22" i="14"/>
  <c r="K22" i="14"/>
  <c r="W22" i="14"/>
  <c r="V22" i="14"/>
  <c r="O22" i="14"/>
  <c r="AF22" i="14"/>
  <c r="E22" i="14"/>
  <c r="AE22" i="14"/>
  <c r="S22" i="14"/>
  <c r="G22" i="14"/>
  <c r="Q22" i="14"/>
  <c r="AA22" i="14"/>
  <c r="AD22" i="14"/>
  <c r="R22" i="14"/>
  <c r="AC22" i="14"/>
  <c r="AB22" i="14"/>
  <c r="E127" i="5"/>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23" i="14" l="1"/>
  <c r="E21" i="14" s="1"/>
  <c r="AC23" i="14"/>
  <c r="AC21" i="14" s="1"/>
  <c r="AE23" i="14"/>
  <c r="AE21" i="14" s="1"/>
  <c r="Q23" i="14"/>
  <c r="Q21" i="14" s="1"/>
  <c r="S23" i="14"/>
  <c r="S21" i="14" s="1"/>
  <c r="P23" i="14"/>
  <c r="P21" i="14" s="1"/>
  <c r="AB23" i="14"/>
  <c r="AB21" i="14" s="1"/>
  <c r="D36" i="14"/>
  <c r="D22" i="14" s="1"/>
  <c r="D23" i="14" s="1"/>
  <c r="D21" i="14" s="1"/>
  <c r="AG23" i="14"/>
  <c r="AG21" i="14" s="1"/>
  <c r="H23" i="14"/>
  <c r="H21" i="14" s="1"/>
  <c r="X23" i="14"/>
  <c r="X21" i="14" s="1"/>
  <c r="G23" i="14"/>
  <c r="G21" i="14" s="1"/>
  <c r="L23" i="14"/>
  <c r="L21" i="14" s="1"/>
  <c r="T23" i="14"/>
  <c r="T21" i="14" s="1"/>
  <c r="I23" i="14"/>
  <c r="I21" i="14" s="1"/>
  <c r="AF23" i="14"/>
  <c r="AF21" i="14" s="1"/>
  <c r="K23" i="14"/>
  <c r="K21" i="14" s="1"/>
  <c r="V23" i="14"/>
  <c r="V21" i="14" s="1"/>
  <c r="F23" i="14"/>
  <c r="F21" i="14" s="1"/>
  <c r="N23" i="14"/>
  <c r="N21" i="14" s="1"/>
  <c r="M23" i="14"/>
  <c r="M21" i="14" s="1"/>
  <c r="U23" i="14"/>
  <c r="U21" i="14" s="1"/>
  <c r="Y23" i="14"/>
  <c r="Y21" i="14" s="1"/>
  <c r="Z23" i="14"/>
  <c r="Z21" i="14" s="1"/>
  <c r="AD23" i="14"/>
  <c r="AD21" i="14" s="1"/>
  <c r="J23" i="14"/>
  <c r="J21" i="14" s="1"/>
  <c r="W23" i="14"/>
  <c r="W21" i="14" s="1"/>
  <c r="R23" i="14"/>
  <c r="R21" i="14" s="1"/>
  <c r="AA23" i="14"/>
  <c r="AA21" i="14" s="1"/>
  <c r="O23" i="14"/>
  <c r="O21" i="14" s="1"/>
  <c r="O54" i="14"/>
  <c r="O58" i="14"/>
  <c r="C2" i="14"/>
  <c r="U6" i="14"/>
  <c r="O56" i="14"/>
  <c r="A3"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<sst xmlns="http://schemas.openxmlformats.org/spreadsheetml/2006/main" count="736" uniqueCount="437">
  <si>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</si>
  <si>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</si>
  <si>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</si>
  <si>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</si>
  <si>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</si>
  <si>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</si>
  <si>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</si>
  <si>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</si>
  <si>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</si>
  <si>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</si>
  <si>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</si>
  <si>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</si>
  <si>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</si>
  <si>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</si>
  <si>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</si>
  <si>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</si>
  <si>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</si>
  <si>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</si>
  <si>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</si>
  <si>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</si>
  <si>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</si>
  <si>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</si>
  <si>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</si>
  <si>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</si>
  <si>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</si>
  <si>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</si>
  <si>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</si>
  <si>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</si>
  <si>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</si>
  <si>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</si>
  <si>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</si>
  <si>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</si>
  <si>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</si>
  <si>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</si>
  <si>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</si>
  <si>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</si>
  <si>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</si>
  <si>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</si>
  <si>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</si>
  <si>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</si>
  <si>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</si>
  <si>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</si>
  <si>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</si>
  <si>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</si>
  <si>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</si>
  <si>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</si>
  <si>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</si>
  <si>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</si>
  <si>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</si>
  <si>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</si>
  <si>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</si>
  <si>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</si>
  <si>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</si>
  <si>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</si>
  <si>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</si>
  <si>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</si>
  <si>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</si>
  <si>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</si>
  <si>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</si>
  <si>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</si>
  <si>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</si>
  <si>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</si>
  <si>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</si>
  <si>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</si>
  <si>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</si>
  <si>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</si>
  <si>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</si>
  <si>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</si>
  <si>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</si>
  <si>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</si>
  <si>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</si>
  <si>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</si>
  <si>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</si>
  <si>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</si>
  <si>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</si>
  <si>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</si>
  <si>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</si>
  <si>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</si>
  <si>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</si>
  <si>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</si>
  <si>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</si>
  <si>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</si>
  <si>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</si>
  <si>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</si>
  <si>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</si>
  <si>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</si>
  <si>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</si>
  <si>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</si>
  <si>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</si>
  <si>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</si>
  <si>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</si>
  <si>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</si>
  <si>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</si>
  <si>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</si>
  <si>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</si>
  <si>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</si>
  <si>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</si>
  <si>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</si>
  <si>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</si>
  <si>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</si>
  <si>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</si>
  <si>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</si>
  <si>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</si>
  <si>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</si>
  <si>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</si>
  <si>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</si>
  <si>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</si>
  <si>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</si>
  <si>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</si>
  <si>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</si>
  <si>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</si>
  <si>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</si>
  <si>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</si>
  <si>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</si>
  <si>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</si>
  <si>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</si>
  <si>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</si>
  <si>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</si>
  <si>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</si>
  <si>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</si>
  <si>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</si>
  <si>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</si>
  <si>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</si>
  <si>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</si>
  <si>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</si>
  <si>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</si>
  <si>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</si>
  <si>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</si>
  <si>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</si>
  <si>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</si>
  <si>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</si>
  <si>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</si>
  <si>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</si>
  <si>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</si>
  <si>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</si>
  <si>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 xml:space="preserve"> Labs</t>
  </si>
  <si>
    <t>Vancomycin Monitoring Form</t>
  </si>
  <si>
    <r>
      <t>Other nephrotoxic drugs:</t>
    </r>
    <r>
      <rPr>
        <b/>
        <sz val="8"/>
        <rFont val="Calibri"/>
        <family val="2"/>
        <scheme val="minor"/>
      </rPr>
      <t xml:space="preserve"> NSAIDs, ACE Inhibitor, diuretics, pip/tazo,  vasopressors, etc. </t>
    </r>
  </si>
  <si>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</si>
  <si>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</si>
  <si>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</si>
  <si>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</si>
  <si>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</si>
  <si>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</si>
  <si>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</si>
  <si>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</si>
  <si>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</si>
  <si>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</si>
  <si>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</si>
  <si>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</si>
  <si>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</si>
  <si>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</si>
  <si>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</si>
  <si>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</si>
  <si>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</si>
  <si>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</si>
  <si>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</si>
  <si>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</si>
  <si>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</si>
  <si>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</si>
  <si>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</si>
  <si>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</si>
  <si>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</si>
  <si>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</si>
  <si>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</si>
  <si>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</si>
  <si>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</si>
  <si>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</si>
  <si>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Pneumonia</t>
  </si>
  <si>
    <t>Bacteremia</t>
  </si>
  <si>
    <t>Osteomyelitis</t>
  </si>
  <si>
    <t>Meningitis</t>
  </si>
  <si>
    <t>Intra-abdominal</t>
  </si>
  <si>
    <t>Suspected Infections</t>
  </si>
  <si>
    <t>PNA</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</si>
  <si>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</si>
  <si>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</si>
  <si>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</si>
  <si>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</si>
  <si>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</si>
  <si>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</si>
  <si>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</si>
  <si>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</si>
  <si>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</si>
  <si>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</si>
  <si>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</si>
  <si>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</si>
  <si>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</si>
  <si>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</si>
  <si>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</si>
  <si>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</si>
  <si>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</si>
  <si>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</si>
  <si>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</si>
  <si>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</si>
  <si>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</si>
  <si>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</si>
  <si>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</si>
  <si>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</si>
  <si>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</si>
  <si>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</si>
  <si>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</si>
  <si>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</si>
  <si>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</si>
  <si>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</si>
  <si>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</si>
  <si>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</si>
  <si>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</si>
  <si>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</si>
  <si>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</si>
  <si>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</si>
  <si>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</si>
  <si>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</si>
  <si>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</si>
  <si>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</si>
  <si>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</si>
  <si>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</si>
  <si>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</si>
  <si>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</si>
  <si>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</si>
  <si>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</si>
  <si>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AUC</t>
  </si>
  <si>
    <t xml:space="preserve"> Patient-Specific</t>
  </si>
  <si>
    <t xml:space="preserve"> Levels</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</si>
  <si>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</si>
  <si>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</si>
  <si>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</si>
  <si>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</si>
  <si>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</si>
  <si>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</si>
  <si>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</si>
  <si>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</si>
  <si>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</si>
  <si>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</si>
  <si>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</si>
  <si>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</si>
  <si>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</si>
  <si>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</si>
  <si>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</si>
  <si>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</si>
  <si>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</si>
  <si>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</si>
  <si>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</si>
  <si>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</si>
  <si>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</si>
  <si>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</si>
  <si>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</si>
  <si>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</si>
  <si>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Troubleshooted and updated 'getSQLString' function in 'PatientsDatabase' to select patients based on which statuses are selected.  Updated code to be more dynamic using for loop instead of hard coding the different possibilities. Tested and worked great!</t>
  </si>
  <si>
    <t>Updated 'cmbLoad' comboboxes in 'NewConsult' and 'PostLevels' to only show patients who's status is 'Active'</t>
  </si>
  <si>
    <t>Working on convenience .. Added button to Vd.. and about to add same button to Ke on 'New Consult.'  Also, tried to troubleshoot and take out any place where patient info is sent to db.  Hid 'Monitoring Form'</t>
  </si>
  <si>
    <t>Swapped out 'setMaxDose' hardcoding with a regular expression.  Now picks up 2000, 2500, 3000 mg MaxDoses, and is set up to accept others.</t>
  </si>
  <si>
    <t>cm</t>
  </si>
  <si>
    <t>in</t>
  </si>
  <si>
    <t>kg</t>
  </si>
  <si>
    <t>lbs</t>
  </si>
  <si>
    <t>Male</t>
  </si>
  <si>
    <t>Female</t>
  </si>
  <si>
    <t>HeightUnits</t>
  </si>
  <si>
    <t>WeightUnits</t>
  </si>
  <si>
    <t>20-25 mg/kg</t>
  </si>
  <si>
    <t>20-35 mg/kg</t>
  </si>
  <si>
    <t>25-35 mg/kg</t>
  </si>
  <si>
    <t>30 mg/kg</t>
  </si>
  <si>
    <t>35 mg/kg</t>
  </si>
  <si>
    <t>InfTimeUnits</t>
  </si>
  <si>
    <t>hrs</t>
  </si>
  <si>
    <t>min</t>
  </si>
  <si>
    <t>TimeOptions</t>
  </si>
  <si>
    <t>12 hrs</t>
  </si>
  <si>
    <t>18 hrs</t>
  </si>
  <si>
    <t>1 day</t>
  </si>
  <si>
    <t>36 hrs</t>
  </si>
  <si>
    <t>2 days</t>
  </si>
  <si>
    <t>3 days</t>
  </si>
  <si>
    <t>4 days</t>
  </si>
  <si>
    <t>1 week</t>
  </si>
  <si>
    <t>I went through an updated most of the 'Initialize' comboboxes with tables. I've had less errors with tables and it cleans up some of the code.  I've also commented out 'Main.LoadPatients' and 'Main.LoadSites' from 'NewConsult' initialization.  Wondering if it's going to break anything</t>
  </si>
  <si>
    <t>I spent a while working on adding comboboxes to 1st page for `Service`, `Consulting Physician` .. From the start I've wanted to do that, but I just hadn't gotten around to it.  I may need to figure out how to get ride of duplicates"</t>
  </si>
  <si>
    <t>Spent a good amount of time abstracting the 'Enter Patient Information' part of the calculator.   Used similar logic as the maintenance dose table by taking the form out of the `NewConsult` userform.  I plan on reinstituting the same userform for `PostLevels` and when adding a new patient in `uf_PatientsDatabase`</t>
  </si>
  <si>
    <t>Worked on workbook events to try to help pharmacist have a better experience while using the calculator</t>
  </si>
  <si>
    <t>There was a bug when presenting chart labels of 'peak's and 'trough's .. working on a fix</t>
  </si>
  <si>
    <t>worked on logic error with enabling page turn in Ke/CLVanco NewConsult page</t>
  </si>
  <si>
    <t xml:space="preserve">made some big changes.. tried to make it more user-friendly.. had to take away some features - new, load buttons on bottom right. </t>
  </si>
  <si>
    <t>big update!</t>
  </si>
  <si>
    <t>worked on patient list!</t>
  </si>
  <si>
    <t>Henderson</t>
  </si>
  <si>
    <t>updated CrCl to use IBW instead of ABW</t>
  </si>
  <si>
    <t>updated time and date pickers</t>
  </si>
  <si>
    <t>adjust CrCl equation</t>
  </si>
  <si>
    <t>updated logic to update database field properties (bug fix for room variable switching from numeric to text type).</t>
  </si>
  <si>
    <t>Updated bug where when you clicked "No Load" button, patient information about the load dose was not being updated and still displayed on context bar.</t>
  </si>
  <si>
    <t>Updated bug where lab times were not being deleted when deleting patient from Patient List userform</t>
  </si>
  <si>
    <t>Updated Progress note to reflect changes with CrCl calculation</t>
  </si>
  <si>
    <t>Added start date and day of therapy to patient list</t>
  </si>
  <si>
    <t xml:space="preserve">   </t>
  </si>
  <si>
    <t>Tried to add monitoring form more deeply into calculator.</t>
  </si>
  <si>
    <t>120 min min</t>
  </si>
  <si>
    <t>Added AUC calculation to PostLevels progress note.  Went through and updated Vd calculation to fix bug when pharmacist had selected minutes.</t>
  </si>
  <si>
    <t>Updated AUC documentation in 'PostLevels'</t>
  </si>
  <si>
    <t>Update for Aug-5th Update</t>
  </si>
  <si>
    <t>Updated SSTI* to indicate 'trough-based' dosing preferred</t>
  </si>
  <si>
    <t>updated ""click here"" for SCr date/time</t>
  </si>
  <si>
    <t>Handled error in PostLevels</t>
  </si>
  <si>
    <t>Aug-12th update..  Double-checked logic in AUC steps, also fixed bug on Post Levels infusion time textbox when non-numeric characters were added</t>
  </si>
  <si>
    <t>added events to buttons in 2. CrCl that recalculates Population PK parameters when updating values.</t>
  </si>
  <si>
    <t>Changed extrapolation alert from SCr &lt; 0.5 for Crass to CLVanco &lt; 0.5</t>
  </si>
  <si>
    <t>Added dates &gt; 7 days to 30 days.</t>
  </si>
  <si>
    <t>Time 2</t>
  </si>
  <si>
    <t>Time 3</t>
  </si>
  <si>
    <t>Time 1</t>
  </si>
  <si>
    <t>Lists</t>
  </si>
  <si>
    <t>Frequencies</t>
  </si>
  <si>
    <t xml:space="preserve">Age: </t>
  </si>
  <si>
    <t>IBW:</t>
  </si>
  <si>
    <t>AdjBW:</t>
  </si>
  <si>
    <t>Creatinine Clearance Calculation</t>
  </si>
  <si>
    <t>Gender:</t>
  </si>
  <si>
    <t>Ht:</t>
  </si>
  <si>
    <t>Wt:</t>
  </si>
  <si>
    <t>BMI:</t>
  </si>
  <si>
    <t xml:space="preserve">TBW/IBW: </t>
  </si>
  <si>
    <t>M</t>
  </si>
  <si>
    <t>F</t>
  </si>
  <si>
    <t>Using:</t>
  </si>
  <si>
    <t>CrCl:</t>
  </si>
  <si>
    <t xml:space="preserve">ABW: </t>
  </si>
  <si>
    <t>Wt Used:</t>
  </si>
  <si>
    <t xml:space="preserve">Age Used: </t>
  </si>
  <si>
    <t>SCr:</t>
  </si>
  <si>
    <t xml:space="preserve">MRN: </t>
  </si>
  <si>
    <t>LastName:</t>
  </si>
  <si>
    <t>FirstName:</t>
  </si>
  <si>
    <t>FIN:</t>
  </si>
  <si>
    <t>Indication:</t>
  </si>
  <si>
    <t>Target:</t>
  </si>
  <si>
    <t>Provider</t>
  </si>
  <si>
    <t>One Liner:</t>
  </si>
  <si>
    <t>MIC:</t>
  </si>
  <si>
    <t>MDDoses</t>
  </si>
  <si>
    <t>Speedometer</t>
  </si>
  <si>
    <t>Start</t>
  </si>
  <si>
    <t>End</t>
  </si>
  <si>
    <t>Max</t>
  </si>
  <si>
    <t>Pointer</t>
  </si>
  <si>
    <t>Value</t>
  </si>
  <si>
    <t>Values</t>
  </si>
  <si>
    <t>Values2</t>
  </si>
  <si>
    <t>Added gauge chart to MonitoringForm</t>
  </si>
  <si>
    <t>Manual SCr:</t>
  </si>
  <si>
    <t>Manual CrCl:</t>
  </si>
  <si>
    <t>Added "Manual SCr" and "Manual CrCl" to Monitoring Form</t>
  </si>
  <si>
    <t>Equation:</t>
  </si>
  <si>
    <t>PK Equations</t>
  </si>
  <si>
    <t>Ke:</t>
  </si>
  <si>
    <t>t1/2:</t>
  </si>
  <si>
    <t>Vd:</t>
  </si>
  <si>
    <t xml:space="preserve">ClVanco: </t>
  </si>
  <si>
    <t>Vd Options</t>
  </si>
  <si>
    <t>Population-based PK Parameters</t>
  </si>
  <si>
    <t>Cmax estimate</t>
  </si>
  <si>
    <t>Cmin estimate</t>
  </si>
  <si>
    <t>Infusion Rate:</t>
  </si>
  <si>
    <t>Infusion Rate</t>
  </si>
  <si>
    <t>CrCl estimate (ml/min)</t>
  </si>
  <si>
    <t>BUN (daily for adults)</t>
  </si>
  <si>
    <t>SCr (daily for adults)</t>
  </si>
  <si>
    <t xml:space="preserve">WBC </t>
  </si>
  <si>
    <t>Temp</t>
  </si>
  <si>
    <t>Procalcitonin</t>
  </si>
  <si>
    <t>Trough Level/Time Drawn</t>
  </si>
  <si>
    <t>Trough Level Ordered for:        (date/time)</t>
  </si>
  <si>
    <t>Peak Level/Time Drawn</t>
  </si>
  <si>
    <t>Peak Level Ordered for:        (date/time)</t>
  </si>
  <si>
    <t>Population-based Estimate</t>
  </si>
  <si>
    <t>Total Daily Dose (TDD)</t>
  </si>
  <si>
    <t>Frequency</t>
  </si>
  <si>
    <t>Dose</t>
  </si>
  <si>
    <t>CLVanco</t>
  </si>
  <si>
    <t>Manual CrCl</t>
  </si>
  <si>
    <t>Manul SCr</t>
  </si>
  <si>
    <t>Worked on implementing Population-based PK parameters/AUC estimates in the monitoring form</t>
  </si>
  <si>
    <t>Tested updates in "Population-based PK estimates" in monitoring form</t>
  </si>
  <si>
    <t>Updated buttons in MDTable, worked on Population AUC estimates in Monitoring Form</t>
  </si>
  <si>
    <t>updated workbook.open code..  bug where ribbon wasn't minimizing, which was hiding the exclusions to the calculator.</t>
  </si>
  <si>
    <t>fixed spelling error on 'PostLevels' userform.  added an 'L' to "Level 1 Date/Time"</t>
  </si>
  <si>
    <t>Adding 500mg column to maintenance dose table ('MDTable')</t>
  </si>
  <si>
    <t>fixed bug when "20-35" range was selected for load dose</t>
  </si>
  <si>
    <t>increased width of context labels to try to keep values from wrapping</t>
  </si>
  <si>
    <t>Patched error on load dose screen.</t>
  </si>
  <si>
    <t>fixed bug in setting Volume of distribution</t>
  </si>
  <si>
    <t>fixed bug in maintenance dose table in postlevels section</t>
  </si>
  <si>
    <t>tried to update all Userform references..</t>
  </si>
  <si>
    <t>Took SSTI, UTI off of 'non-auc' on landingpage</t>
  </si>
  <si>
    <t>Skin Soft Tissue Infection</t>
  </si>
  <si>
    <t>Urinary Tract Infection</t>
  </si>
  <si>
    <t>Non-MRSA Infection</t>
  </si>
  <si>
    <t>UTI</t>
  </si>
  <si>
    <t>SSTI</t>
  </si>
  <si>
    <t>Updated "Suspected Indication" population list for selecting an indication.  Made the switch over to all AUC-dosing.  Need to now adjust logic on when selection occurs to remove alerts.</t>
  </si>
  <si>
    <t>Working on updating bug where unable to update load dose time</t>
  </si>
  <si>
    <t>Updated "PeakOptions" and "TroughOptions" ... error handling when changing times.. Also, added peak option for 3rd Dose</t>
  </si>
  <si>
    <t>Removed Enterococcal, Staph Epi from exclusions on Landing Page</t>
  </si>
  <si>
    <t>Updated code to account for going straight to PostLevels and 1st Dose</t>
  </si>
  <si>
    <t>Calculator deliverable for Nov 18, 2020</t>
  </si>
  <si>
    <t>KeLevelsStrategy</t>
  </si>
  <si>
    <t>Trough Before Peak - Steady-State only</t>
  </si>
  <si>
    <t>DosingFrequencies</t>
  </si>
  <si>
    <t>working on implementing "trough before peak" level strategy</t>
  </si>
  <si>
    <t>changed firing to SCr &lt; 1</t>
  </si>
  <si>
    <t>worked on PatientList query</t>
  </si>
  <si>
    <t>90 min</t>
  </si>
  <si>
    <t>I feel like I've gotten to the point where the Patient List is querying a lot better.</t>
  </si>
  <si>
    <t>Went through calculator with 1 test patient</t>
  </si>
  <si>
    <t>updated logic on peak, trough options.  Also, updated logic on headings on "PatientList."  Trying to troubleshoot scrollbar showing if list is too wide.</t>
  </si>
  <si>
    <t>updated status to default to only active patients.</t>
  </si>
  <si>
    <t xml:space="preserve"> Day of Therapy</t>
  </si>
  <si>
    <t xml:space="preserve">Start Date =&gt; </t>
  </si>
  <si>
    <t>Checkbox</t>
  </si>
  <si>
    <t>fixed issue with alert bug in postlevels.  Was comparing strings instead of numbers in logic.</t>
  </si>
  <si>
    <t>trying to update database to handle bigger MRN fields</t>
  </si>
  <si>
    <t>Desert Springs</t>
  </si>
  <si>
    <t>added Desert Springs to a profile</t>
  </si>
  <si>
    <t>trying to fix issue with data type conversion</t>
  </si>
  <si>
    <t>Trying to update PatientList..</t>
  </si>
  <si>
    <t>Worked on opening "NewConsult" and "PostLevels" from "PatientList" userform.  Also updated SQL query strings for "NewPatient" userform that populates &lt;ConsultingPhysician&gt; and &lt;Service&gt; comboboxes</t>
  </si>
  <si>
    <t>Working on PatientList.</t>
  </si>
  <si>
    <t>added in 'NextLevel' to PatientList.  Next I want to include the ORDER BY.</t>
  </si>
  <si>
    <t>added order by, ordering by next level</t>
  </si>
  <si>
    <t>Trying to implement logic for updating peak and trough datetimes</t>
  </si>
  <si>
    <t>Worked on PatientList .. added individual "Patient View" section while going through patients.</t>
  </si>
  <si>
    <t>Sorted the patient combo box to last name with query string "ORDER BY."  Have Userforms go to the 2nd page (Multipage.value = 1) from Patient List.  Felt better that two forms didn't come up.</t>
  </si>
  <si>
    <t>rearranged user interface of patient list userform</t>
  </si>
  <si>
    <t>Updated error messages to include location where the error occurred.  I've been having trouble knowing exactly where to look when an error occured.  Now, hopefully, if an error comes up, I'll know the module and sub/function name.</t>
  </si>
  <si>
    <t>Updated btnCalculateKeT1_2_Click() to handle Date1 &gt; Date2 errors.</t>
  </si>
  <si>
    <t>Updating PostLevels userform name to pl</t>
  </si>
  <si>
    <t>Updated logic in pl2.FillInData() to account for Trough Before Peak Ke Levels Strategy.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</si>
</sst>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m/dd"/>
    <numFmt numFmtId="165" formatCode="ddd\,\ mm/dd\ h:mm\ AM/PM"/>
    <numFmt numFmtId="166" formatCode="h:\o\o"/>
    <numFmt numFmtId="167" formatCode="m/d"/>
    <numFmt numFmtId="168" formatCode="#.00&quot; g&quot;;;;&quot;&quot;"/>
    <numFmt numFmtId="169" formatCode="#&quot; cm&quot;"/>
    <numFmt numFmtId="170" formatCode="#&quot; kg&quot;"/>
    <numFmt numFmtId="171" formatCode="#.0"/>
    <numFmt numFmtId="172" formatCode="#.00"/>
    <numFmt numFmtId="173" formatCode="#&quot; lbs&quot;;;"/>
    <numFmt numFmtId="174" formatCode="#&quot; kg&quot;;;"/>
    <numFmt numFmtId="175" formatCode="#"/>
    <numFmt numFmtId="176" formatCode="[&gt;150]&quot;&gt;150&quot;;[&lt;=150]#.0"/>
    <numFmt numFmtId="177" formatCode="#.0&quot; L&quot;"/>
    <numFmt numFmtId="178" formatCode="#.0&quot; L/hr&quot;"/>
    <numFmt numFmtId="179" formatCode="0.0000"/>
    <numFmt numFmtId="180" formatCode="#.0&quot; hrs&quot;"/>
    <numFmt numFmtId="181" formatCode="0000"/>
    <numFmt numFmtId="182" formatCode="#00"/>
  </numFmts>
  <fonts count="29"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theme="1"/>
      <name val="Calibri"/>
      <family val="2"/>
      <scheme val="minor"/>
    </font>
    <font>
      <sz val="8"/>
      <color theme="1"/>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b/>
      <sz val="9"/>
      <name val="Calibri"/>
      <family val="2"/>
      <scheme val="minor"/>
    </font>
    <font>
      <sz val="8"/>
      <name val="Arial Narrow"/>
      <family val="2"/>
    </font>
    <font>
      <b/>
      <sz val="8"/>
      <name val="Arial Narrow"/>
      <family val="2"/>
    </font>
    <font>
      <sz val="7"/>
      <name val="Calibri"/>
      <family val="2"/>
      <scheme val="minor"/>
    </font>
    <font>
      <sz val="11"/>
      <color rgb="FF000000"/>
      <name val="Calibri"/>
      <family val="2"/>
    </font>
    <font>
      <sz val="10"/>
      <color rgb="FF000000"/>
      <name val="Calibri"/>
      <family val="2"/>
    </font>
    <font>
      <b/>
      <sz val="11"/>
      <color rgb="FF000000"/>
      <name val="Calibri"/>
      <family val="2"/>
    </font>
  </fonts>
  <fills count="24">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
      <patternFill patternType="solid">
        <fgColor rgb="FFF2F2F2"/>
      </patternFill>
    </fill>
    <fill>
      <patternFill patternType="solid">
        <fgColor rgb="FFCCFFFF"/>
        <bgColor indexed="64"/>
      </patternFill>
    </fill>
    <fill>
      <patternFill patternType="solid">
        <fgColor theme="0" tint="-0.24994659260841701"/>
        <bgColor indexed="64"/>
      </patternFill>
    </fill>
    <fill>
      <patternFill patternType="solid">
        <fgColor theme="1" tint="0.34998626667073579"/>
        <bgColor indexed="64"/>
      </patternFill>
    </fill>
    <fill>
      <patternFill patternType="solid">
        <fgColor rgb="FFCCECFF"/>
        <bgColor indexed="64"/>
      </patternFill>
    </fill>
    <fill>
      <patternFill patternType="solid">
        <fgColor rgb="FFE7FFFF"/>
        <bgColor indexed="64"/>
      </patternFill>
    </fill>
  </fills>
  <borders count="92">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indexed="64"/>
      </left>
      <right/>
      <top style="thin">
        <color indexed="64"/>
      </top>
      <bottom/>
      <diagonal/>
    </border>
    <border>
      <left style="double">
        <color indexed="64"/>
      </left>
      <right style="double">
        <color indexed="64"/>
      </right>
      <top/>
      <bottom/>
      <diagonal/>
    </border>
    <border>
      <left style="thin">
        <color rgb="FF3F3F3F"/>
      </left>
      <right style="double">
        <color indexed="64"/>
      </right>
      <top style="thin">
        <color rgb="FF3F3F3F"/>
      </top>
      <bottom style="thin">
        <color rgb="FF3F3F3F"/>
      </bottom>
      <diagonal/>
    </border>
    <border>
      <left style="thin">
        <color rgb="FF7F7F7F"/>
      </left>
      <right style="double">
        <color indexed="64"/>
      </right>
      <top style="thin">
        <color rgb="FF7F7F7F"/>
      </top>
      <bottom style="thin">
        <color rgb="FF7F7F7F"/>
      </bottom>
      <diagonal/>
    </border>
    <border>
      <left style="double">
        <color indexed="64"/>
      </left>
      <right style="double">
        <color indexed="64"/>
      </right>
      <top/>
      <bottom style="double">
        <color indexed="64"/>
      </bottom>
      <diagonal/>
    </border>
    <border>
      <left style="thin">
        <color rgb="FF7F7F7F"/>
      </left>
      <right style="double">
        <color indexed="64"/>
      </right>
      <top style="thin">
        <color rgb="FF7F7F7F"/>
      </top>
      <bottom style="double">
        <color indexed="64"/>
      </bottom>
      <diagonal/>
    </border>
    <border>
      <left/>
      <right style="double">
        <color indexed="64"/>
      </right>
      <top/>
      <bottom style="double">
        <color indexed="64"/>
      </bottom>
      <diagonal/>
    </border>
    <border>
      <left style="thin">
        <color rgb="FF3F3F3F"/>
      </left>
      <right style="thin">
        <color rgb="FF3F3F3F"/>
      </right>
      <top style="thin">
        <color rgb="FF3F3F3F"/>
      </top>
      <bottom/>
      <diagonal/>
    </border>
    <border>
      <left/>
      <right style="double">
        <color indexed="64"/>
      </right>
      <top/>
      <bottom/>
      <diagonal/>
    </border>
    <border>
      <left style="double">
        <color rgb="FF7F7F7F"/>
      </left>
      <right style="double">
        <color rgb="FF7F7F7F"/>
      </right>
      <top/>
      <bottom/>
      <diagonal/>
    </border>
    <border>
      <left style="double">
        <color rgb="FF7F7F7F"/>
      </left>
      <right style="double">
        <color rgb="FF7F7F7F"/>
      </right>
      <top/>
      <bottom style="double">
        <color indexed="64"/>
      </bottom>
      <diagonal/>
    </border>
    <border>
      <left style="double">
        <color indexed="64"/>
      </left>
      <right style="double">
        <color indexed="64"/>
      </right>
      <top style="double">
        <color indexed="64"/>
      </top>
      <bottom style="thin">
        <color rgb="FF7F7F7F"/>
      </bottom>
      <diagonal/>
    </border>
    <border>
      <left/>
      <right style="thin">
        <color rgb="FF7F7F7F"/>
      </right>
      <top style="thin">
        <color rgb="FF7F7F7F"/>
      </top>
      <bottom style="thin">
        <color rgb="FF7F7F7F"/>
      </bottom>
      <diagonal/>
    </border>
    <border>
      <left/>
      <right style="thin">
        <color rgb="FF3F3F3F"/>
      </right>
      <top style="thin">
        <color rgb="FF3F3F3F"/>
      </top>
      <bottom style="thin">
        <color rgb="FF3F3F3F"/>
      </bottom>
      <diagonal/>
    </border>
    <border>
      <left style="double">
        <color indexed="64"/>
      </left>
      <right style="double">
        <color indexed="64"/>
      </right>
      <top style="thin">
        <color rgb="FF7F7F7F"/>
      </top>
      <bottom/>
      <diagonal/>
    </border>
    <border>
      <left style="double">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thin">
        <color rgb="FF7F7F7F"/>
      </left>
      <right style="double">
        <color indexed="64"/>
      </right>
      <top style="thin">
        <color indexed="64"/>
      </top>
      <bottom style="thin">
        <color rgb="FF7F7F7F"/>
      </bottom>
      <diagonal/>
    </border>
    <border>
      <left style="double">
        <color indexed="64"/>
      </left>
      <right style="double">
        <color indexed="64"/>
      </right>
      <top style="thin">
        <color rgb="FF3F3F3F"/>
      </top>
      <bottom style="double">
        <color indexed="64"/>
      </bottom>
      <diagonal/>
    </border>
    <border>
      <left style="double">
        <color indexed="64"/>
      </left>
      <right style="double">
        <color indexed="64"/>
      </right>
      <top style="thin">
        <color rgb="FF3F3F3F"/>
      </top>
      <bottom style="thin">
        <color rgb="FF3F3F3F"/>
      </bottom>
      <diagonal/>
    </border>
    <border>
      <left style="double">
        <color indexed="64"/>
      </left>
      <right style="double">
        <color indexed="64"/>
      </right>
      <top style="thin">
        <color rgb="FF7F7F7F"/>
      </top>
      <bottom style="double">
        <color indexed="64"/>
      </bottom>
      <diagonal/>
    </border>
    <border>
      <left style="double">
        <color indexed="64"/>
      </left>
      <right style="double">
        <color indexed="64"/>
      </right>
      <top style="double">
        <color indexed="64"/>
      </top>
      <bottom style="thin">
        <color indexed="64"/>
      </bottom>
      <diagonal/>
    </border>
    <border>
      <left/>
      <right style="double">
        <color rgb="FF3F3F3F"/>
      </right>
      <top/>
      <bottom/>
      <diagonal/>
    </border>
    <border>
      <left style="thin">
        <color rgb="FF3F3F3F"/>
      </left>
      <right style="double">
        <color indexed="64"/>
      </right>
      <top style="thin">
        <color rgb="FF3F3F3F"/>
      </top>
      <bottom style="double">
        <color indexed="64"/>
      </bottom>
      <diagonal/>
    </border>
    <border>
      <left style="double">
        <color indexed="64"/>
      </left>
      <right/>
      <top/>
      <bottom style="double">
        <color indexed="64"/>
      </bottom>
      <diagonal/>
    </border>
    <border>
      <left/>
      <right style="double">
        <color indexed="64"/>
      </right>
      <top style="double">
        <color rgb="FF3F3F3F"/>
      </top>
      <bottom style="thin">
        <color indexed="64"/>
      </bottom>
      <diagonal/>
    </border>
    <border>
      <left/>
      <right style="double">
        <color indexed="64"/>
      </right>
      <top style="thin">
        <color indexed="64"/>
      </top>
      <bottom style="double">
        <color rgb="FF3F3F3F"/>
      </bottom>
      <diagonal/>
    </border>
    <border>
      <left style="thin">
        <color rgb="FF7F7F7F"/>
      </left>
      <right style="thin">
        <color rgb="FF7F7F7F"/>
      </right>
      <top style="thin">
        <color rgb="FF7F7F7F"/>
      </top>
      <bottom/>
      <diagonal/>
    </border>
    <border>
      <left style="double">
        <color indexed="64"/>
      </left>
      <right/>
      <top style="double">
        <color indexed="64"/>
      </top>
      <bottom/>
      <diagonal/>
    </border>
    <border>
      <left/>
      <right style="double">
        <color indexed="64"/>
      </right>
      <top style="double">
        <color indexed="64"/>
      </top>
      <bottom/>
      <diagonal/>
    </border>
    <border>
      <left style="thin">
        <color rgb="FF3F3F3F"/>
      </left>
      <right style="double">
        <color rgb="FF3F3F3F"/>
      </right>
      <top style="thin">
        <color indexed="64"/>
      </top>
      <bottom style="thin">
        <color rgb="FF3F3F3F"/>
      </bottom>
      <diagonal/>
    </border>
    <border>
      <left style="thin">
        <color rgb="FF3F3F3F"/>
      </left>
      <right style="double">
        <color indexed="64"/>
      </right>
      <top style="double">
        <color rgb="FF3F3F3F"/>
      </top>
      <bottom style="thin">
        <color rgb="FF3F3F3F"/>
      </bottom>
      <diagonal/>
    </border>
    <border>
      <left style="thin">
        <color rgb="FF3F3F3F"/>
      </left>
      <right style="double">
        <color indexed="64"/>
      </right>
      <top style="thin">
        <color rgb="FF3F3F3F"/>
      </top>
      <bottom style="double">
        <color rgb="FF3F3F3F"/>
      </bottom>
      <diagonal/>
    </border>
    <border>
      <left style="thin">
        <color rgb="FF7F7F7F"/>
      </left>
      <right style="double">
        <color indexed="64"/>
      </right>
      <top style="double">
        <color indexed="64"/>
      </top>
      <bottom style="double">
        <color indexed="64"/>
      </bottom>
      <diagonal/>
    </border>
    <border>
      <left style="thin">
        <color rgb="FF3F3F3F"/>
      </left>
      <right style="thin">
        <color rgb="FF3F3F3F"/>
      </right>
      <top/>
      <bottom style="thin">
        <color rgb="FF3F3F3F"/>
      </bottom>
      <diagonal/>
    </border>
    <border>
      <left/>
      <right style="double">
        <color indexed="64"/>
      </right>
      <top style="thin">
        <color indexed="64"/>
      </top>
      <bottom/>
      <diagonal/>
    </border>
    <border>
      <left style="double">
        <color rgb="FF7F7F7F"/>
      </left>
      <right style="thin">
        <color rgb="FF7F7F7F"/>
      </right>
      <top style="thin">
        <color rgb="FF3F3F3F"/>
      </top>
      <bottom style="thin">
        <color rgb="FF7F7F7F"/>
      </bottom>
      <diagonal/>
    </border>
    <border>
      <left/>
      <right style="thin">
        <color rgb="FF7F7F7F"/>
      </right>
      <top style="thin">
        <color rgb="FF3F3F3F"/>
      </top>
      <bottom style="thin">
        <color rgb="FF7F7F7F"/>
      </bottom>
      <diagonal/>
    </border>
    <border>
      <left/>
      <right style="thin">
        <color rgb="FF3F3F3F"/>
      </right>
      <top/>
      <bottom style="thin">
        <color rgb="FF3F3F3F"/>
      </bottom>
      <diagonal/>
    </border>
    <border>
      <left style="thin">
        <color rgb="FF3F3F3F"/>
      </left>
      <right style="double">
        <color rgb="FF3F3F3F"/>
      </right>
      <top style="thin">
        <color rgb="FF3F3F3F"/>
      </top>
      <bottom style="thin">
        <color rgb="FF3F3F3F"/>
      </bottom>
      <diagonal/>
    </border>
    <border>
      <left style="thin">
        <color rgb="FF7F7F7F"/>
      </left>
      <right style="double">
        <color indexed="64"/>
      </right>
      <top style="thin">
        <color rgb="FF3F3F3F"/>
      </top>
      <bottom style="thin">
        <color rgb="FF3F3F3F"/>
      </bottom>
      <diagonal/>
    </border>
    <border>
      <left style="thin">
        <color rgb="FF7F7F7F"/>
      </left>
      <right style="double">
        <color indexed="64"/>
      </right>
      <top style="thin">
        <color rgb="FF3F3F3F"/>
      </top>
      <bottom style="thin">
        <color rgb="FF7F7F7F"/>
      </bottom>
      <diagonal/>
    </border>
    <border>
      <left style="thin">
        <color rgb="FF3F3F3F"/>
      </left>
      <right style="double">
        <color indexed="64"/>
      </right>
      <top/>
      <bottom style="thin">
        <color indexed="64"/>
      </bottom>
      <diagonal/>
    </border>
    <border>
      <left style="thin">
        <color rgb="FF3F3F3F"/>
      </left>
      <right style="double">
        <color indexed="64"/>
      </right>
      <top/>
      <bottom style="thin">
        <color rgb="FF3F3F3F"/>
      </bottom>
      <diagonal/>
    </border>
    <border>
      <left style="double">
        <color indexed="64"/>
      </left>
      <right style="double">
        <color indexed="64"/>
      </right>
      <top style="double">
        <color indexed="64"/>
      </top>
      <bottom/>
      <diagonal/>
    </border>
    <border>
      <left/>
      <right style="thin">
        <color rgb="FF7F7F7F"/>
      </right>
      <top/>
      <bottom style="thin">
        <color rgb="FF7F7F7F"/>
      </bottom>
      <diagonal/>
    </border>
    <border>
      <left style="thin">
        <color rgb="FF7F7F7F"/>
      </left>
      <right style="thin">
        <color rgb="FF7F7F7F"/>
      </right>
      <top/>
      <bottom style="thin">
        <color rgb="FF7F7F7F"/>
      </bottom>
      <diagonal/>
    </border>
    <border>
      <left style="thin">
        <color rgb="FF7F7F7F"/>
      </left>
      <right style="double">
        <color indexed="64"/>
      </right>
      <top/>
      <bottom style="thin">
        <color rgb="FF7F7F7F"/>
      </bottom>
      <diagonal/>
    </border>
  </borders>
  <cellStyleXfs count="6">
    <xf numFmtId="0" fontId="0" fillId="0" borderId="0"/>
    <xf numFmtId="0" fontId="19" fillId="19" borderId="42" applyNumberFormat="0" applyAlignment="0" applyProtection="0"/>
    <xf numFmtId="0" fontId="20" fillId="18" borderId="43" applyNumberFormat="0" applyAlignment="0" applyProtection="0"/>
    <xf numFmtId="0" fontId="21" fillId="18" borderId="42" applyNumberFormat="0" applyAlignment="0" applyProtection="0"/>
    <xf numFmtId="0" fontId="12" fillId="20" borderId="0">
      <alignment vertical="center"/>
    </xf>
    <xf numFmtId="0" fontId="19" fillId="19" borderId="42" applyNumberFormat="0" applyAlignment="0" applyProtection="0"/>
  </cellStyleXfs>
  <cellXfs count="272">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1" fillId="5" borderId="17" xfId="0" applyFont="1" applyFill="1" applyBorder="1" applyAlignment="1">
      <alignment vertical="center"/>
    </xf>
    <xf numFmtId="0" fontId="0" fillId="0" borderId="20" xfId="0" applyFont="1" applyBorder="1"/>
    <xf numFmtId="0" fontId="11" fillId="5" borderId="22" xfId="0" applyFont="1" applyFill="1" applyBorder="1" applyAlignment="1">
      <alignment vertical="center" wrapText="1"/>
    </xf>
    <xf numFmtId="0" fontId="0" fillId="0" borderId="21" xfId="0" applyFont="1" applyBorder="1"/>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5"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0" fillId="13" borderId="0" xfId="0" applyFill="1"/>
    <xf numFmtId="0" fontId="1" fillId="13" borderId="0" xfId="0" applyFont="1" applyFill="1" applyAlignment="1">
      <alignment vertical="center"/>
    </xf>
    <xf numFmtId="0" fontId="0" fillId="13" borderId="39"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7" xfId="0" applyNumberFormat="1" applyFont="1" applyFill="1" applyBorder="1" applyAlignment="1" applyProtection="1">
      <alignment horizontal="right" vertical="top"/>
      <protection locked="0"/>
    </xf>
    <xf numFmtId="0" fontId="16" fillId="14" borderId="37" xfId="0" applyNumberFormat="1" applyFont="1" applyFill="1" applyBorder="1" applyAlignment="1" applyProtection="1">
      <alignment horizontal="right" vertical="top" wrapText="1"/>
      <protection locked="0"/>
    </xf>
    <xf numFmtId="19" fontId="16" fillId="14" borderId="37" xfId="0" applyNumberFormat="1" applyFont="1" applyFill="1" applyBorder="1" applyAlignment="1" applyProtection="1">
      <alignment horizontal="right" vertical="top"/>
      <protection locked="0"/>
    </xf>
    <xf numFmtId="0" fontId="16" fillId="14" borderId="36"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38" xfId="0" applyFont="1" applyFill="1" applyBorder="1" applyProtection="1">
      <protection locked="0"/>
    </xf>
    <xf numFmtId="19" fontId="0" fillId="0" borderId="38"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7" fillId="0" borderId="0" xfId="0" applyFont="1" applyFill="1" applyBorder="1" applyProtection="1">
      <protection locked="0"/>
    </xf>
    <xf numFmtId="19" fontId="17" fillId="0" borderId="0" xfId="0" applyNumberFormat="1" applyFont="1" applyFill="1" applyBorder="1" applyProtection="1">
      <protection locked="0"/>
    </xf>
    <xf numFmtId="0" fontId="18" fillId="0" borderId="24" xfId="0" applyFont="1" applyBorder="1" applyAlignment="1">
      <alignment horizontal="center"/>
    </xf>
    <xf numFmtId="0" fontId="18" fillId="0" borderId="19" xfId="0" applyFont="1" applyBorder="1" applyAlignment="1">
      <alignment horizontal="center"/>
    </xf>
    <xf numFmtId="0" fontId="18" fillId="0" borderId="20" xfId="0" applyFont="1" applyBorder="1" applyAlignment="1">
      <alignment horizontal="center"/>
    </xf>
    <xf numFmtId="0" fontId="18" fillId="5" borderId="21" xfId="0" applyFont="1" applyFill="1" applyBorder="1" applyAlignment="1">
      <alignment horizontal="center"/>
    </xf>
    <xf numFmtId="0" fontId="18" fillId="5" borderId="20" xfId="0" applyFont="1" applyFill="1" applyBorder="1" applyAlignment="1">
      <alignment horizontal="center"/>
    </xf>
    <xf numFmtId="0" fontId="18" fillId="0" borderId="30" xfId="0" applyFont="1" applyBorder="1" applyAlignment="1">
      <alignment horizontal="center"/>
    </xf>
    <xf numFmtId="0" fontId="18" fillId="0" borderId="29" xfId="0" applyFont="1" applyBorder="1" applyAlignment="1">
      <alignment horizontal="center"/>
    </xf>
    <xf numFmtId="0" fontId="18" fillId="0" borderId="32" xfId="0" applyFont="1" applyBorder="1" applyAlignment="1">
      <alignment horizontal="center"/>
    </xf>
    <xf numFmtId="0" fontId="0" fillId="0" borderId="24" xfId="0" applyFont="1" applyBorder="1" applyAlignment="1">
      <alignment horizontal="center"/>
    </xf>
    <xf numFmtId="0" fontId="0" fillId="0" borderId="19" xfId="0" applyFont="1" applyBorder="1" applyAlignment="1">
      <alignment horizontal="center"/>
    </xf>
    <xf numFmtId="0" fontId="0" fillId="0" borderId="24" xfId="0" applyFont="1" applyBorder="1" applyAlignment="1">
      <alignment horizontal="center" vertical="center"/>
    </xf>
    <xf numFmtId="0" fontId="0" fillId="0" borderId="30" xfId="0" applyFont="1" applyBorder="1" applyAlignment="1">
      <alignment horizontal="center" vertical="center"/>
    </xf>
    <xf numFmtId="0" fontId="0" fillId="0" borderId="29" xfId="0" applyFont="1" applyBorder="1" applyAlignment="1">
      <alignment horizontal="center" vertical="center"/>
    </xf>
    <xf numFmtId="0" fontId="0" fillId="0" borderId="32" xfId="0" applyFont="1" applyBorder="1" applyAlignment="1">
      <alignment horizontal="center" vertical="center"/>
    </xf>
    <xf numFmtId="0" fontId="0" fillId="0" borderId="18" xfId="0" applyFont="1" applyBorder="1" applyAlignment="1">
      <alignment horizontal="center"/>
    </xf>
    <xf numFmtId="0" fontId="0" fillId="0" borderId="27" xfId="0" applyFont="1" applyBorder="1" applyAlignment="1">
      <alignment horizontal="center"/>
    </xf>
    <xf numFmtId="0" fontId="0" fillId="0" borderId="26" xfId="0" applyFont="1" applyBorder="1" applyAlignment="1">
      <alignment horizontal="center"/>
    </xf>
    <xf numFmtId="0" fontId="0" fillId="0" borderId="25" xfId="0" applyFont="1" applyBorder="1" applyAlignment="1">
      <alignment horizontal="center"/>
    </xf>
    <xf numFmtId="0" fontId="1" fillId="0" borderId="0" xfId="0" applyFont="1" applyAlignment="1">
      <alignment horizontal="left" vertical="top" wrapText="1"/>
    </xf>
    <xf numFmtId="0" fontId="1" fillId="0" borderId="0" xfId="0" applyFont="1" applyAlignment="1">
      <alignment horizontal="left" vertical="top"/>
    </xf>
    <xf numFmtId="0" fontId="12" fillId="0" borderId="31" xfId="0" applyFont="1" applyBorder="1" applyAlignment="1">
      <alignment horizontal="right" vertical="center" wrapText="1"/>
    </xf>
    <xf numFmtId="0" fontId="19" fillId="19" borderId="42" xfId="1" applyAlignment="1">
      <alignment horizontal="center" vertical="center"/>
    </xf>
    <xf numFmtId="168" fontId="20" fillId="18" borderId="43" xfId="2" applyNumberFormat="1" applyAlignment="1">
      <alignment horizontal="center" vertical="center"/>
    </xf>
    <xf numFmtId="0" fontId="12" fillId="0" borderId="22" xfId="0" applyFont="1" applyBorder="1" applyAlignment="1">
      <alignment horizontal="left" vertical="center" indent="1"/>
    </xf>
    <xf numFmtId="0" fontId="11" fillId="5" borderId="16" xfId="0" applyFont="1" applyFill="1" applyBorder="1" applyAlignment="1">
      <alignment vertical="center"/>
    </xf>
    <xf numFmtId="0" fontId="12" fillId="0" borderId="12" xfId="0" applyFont="1" applyBorder="1" applyAlignment="1">
      <alignment vertical="center"/>
    </xf>
    <xf numFmtId="0" fontId="12" fillId="0" borderId="9" xfId="0" applyFont="1" applyBorder="1"/>
    <xf numFmtId="0" fontId="11" fillId="5" borderId="16" xfId="0" applyFont="1" applyFill="1" applyBorder="1" applyAlignment="1">
      <alignment vertical="center" wrapText="1"/>
    </xf>
    <xf numFmtId="0" fontId="11" fillId="5" borderId="15" xfId="0" applyFont="1" applyFill="1" applyBorder="1" applyAlignment="1">
      <alignment vertical="center" wrapText="1"/>
    </xf>
    <xf numFmtId="0" fontId="22" fillId="0" borderId="31" xfId="0" applyFont="1" applyBorder="1" applyAlignment="1">
      <alignment horizontal="right" vertical="center" wrapText="1"/>
    </xf>
    <xf numFmtId="0" fontId="19" fillId="19" borderId="42" xfId="1" applyBorder="1" applyAlignment="1">
      <alignment horizontal="center" vertical="center" wrapText="1"/>
    </xf>
    <xf numFmtId="170" fontId="19" fillId="19" borderId="42" xfId="1" applyNumberFormat="1" applyBorder="1" applyAlignment="1">
      <alignment horizontal="center" vertical="center" wrapText="1"/>
    </xf>
    <xf numFmtId="171" fontId="20" fillId="18" borderId="43" xfId="2" applyNumberFormat="1" applyBorder="1" applyAlignment="1">
      <alignment horizontal="center" vertical="center" wrapText="1"/>
    </xf>
    <xf numFmtId="175" fontId="20" fillId="18" borderId="46" xfId="2" applyNumberFormat="1" applyBorder="1" applyAlignment="1">
      <alignment horizontal="center" vertical="center" wrapText="1"/>
    </xf>
    <xf numFmtId="173" fontId="20" fillId="18" borderId="43" xfId="2" applyNumberFormat="1" applyBorder="1" applyAlignment="1">
      <alignment horizontal="center" vertical="center" wrapText="1"/>
    </xf>
    <xf numFmtId="174" fontId="20" fillId="18" borderId="46" xfId="2" applyNumberFormat="1" applyBorder="1" applyAlignment="1">
      <alignment horizontal="center" vertical="center" wrapText="1"/>
    </xf>
    <xf numFmtId="169" fontId="19" fillId="19" borderId="42" xfId="1" applyNumberFormat="1" applyBorder="1" applyAlignment="1">
      <alignment horizontal="center" vertical="center" wrapText="1"/>
    </xf>
    <xf numFmtId="0" fontId="20" fillId="18" borderId="46" xfId="2" applyBorder="1" applyAlignment="1">
      <alignment horizontal="center" vertical="center" wrapText="1"/>
    </xf>
    <xf numFmtId="0" fontId="12" fillId="0" borderId="48" xfId="0" applyFont="1" applyBorder="1" applyAlignment="1">
      <alignment horizontal="right" vertical="center" wrapText="1"/>
    </xf>
    <xf numFmtId="0" fontId="12" fillId="0" borderId="32" xfId="0" applyFont="1" applyBorder="1" applyAlignment="1">
      <alignment horizontal="right" vertical="center" wrapText="1"/>
    </xf>
    <xf numFmtId="0" fontId="12" fillId="0" borderId="50" xfId="0" applyFont="1" applyBorder="1" applyAlignment="1">
      <alignment horizontal="right" vertical="center" wrapText="1"/>
    </xf>
    <xf numFmtId="0" fontId="12" fillId="0" borderId="45" xfId="0" applyFont="1" applyBorder="1" applyAlignment="1">
      <alignment horizontal="right" vertical="center" wrapText="1"/>
    </xf>
    <xf numFmtId="0" fontId="12" fillId="0" borderId="52" xfId="0" applyFont="1" applyBorder="1" applyAlignment="1">
      <alignment horizontal="right" vertical="center" wrapText="1"/>
    </xf>
    <xf numFmtId="0" fontId="20" fillId="18" borderId="51" xfId="2" applyBorder="1" applyAlignment="1">
      <alignment horizontal="center" vertical="center" wrapText="1"/>
    </xf>
    <xf numFmtId="0" fontId="14" fillId="0" borderId="24" xfId="0" applyFont="1" applyBorder="1" applyAlignment="1">
      <alignment vertical="top" wrapText="1"/>
    </xf>
    <xf numFmtId="0" fontId="12" fillId="20" borderId="53" xfId="4" applyBorder="1">
      <alignment vertical="center"/>
    </xf>
    <xf numFmtId="0" fontId="12" fillId="20" borderId="54" xfId="4" applyBorder="1">
      <alignment vertical="center"/>
    </xf>
    <xf numFmtId="0" fontId="5" fillId="0" borderId="0" xfId="0" applyFont="1" applyAlignment="1">
      <alignment horizontal="right" vertical="top"/>
    </xf>
    <xf numFmtId="0" fontId="19" fillId="19" borderId="56" xfId="1" applyBorder="1" applyAlignment="1">
      <alignment horizontal="center" vertical="center"/>
    </xf>
    <xf numFmtId="168" fontId="20" fillId="18" borderId="57" xfId="2" applyNumberFormat="1" applyBorder="1" applyAlignment="1">
      <alignment horizontal="center" vertical="center"/>
    </xf>
    <xf numFmtId="0" fontId="19" fillId="19" borderId="47" xfId="1" applyBorder="1" applyAlignment="1">
      <alignment horizontal="center" vertical="center" wrapText="1"/>
    </xf>
    <xf numFmtId="171" fontId="21" fillId="18" borderId="49" xfId="3" applyNumberFormat="1" applyFont="1" applyBorder="1" applyAlignment="1">
      <alignment horizontal="center" vertical="center" wrapText="1"/>
    </xf>
    <xf numFmtId="0" fontId="12" fillId="20" borderId="59" xfId="4" applyBorder="1">
      <alignment vertical="center"/>
    </xf>
    <xf numFmtId="0" fontId="12" fillId="20" borderId="4" xfId="4" applyBorder="1">
      <alignment vertical="center"/>
    </xf>
    <xf numFmtId="0" fontId="12" fillId="20" borderId="60" xfId="4" applyBorder="1">
      <alignment vertical="center"/>
    </xf>
    <xf numFmtId="0" fontId="19" fillId="19" borderId="47" xfId="1" applyBorder="1" applyAlignment="1">
      <alignment horizontal="center" vertical="center"/>
    </xf>
    <xf numFmtId="168" fontId="20" fillId="18" borderId="46" xfId="2" applyNumberFormat="1" applyBorder="1" applyAlignment="1">
      <alignment horizontal="center" vertical="center"/>
    </xf>
    <xf numFmtId="0" fontId="0" fillId="0" borderId="28" xfId="0" applyFont="1" applyBorder="1" applyAlignment="1">
      <alignment horizontal="center" vertical="center"/>
    </xf>
    <xf numFmtId="0" fontId="18" fillId="0" borderId="18" xfId="0" applyFont="1" applyBorder="1" applyAlignment="1">
      <alignment horizontal="center"/>
    </xf>
    <xf numFmtId="0" fontId="18" fillId="0" borderId="28" xfId="0" applyFont="1" applyBorder="1" applyAlignment="1">
      <alignment horizontal="center"/>
    </xf>
    <xf numFmtId="0" fontId="0" fillId="0" borderId="52" xfId="0" applyBorder="1"/>
    <xf numFmtId="0" fontId="0" fillId="0" borderId="50" xfId="0" applyBorder="1"/>
    <xf numFmtId="0" fontId="19" fillId="19" borderId="42" xfId="5" applyAlignment="1">
      <alignment horizontal="center"/>
    </xf>
    <xf numFmtId="0" fontId="19" fillId="19" borderId="61" xfId="5" applyBorder="1" applyAlignment="1">
      <alignment horizontal="center"/>
    </xf>
    <xf numFmtId="0" fontId="19" fillId="19" borderId="56" xfId="5" applyBorder="1" applyAlignment="1">
      <alignment horizontal="center"/>
    </xf>
    <xf numFmtId="0" fontId="19" fillId="19" borderId="47" xfId="5" applyBorder="1" applyAlignment="1">
      <alignment horizontal="center"/>
    </xf>
    <xf numFmtId="171" fontId="20" fillId="18" borderId="43" xfId="2" applyNumberFormat="1" applyAlignment="1">
      <alignment horizontal="center"/>
    </xf>
    <xf numFmtId="171" fontId="20" fillId="18" borderId="46" xfId="2" applyNumberFormat="1" applyBorder="1" applyAlignment="1">
      <alignment horizontal="center"/>
    </xf>
    <xf numFmtId="171" fontId="20" fillId="18" borderId="57" xfId="2" applyNumberFormat="1" applyBorder="1" applyAlignment="1">
      <alignment horizontal="center"/>
    </xf>
    <xf numFmtId="0" fontId="0" fillId="0" borderId="52" xfId="0" applyFont="1" applyBorder="1"/>
    <xf numFmtId="0" fontId="0" fillId="21" borderId="0" xfId="0" applyFill="1"/>
    <xf numFmtId="0" fontId="1" fillId="21" borderId="0" xfId="0" applyFont="1" applyFill="1"/>
    <xf numFmtId="171" fontId="0" fillId="21" borderId="0" xfId="0" applyNumberFormat="1" applyFill="1"/>
    <xf numFmtId="0" fontId="19" fillId="19" borderId="55" xfId="1" applyBorder="1" applyAlignment="1">
      <alignment horizontal="center" vertical="center"/>
    </xf>
    <xf numFmtId="0" fontId="12" fillId="20" borderId="58" xfId="4" applyBorder="1" applyAlignment="1">
      <alignment horizontal="center" vertical="center"/>
    </xf>
    <xf numFmtId="0" fontId="12" fillId="20" borderId="31" xfId="4" applyBorder="1" applyAlignment="1">
      <alignment horizontal="center" vertical="center"/>
    </xf>
    <xf numFmtId="0" fontId="19" fillId="19" borderId="23" xfId="1" applyBorder="1" applyAlignment="1">
      <alignment horizontal="center" vertical="center"/>
    </xf>
    <xf numFmtId="0" fontId="12" fillId="20" borderId="53" xfId="4" applyBorder="1" applyAlignment="1">
      <alignment horizontal="center" vertical="center"/>
    </xf>
    <xf numFmtId="176" fontId="0" fillId="21" borderId="0" xfId="0" applyNumberFormat="1" applyFill="1"/>
    <xf numFmtId="174" fontId="20" fillId="18" borderId="63" xfId="2" applyNumberFormat="1" applyBorder="1" applyAlignment="1">
      <alignment horizontal="center" vertical="center" wrapText="1"/>
    </xf>
    <xf numFmtId="170" fontId="20" fillId="18" borderId="63" xfId="2" applyNumberFormat="1" applyBorder="1" applyAlignment="1">
      <alignment horizontal="center" vertical="center" wrapText="1"/>
    </xf>
    <xf numFmtId="170" fontId="20" fillId="18" borderId="62" xfId="2" applyNumberFormat="1" applyBorder="1" applyAlignment="1">
      <alignment horizontal="center" vertical="center" wrapText="1"/>
    </xf>
    <xf numFmtId="0" fontId="23" fillId="0" borderId="50" xfId="0" applyFont="1" applyBorder="1" applyAlignment="1">
      <alignment horizontal="right" vertical="center" wrapText="1"/>
    </xf>
    <xf numFmtId="0" fontId="24" fillId="0" borderId="65" xfId="0" applyFont="1" applyBorder="1" applyAlignment="1">
      <alignment horizontal="right" vertical="center" wrapText="1"/>
    </xf>
    <xf numFmtId="0" fontId="12" fillId="20" borderId="0" xfId="4" applyBorder="1">
      <alignment vertical="center"/>
    </xf>
    <xf numFmtId="0" fontId="12" fillId="20" borderId="66" xfId="4" applyBorder="1">
      <alignment vertical="center"/>
    </xf>
    <xf numFmtId="172" fontId="20" fillId="18" borderId="67" xfId="2" applyNumberFormat="1" applyBorder="1" applyAlignment="1">
      <alignment horizontal="center" vertical="center" wrapText="1"/>
    </xf>
    <xf numFmtId="0" fontId="12" fillId="20" borderId="33" xfId="4" applyBorder="1">
      <alignment vertical="center"/>
    </xf>
    <xf numFmtId="0" fontId="12" fillId="20" borderId="68" xfId="4" applyBorder="1">
      <alignment vertical="center"/>
    </xf>
    <xf numFmtId="0" fontId="12" fillId="0" borderId="20" xfId="0" applyFont="1" applyBorder="1" applyAlignment="1">
      <alignment horizontal="right" vertical="center" wrapText="1"/>
    </xf>
    <xf numFmtId="0" fontId="12" fillId="0" borderId="69" xfId="0" applyFont="1" applyBorder="1" applyAlignment="1">
      <alignment horizontal="right" vertical="center" wrapText="1"/>
    </xf>
    <xf numFmtId="0" fontId="12" fillId="0" borderId="70" xfId="0" applyFont="1" applyBorder="1" applyAlignment="1">
      <alignment horizontal="right" vertical="center" wrapText="1"/>
    </xf>
    <xf numFmtId="0" fontId="12" fillId="20" borderId="72" xfId="4" applyBorder="1">
      <alignment vertical="center"/>
    </xf>
    <xf numFmtId="0" fontId="12" fillId="20" borderId="73" xfId="4" applyBorder="1">
      <alignment vertical="center"/>
    </xf>
    <xf numFmtId="0" fontId="11" fillId="5" borderId="17" xfId="0" applyFont="1" applyFill="1" applyBorder="1" applyAlignment="1">
      <alignment horizontal="left" vertical="center" indent="1"/>
    </xf>
    <xf numFmtId="0" fontId="11" fillId="5" borderId="16" xfId="0" applyFont="1" applyFill="1" applyBorder="1" applyAlignment="1">
      <alignment horizontal="left" vertical="center" indent="1"/>
    </xf>
    <xf numFmtId="179" fontId="20" fillId="18" borderId="75" xfId="2" applyNumberFormat="1" applyBorder="1" applyAlignment="1">
      <alignment horizontal="center" vertical="center" wrapText="1"/>
    </xf>
    <xf numFmtId="180" fontId="20" fillId="18" borderId="46" xfId="2" applyNumberFormat="1" applyBorder="1" applyAlignment="1">
      <alignment horizontal="center" vertical="center" wrapText="1"/>
    </xf>
    <xf numFmtId="177" fontId="20" fillId="18" borderId="46" xfId="2" applyNumberFormat="1" applyBorder="1" applyAlignment="1">
      <alignment horizontal="center" vertical="center" wrapText="1"/>
    </xf>
    <xf numFmtId="178" fontId="20" fillId="18" borderId="76" xfId="2" applyNumberFormat="1" applyBorder="1" applyAlignment="1">
      <alignment horizontal="center" vertical="center" wrapText="1"/>
    </xf>
    <xf numFmtId="0" fontId="12" fillId="20" borderId="50" xfId="4" applyBorder="1">
      <alignment vertical="center"/>
    </xf>
    <xf numFmtId="0" fontId="12" fillId="0" borderId="23" xfId="0" applyFont="1" applyBorder="1" applyAlignment="1">
      <alignment horizontal="left" vertical="center" indent="1"/>
    </xf>
    <xf numFmtId="0" fontId="12" fillId="0" borderId="22" xfId="0" applyFont="1" applyBorder="1" applyAlignment="1">
      <alignment horizontal="left" vertical="center" indent="2"/>
    </xf>
    <xf numFmtId="0" fontId="12" fillId="0" borderId="22" xfId="0" applyFont="1" applyBorder="1" applyAlignment="1">
      <alignment horizontal="left" vertical="center" wrapText="1" indent="1"/>
    </xf>
    <xf numFmtId="0" fontId="12" fillId="0" borderId="34" xfId="0" applyFont="1" applyBorder="1" applyAlignment="1">
      <alignment horizontal="left" vertical="center" wrapText="1" indent="1"/>
    </xf>
    <xf numFmtId="0" fontId="12" fillId="0" borderId="34" xfId="0" applyFont="1" applyBorder="1" applyAlignment="1">
      <alignment horizontal="left" vertical="center" indent="1"/>
    </xf>
    <xf numFmtId="0" fontId="12" fillId="0" borderId="44" xfId="0" applyFont="1" applyBorder="1" applyAlignment="1">
      <alignment horizontal="left" vertical="center" indent="1"/>
    </xf>
    <xf numFmtId="0" fontId="12" fillId="0" borderId="44" xfId="0" applyFont="1" applyBorder="1" applyAlignment="1">
      <alignment horizontal="left" vertical="center" wrapText="1" indent="1"/>
    </xf>
    <xf numFmtId="0" fontId="12" fillId="0" borderId="13" xfId="0" applyFont="1" applyBorder="1" applyAlignment="1">
      <alignment horizontal="left" vertical="center" indent="1"/>
    </xf>
    <xf numFmtId="0" fontId="12" fillId="0" borderId="22" xfId="0" applyFont="1" applyBorder="1" applyAlignment="1">
      <alignment horizontal="left" vertical="center" wrapText="1" indent="2"/>
    </xf>
    <xf numFmtId="0" fontId="25" fillId="0" borderId="14" xfId="0" applyFont="1" applyBorder="1" applyAlignment="1">
      <alignment horizontal="right" vertical="center" wrapText="1"/>
    </xf>
    <xf numFmtId="175" fontId="20" fillId="18" borderId="43" xfId="2" applyNumberFormat="1" applyAlignment="1">
      <alignment horizontal="center" vertical="center"/>
    </xf>
    <xf numFmtId="175" fontId="20" fillId="18" borderId="74" xfId="2" applyNumberFormat="1" applyBorder="1" applyAlignment="1">
      <alignment horizontal="center" vertical="center"/>
    </xf>
    <xf numFmtId="175" fontId="20" fillId="18" borderId="57" xfId="2" applyNumberFormat="1" applyBorder="1" applyAlignment="1">
      <alignment horizontal="center" vertical="center"/>
    </xf>
    <xf numFmtId="0" fontId="19" fillId="22" borderId="42" xfId="5" applyFill="1" applyAlignment="1">
      <alignment horizontal="center"/>
    </xf>
    <xf numFmtId="0" fontId="19" fillId="22" borderId="79" xfId="5" applyFill="1" applyBorder="1" applyAlignment="1">
      <alignment horizontal="center"/>
    </xf>
    <xf numFmtId="0" fontId="19" fillId="22" borderId="0" xfId="5" applyFill="1" applyBorder="1" applyAlignment="1">
      <alignment horizontal="center"/>
    </xf>
    <xf numFmtId="0" fontId="19" fillId="22" borderId="52" xfId="5" applyFill="1" applyBorder="1" applyAlignment="1">
      <alignment horizontal="center"/>
    </xf>
    <xf numFmtId="0" fontId="19" fillId="22" borderId="56" xfId="5" applyFill="1" applyBorder="1" applyAlignment="1">
      <alignment horizontal="center"/>
    </xf>
    <xf numFmtId="179" fontId="20" fillId="18" borderId="78" xfId="2" applyNumberFormat="1" applyBorder="1" applyAlignment="1">
      <alignment horizontal="center"/>
    </xf>
    <xf numFmtId="0" fontId="20" fillId="18" borderId="43" xfId="2" applyAlignment="1">
      <alignment horizontal="center"/>
    </xf>
    <xf numFmtId="178" fontId="20" fillId="18" borderId="80" xfId="2" applyNumberFormat="1" applyBorder="1" applyAlignment="1">
      <alignment horizontal="center"/>
    </xf>
    <xf numFmtId="178" fontId="20" fillId="18" borderId="81" xfId="2" applyNumberFormat="1" applyBorder="1" applyAlignment="1">
      <alignment horizontal="center"/>
    </xf>
    <xf numFmtId="179" fontId="20" fillId="18" borderId="82" xfId="2" applyNumberFormat="1" applyBorder="1" applyAlignment="1">
      <alignment horizontal="center"/>
    </xf>
    <xf numFmtId="0" fontId="19" fillId="22" borderId="55" xfId="5" applyFill="1" applyBorder="1" applyAlignment="1">
      <alignment horizontal="center"/>
    </xf>
    <xf numFmtId="0" fontId="19" fillId="22" borderId="64" xfId="5" applyFill="1" applyBorder="1" applyAlignment="1">
      <alignment horizontal="center"/>
    </xf>
    <xf numFmtId="0" fontId="19" fillId="23" borderId="42" xfId="1" applyFill="1" applyBorder="1" applyAlignment="1">
      <alignment horizontal="center" vertical="center" wrapText="1"/>
    </xf>
    <xf numFmtId="0" fontId="19" fillId="23" borderId="71" xfId="1" applyFill="1" applyBorder="1" applyAlignment="1">
      <alignment horizontal="center" vertical="center" wrapText="1"/>
    </xf>
    <xf numFmtId="181" fontId="0" fillId="0" borderId="24" xfId="0" applyNumberFormat="1" applyFont="1" applyBorder="1" applyAlignment="1">
      <alignment horizontal="center" vertical="center"/>
    </xf>
    <xf numFmtId="181" fontId="0" fillId="0" borderId="19" xfId="0" applyNumberFormat="1" applyFont="1" applyBorder="1" applyAlignment="1">
      <alignment horizontal="center" vertical="center"/>
    </xf>
    <xf numFmtId="181" fontId="0" fillId="0" borderId="20" xfId="0" applyNumberFormat="1" applyFont="1" applyBorder="1" applyAlignment="1">
      <alignment horizontal="center" vertical="center"/>
    </xf>
    <xf numFmtId="181" fontId="0" fillId="0" borderId="18" xfId="0" applyNumberFormat="1" applyFont="1" applyBorder="1" applyAlignment="1">
      <alignment horizontal="center" vertical="center"/>
    </xf>
    <xf numFmtId="175" fontId="20" fillId="18" borderId="83" xfId="2" applyNumberFormat="1" applyBorder="1" applyAlignment="1">
      <alignment horizontal="center" vertical="center"/>
    </xf>
    <xf numFmtId="182" fontId="19" fillId="23" borderId="77" xfId="1" applyNumberFormat="1" applyFill="1" applyBorder="1" applyAlignment="1">
      <alignment horizontal="center" vertical="center" wrapText="1"/>
    </xf>
    <xf numFmtId="0" fontId="19" fillId="22" borderId="84" xfId="5" applyFill="1" applyBorder="1" applyAlignment="1">
      <alignment horizontal="center"/>
    </xf>
    <xf numFmtId="178" fontId="20" fillId="18" borderId="85" xfId="2" applyNumberFormat="1" applyBorder="1" applyAlignment="1">
      <alignment horizontal="center"/>
    </xf>
    <xf numFmtId="179" fontId="20" fillId="18" borderId="86" xfId="2" applyNumberFormat="1" applyBorder="1" applyAlignment="1">
      <alignment horizontal="center"/>
    </xf>
    <xf numFmtId="179" fontId="20" fillId="18" borderId="87" xfId="2" applyNumberFormat="1" applyBorder="1" applyAlignment="1">
      <alignment horizontal="center"/>
    </xf>
    <xf numFmtId="0" fontId="11" fillId="5" borderId="72" xfId="0" applyFont="1" applyFill="1" applyBorder="1" applyAlignment="1">
      <alignment horizontal="left" vertical="center" wrapText="1"/>
    </xf>
    <xf numFmtId="164" fontId="1" fillId="5" borderId="88" xfId="0" applyNumberFormat="1" applyFont="1" applyFill="1" applyBorder="1" applyAlignment="1">
      <alignment horizontal="center" wrapText="1"/>
    </xf>
    <xf numFmtId="0" fontId="11" fillId="5" borderId="14" xfId="0" applyFont="1" applyFill="1" applyBorder="1" applyAlignment="1">
      <alignment horizontal="left" vertical="center" wrapText="1"/>
    </xf>
    <xf numFmtId="167" fontId="19" fillId="19" borderId="64" xfId="5" applyNumberFormat="1" applyBorder="1" applyAlignment="1">
      <alignment horizontal="center" vertical="center" wrapText="1"/>
    </xf>
    <xf numFmtId="0" fontId="11" fillId="5" borderId="34" xfId="0" applyFont="1" applyFill="1" applyBorder="1" applyAlignment="1">
      <alignment horizontal="right" vertical="center" wrapText="1"/>
    </xf>
    <xf numFmtId="0" fontId="19" fillId="19" borderId="89" xfId="1" applyFill="1" applyBorder="1" applyAlignment="1">
      <alignment horizontal="center" vertical="center"/>
    </xf>
    <xf numFmtId="0" fontId="19" fillId="19" borderId="90" xfId="1" applyBorder="1" applyAlignment="1">
      <alignment horizontal="center" vertical="center"/>
    </xf>
    <xf numFmtId="0" fontId="19" fillId="19" borderId="91" xfId="1" applyBorder="1" applyAlignment="1">
      <alignment horizontal="center" vertical="center"/>
    </xf>
    <xf numFmtId="0" fontId="19" fillId="19" borderId="89" xfId="1" applyBorder="1" applyAlignment="1">
      <alignment horizontal="center" vertical="center"/>
    </xf>
    <xf numFmtId="167" fontId="1" fillId="5" borderId="48" xfId="0" applyNumberFormat="1" applyFont="1" applyFill="1" applyBorder="1" applyAlignment="1">
      <alignment horizontal="center" vertical="center" wrapText="1"/>
    </xf>
    <xf numFmtId="0" fontId="8" fillId="0" borderId="33" xfId="0" applyFont="1" applyBorder="1"/>
    <xf numFmtId="0" fontId="14" fillId="0" borderId="3" xfId="0" applyFont="1" applyBorder="1" applyAlignment="1">
      <alignment vertical="top" wrapText="1"/>
    </xf>
    <xf numFmtId="0" fontId="0" fillId="0" borderId="3" xfId="0" applyFont="1" applyBorder="1" applyAlignment="1">
      <alignment vertical="top" wrapText="1"/>
    </xf>
    <xf numFmtId="0" fontId="0" fillId="0" borderId="32" xfId="0" applyFont="1" applyBorder="1" applyAlignment="1">
      <alignment vertical="top" wrapText="1"/>
    </xf>
    <xf numFmtId="0" fontId="20" fillId="18" borderId="43" xfId="2" applyAlignment="1">
      <alignment horizontal="left" vertical="top" wrapText="1"/>
    </xf>
    <xf numFmtId="0" fontId="0" fillId="0" borderId="40" xfId="0" applyBorder="1" applyAlignment="1">
      <alignment horizontal="left" indent="1"/>
    </xf>
    <xf numFmtId="0" fontId="0" fillId="0" borderId="41" xfId="0" applyBorder="1" applyAlignment="1">
      <alignment horizontal="left" indent="1"/>
    </xf>
    <xf numFmtId="0" fontId="0" fillId="0" borderId="22" xfId="0" applyBorder="1" applyAlignment="1">
      <alignment horizontal="left" indent="1"/>
    </xf>
    <xf numFmtId="0" fontId="0" fillId="0" borderId="20" xfId="0" applyBorder="1" applyAlignment="1">
      <alignment horizontal="left" indent="1"/>
    </xf>
  </cellXfs>
  <cellStyles count="6">
    <cellStyle name="Calculation" xfId="3" builtinId="22"/>
    <cellStyle name="Input" xfId="1" builtinId="20" customBuiltin="1"/>
    <cellStyle name="Input 2" xfId="5" xr:uid="{3A45DAD2-2E05-40D1-B17E-878267B74D44}"/>
    <cellStyle name="Normal" xfId="0" builtinId="0"/>
    <cellStyle name="Not Applicable" xfId="4" xr:uid="{9378F4CC-3C5F-4FB9-BA49-51FF20EA15B8}"/>
    <cellStyle name="Output" xfId="2" builtinId="21"/>
  </cellStyles>
  <dxfs count="115">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colors>
    <mruColors>
      <color rgb="FFE7FFFF"/>
      <color rgb="FF99CCFF"/>
      <color rgb="FFCCECFF"/>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Initial CrCl (mL/min)</a:t>
            </a:r>
          </a:p>
        </c:rich>
      </c:tx>
      <c:layout>
        <c:manualLayout>
          <c:xMode val="edge"/>
          <c:yMode val="edge"/>
          <c:x val="6.1406569227096683E-2"/>
          <c:y val="5.312084993359893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v>CrCl</c:v>
          </c:tx>
          <c:spPr>
            <a:ln w="12700">
              <a:solidFill>
                <a:schemeClr val="tx1"/>
              </a:solidFill>
            </a:ln>
          </c:spPr>
          <c:dPt>
            <c:idx val="0"/>
            <c:bubble3D val="0"/>
            <c:spPr>
              <a:gradFill flip="none" rotWithShape="1">
                <a:gsLst>
                  <a:gs pos="0">
                    <a:srgbClr val="C00000">
                      <a:shade val="30000"/>
                      <a:satMod val="115000"/>
                    </a:srgbClr>
                  </a:gs>
                  <a:gs pos="50000">
                    <a:srgbClr val="C00000">
                      <a:shade val="67500"/>
                      <a:satMod val="115000"/>
                    </a:srgbClr>
                  </a:gs>
                  <a:gs pos="100000">
                    <a:srgbClr val="C00000">
                      <a:shade val="100000"/>
                      <a:satMod val="115000"/>
                    </a:srgbClr>
                  </a:gs>
                </a:gsLst>
                <a:lin ang="10800000" scaled="1"/>
                <a:tileRect/>
              </a:gradFill>
              <a:ln w="12700">
                <a:solidFill>
                  <a:schemeClr val="tx1"/>
                </a:solidFill>
              </a:ln>
              <a:effectLst/>
            </c:spPr>
            <c:extLst>
              <c:ext xmlns:c16="http://schemas.microsoft.com/office/drawing/2014/chart" uri="{C3380CC4-5D6E-409C-BE32-E72D297353CC}">
                <c16:uniqueId val="{00000003-6B2B-4B21-99C6-21F88A011A8C}"/>
              </c:ext>
            </c:extLst>
          </c:dPt>
          <c:dPt>
            <c:idx val="1"/>
            <c:bubble3D val="0"/>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3500000" scaled="1"/>
                <a:tileRect/>
              </a:gradFill>
              <a:ln w="12700">
                <a:solidFill>
                  <a:schemeClr val="tx1"/>
                </a:solidFill>
              </a:ln>
              <a:effectLst/>
            </c:spPr>
            <c:extLst>
              <c:ext xmlns:c16="http://schemas.microsoft.com/office/drawing/2014/chart" uri="{C3380CC4-5D6E-409C-BE32-E72D297353CC}">
                <c16:uniqueId val="{00000004-6B2B-4B21-99C6-21F88A011A8C}"/>
              </c:ext>
            </c:extLst>
          </c:dPt>
          <c:dPt>
            <c:idx val="2"/>
            <c:bubble3D val="0"/>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13500000" scaled="1"/>
                <a:tileRect/>
              </a:gradFill>
              <a:ln w="12700">
                <a:solidFill>
                  <a:schemeClr val="tx1"/>
                </a:solidFill>
              </a:ln>
              <a:effectLst/>
            </c:spPr>
            <c:extLst>
              <c:ext xmlns:c16="http://schemas.microsoft.com/office/drawing/2014/chart" uri="{C3380CC4-5D6E-409C-BE32-E72D297353CC}">
                <c16:uniqueId val="{00000005-6B2B-4B21-99C6-21F88A011A8C}"/>
              </c:ext>
            </c:extLst>
          </c:dPt>
          <c:dPt>
            <c:idx val="3"/>
            <c:bubble3D val="0"/>
            <c:spPr>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3500000" scaled="1"/>
                <a:tileRect/>
              </a:gradFill>
              <a:ln w="12700">
                <a:solidFill>
                  <a:schemeClr val="tx1"/>
                </a:solidFill>
              </a:ln>
              <a:effectLst/>
            </c:spPr>
            <c:extLst>
              <c:ext xmlns:c16="http://schemas.microsoft.com/office/drawing/2014/chart" uri="{C3380CC4-5D6E-409C-BE32-E72D297353CC}">
                <c16:uniqueId val="{00000006-6B2B-4B21-99C6-21F88A011A8C}"/>
              </c:ext>
            </c:extLst>
          </c:dPt>
          <c:dPt>
            <c:idx val="4"/>
            <c:bubble3D val="0"/>
            <c:spPr>
              <a:gradFill flip="none" rotWithShape="1">
                <a:gsLst>
                  <a:gs pos="0">
                    <a:srgbClr val="92D050">
                      <a:shade val="30000"/>
                      <a:satMod val="115000"/>
                    </a:srgbClr>
                  </a:gs>
                  <a:gs pos="50000">
                    <a:srgbClr val="92D050">
                      <a:shade val="67500"/>
                      <a:satMod val="115000"/>
                    </a:srgbClr>
                  </a:gs>
                  <a:gs pos="100000">
                    <a:srgbClr val="92D050">
                      <a:shade val="100000"/>
                      <a:satMod val="115000"/>
                    </a:srgbClr>
                  </a:gs>
                </a:gsLst>
                <a:lin ang="16200000" scaled="1"/>
                <a:tileRect/>
              </a:gradFill>
              <a:ln w="12700">
                <a:solidFill>
                  <a:schemeClr val="tx1"/>
                </a:solidFill>
              </a:ln>
              <a:effectLst/>
            </c:spPr>
            <c:extLst>
              <c:ext xmlns:c16="http://schemas.microsoft.com/office/drawing/2014/chart" uri="{C3380CC4-5D6E-409C-BE32-E72D297353CC}">
                <c16:uniqueId val="{00000007-6B2B-4B21-99C6-21F88A011A8C}"/>
              </c:ext>
            </c:extLst>
          </c:dPt>
          <c:dPt>
            <c:idx val="5"/>
            <c:bubble3D val="0"/>
            <c:spPr>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w="12700">
                <a:solidFill>
                  <a:schemeClr val="tx1"/>
                </a:solidFill>
              </a:ln>
              <a:effectLst/>
            </c:spPr>
            <c:extLst>
              <c:ext xmlns:c16="http://schemas.microsoft.com/office/drawing/2014/chart" uri="{C3380CC4-5D6E-409C-BE32-E72D297353CC}">
                <c16:uniqueId val="{00000008-6B2B-4B21-99C6-21F88A011A8C}"/>
              </c:ext>
            </c:extLst>
          </c:dPt>
          <c:dPt>
            <c:idx val="6"/>
            <c:bubble3D val="0"/>
            <c:spPr>
              <a:noFill/>
              <a:ln w="12700">
                <a:noFill/>
              </a:ln>
              <a:effectLst/>
            </c:spPr>
            <c:extLst>
              <c:ext xmlns:c16="http://schemas.microsoft.com/office/drawing/2014/chart" uri="{C3380CC4-5D6E-409C-BE32-E72D297353CC}">
                <c16:uniqueId val="{00000002-6B2B-4B21-99C6-21F88A011A8C}"/>
              </c:ext>
            </c:extLst>
          </c:dPt>
          <c:val>
            <c:numLit>
              <c:formatCode>General</c:formatCode>
              <c:ptCount val="7"/>
              <c:pt idx="0">
                <c:v>15</c:v>
              </c:pt>
              <c:pt idx="1">
                <c:v>15</c:v>
              </c:pt>
              <c:pt idx="2">
                <c:v>15</c:v>
              </c:pt>
              <c:pt idx="3">
                <c:v>15</c:v>
              </c:pt>
              <c:pt idx="4">
                <c:v>30</c:v>
              </c:pt>
              <c:pt idx="5">
                <c:v>60</c:v>
              </c:pt>
              <c:pt idx="6">
                <c:v>150</c:v>
              </c:pt>
            </c:numLit>
          </c:val>
          <c:extLst>
            <c:ext xmlns:c16="http://schemas.microsoft.com/office/drawing/2014/chart" uri="{C3380CC4-5D6E-409C-BE32-E72D297353CC}">
              <c16:uniqueId val="{00000000-6B2B-4B21-99C6-21F88A011A8C}"/>
            </c:ext>
          </c:extLst>
        </c:ser>
        <c:dLbls>
          <c:showLegendKey val="0"/>
          <c:showVal val="0"/>
          <c:showCatName val="0"/>
          <c:showSerName val="0"/>
          <c:showPercent val="0"/>
          <c:showBubbleSize val="0"/>
          <c:showLeaderLines val="1"/>
        </c:dLbls>
        <c:firstSliceAng val="270"/>
        <c:holeSize val="50"/>
      </c:doughnutChart>
      <c:pieChart>
        <c:varyColors val="1"/>
        <c:ser>
          <c:idx val="1"/>
          <c:order val="1"/>
          <c:tx>
            <c:v>Pointer</c:v>
          </c:tx>
          <c:spPr>
            <a:noFill/>
            <a:ln>
              <a:noFill/>
            </a:ln>
          </c:spPr>
          <c:dPt>
            <c:idx val="0"/>
            <c:bubble3D val="0"/>
            <c:spPr>
              <a:noFill/>
              <a:ln w="19050">
                <a:noFill/>
              </a:ln>
              <a:effectLst/>
            </c:spPr>
            <c:extLst>
              <c:ext xmlns:c16="http://schemas.microsoft.com/office/drawing/2014/chart" uri="{C3380CC4-5D6E-409C-BE32-E72D297353CC}">
                <c16:uniqueId val="{00000010-35C7-48C1-8C47-D10337F475A8}"/>
              </c:ext>
            </c:extLst>
          </c:dPt>
          <c:dPt>
            <c:idx val="1"/>
            <c:bubble3D val="0"/>
            <c:spPr>
              <a:solidFill>
                <a:schemeClr val="tx1"/>
              </a:solidFill>
              <a:ln w="19050">
                <a:noFill/>
              </a:ln>
              <a:effectLst/>
            </c:spPr>
            <c:extLst>
              <c:ext xmlns:c16="http://schemas.microsoft.com/office/drawing/2014/chart" uri="{C3380CC4-5D6E-409C-BE32-E72D297353CC}">
                <c16:uniqueId val="{00000011-35C7-48C1-8C47-D10337F475A8}"/>
              </c:ext>
            </c:extLst>
          </c:dPt>
          <c:dPt>
            <c:idx val="2"/>
            <c:bubble3D val="0"/>
            <c:spPr>
              <a:noFill/>
              <a:ln w="19050">
                <a:noFill/>
              </a:ln>
              <a:effectLst/>
            </c:spPr>
            <c:extLst>
              <c:ext xmlns:c16="http://schemas.microsoft.com/office/drawing/2014/chart" uri="{C3380CC4-5D6E-409C-BE32-E72D297353CC}">
                <c16:uniqueId val="{0000000F-35C7-48C1-8C47-D10337F475A8}"/>
              </c:ext>
            </c:extLst>
          </c:dPt>
          <c:dLbls>
            <c:dLbl>
              <c:idx val="0"/>
              <c:delete val="1"/>
              <c:extLst>
                <c:ext xmlns:c15="http://schemas.microsoft.com/office/drawing/2012/chart" uri="{CE6537A1-D6FC-4f65-9D91-7224C49458BB}"/>
                <c:ext xmlns:c16="http://schemas.microsoft.com/office/drawing/2014/chart" uri="{C3380CC4-5D6E-409C-BE32-E72D297353CC}">
                  <c16:uniqueId val="{00000010-35C7-48C1-8C47-D10337F475A8}"/>
                </c:ext>
              </c:extLst>
            </c:dLbl>
            <c:dLbl>
              <c:idx val="1"/>
              <c:tx>
                <c:strRef>
                  <c:f>MonitoringForm!$O$58</c:f>
                  <c:strCache>
                    <c:ptCount val="1"/>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{5BB70FE3-5BBC-4E0E-BEF3-BD9E16DDA963}</c15:txfldGUID>
                      <c15:f>MonitoringForm!$O$58</c15:f>
                      <c15:dlblFieldTableCache>
                        <c:ptCount val="1"/>
                      </c15:dlblFieldTableCache>
                    </c15:dlblFTEntry>
                  </c15:dlblFieldTable>
                  <c15:showDataLabelsRange val="0"/>
                </c:ext>
                <c:ext xmlns:c16="http://schemas.microsoft.com/office/drawing/2014/chart" uri="{C3380CC4-5D6E-409C-BE32-E72D297353CC}">
                  <c16:uniqueId val="{00000011-35C7-48C1-8C47-D10337F475A8}"/>
                </c:ext>
              </c:extLst>
            </c:dLbl>
            <c:dLbl>
              <c:idx val="2"/>
              <c:delete val="1"/>
              <c:extLst>
                <c:ext xmlns:c15="http://schemas.microsoft.com/office/drawing/2012/chart" uri="{CE6537A1-D6FC-4f65-9D91-7224C49458BB}"/>
                <c:ext xmlns:c16="http://schemas.microsoft.com/office/drawing/2014/chart" uri="{C3380CC4-5D6E-409C-BE32-E72D297353CC}">
                  <c16:uniqueId val="{0000000F-35C7-48C1-8C47-D10337F475A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MonitoringForm!$O$54:$O$56</c:f>
              <c:numCache>
                <c:formatCode>General</c:formatCode>
                <c:ptCount val="3"/>
                <c:pt idx="0" formatCode="#.0">
                  <c:v>0</c:v>
                </c:pt>
                <c:pt idx="1">
                  <c:v>2</c:v>
                </c:pt>
                <c:pt idx="2">
                  <c:v>298</c:v>
                </c:pt>
              </c:numCache>
            </c:numRef>
          </c:val>
          <c:extLst>
            <c:ext xmlns:c16="http://schemas.microsoft.com/office/drawing/2014/chart" uri="{C3380CC4-5D6E-409C-BE32-E72D297353CC}">
              <c16:uniqueId val="{00000009-6B2B-4B21-99C6-21F88A011A8C}"/>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DifferentDay"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drawing3.xml.rels><?xml version="1.0" encoding="UTF-8" standalone="yes"?>
<Relationships xmlns="http://schemas.openxmlformats.org/package/2006/relationships"><Relationship Id="rId8" Type="http://schemas.openxmlformats.org/officeDocument/2006/relationships/image" Target="../media/image19.png"/><Relationship Id="rId3" Type="http://schemas.openxmlformats.org/officeDocument/2006/relationships/image" Target="../media/image14.svg"/><Relationship Id="rId7" Type="http://schemas.openxmlformats.org/officeDocument/2006/relationships/image" Target="../media/image18.svg"/><Relationship Id="rId2" Type="http://schemas.openxmlformats.org/officeDocument/2006/relationships/image" Target="../media/image13.png"/><Relationship Id="rId1" Type="http://schemas.openxmlformats.org/officeDocument/2006/relationships/chart" Target="../charts/chart1.xml"/><Relationship Id="rId6" Type="http://schemas.openxmlformats.org/officeDocument/2006/relationships/image" Target="../media/image17.png"/><Relationship Id="rId5" Type="http://schemas.openxmlformats.org/officeDocument/2006/relationships/image" Target="../media/image16.svg"/><Relationship Id="rId4" Type="http://schemas.openxmlformats.org/officeDocument/2006/relationships/image" Target="../media/image15.png"/><Relationship Id="rId9" Type="http://schemas.openxmlformats.org/officeDocument/2006/relationships/image" Target="../media/image20.sv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grayscl/>
          <a:alphaModFix amt="50000"/>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266700</xdr:colOff>
      <xdr:row>23</xdr:row>
      <xdr:rowOff>104775</xdr:rowOff>
    </xdr:from>
    <xdr:to>
      <xdr:col>2</xdr:col>
      <xdr:colOff>9526</xdr:colOff>
      <xdr:row>24</xdr:row>
      <xdr:rowOff>171450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266700" y="4486275"/>
          <a:ext cx="962026"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152400</xdr:rowOff>
    </xdr:from>
    <xdr:to>
      <xdr:col>12</xdr:col>
      <xdr:colOff>142875</xdr:colOff>
      <xdr:row>24</xdr:row>
      <xdr:rowOff>485775</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533900"/>
          <a:ext cx="1800225" cy="523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200" b="0" i="1">
            <a:solidFill>
              <a:srgbClr val="FF0000"/>
            </a:solidFill>
          </a:endParaRPr>
        </a:p>
      </xdr:txBody>
    </xdr:sp>
    <xdr:clientData/>
  </xdr:twoCellAnchor>
  <xdr:oneCellAnchor>
    <xdr:from>
      <xdr:col>1</xdr:col>
      <xdr:colOff>523875</xdr:colOff>
      <xdr:row>23</xdr:row>
      <xdr:rowOff>115489</xdr:rowOff>
    </xdr:from>
    <xdr:ext cx="5067300" cy="295850"/>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96989"/>
          <a:ext cx="506730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300" baseline="0">
              <a:solidFill>
                <a:srgbClr val="FF0000"/>
              </a:solidFill>
              <a:effectLst/>
              <a:latin typeface="+mn-lt"/>
              <a:ea typeface="+mn-ea"/>
              <a:cs typeface="+mn-cs"/>
            </a:rPr>
            <a:t>- Hemodialysis, CRRT, AKI/Unstable Renal Function, Surgical Prophylaxis</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57150</xdr:colOff>
      <xdr:row>1</xdr:row>
      <xdr:rowOff>285750</xdr:rowOff>
    </xdr:from>
    <xdr:to>
      <xdr:col>1</xdr:col>
      <xdr:colOff>2562224</xdr:colOff>
      <xdr:row>13</xdr:row>
      <xdr:rowOff>123825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95250</xdr:colOff>
      <xdr:row>64</xdr:row>
      <xdr:rowOff>95250</xdr:rowOff>
    </xdr:from>
    <xdr:to>
      <xdr:col>23</xdr:col>
      <xdr:colOff>400050</xdr:colOff>
      <xdr:row>69</xdr:row>
      <xdr:rowOff>57150</xdr:rowOff>
    </xdr:to>
    <xdr:pic>
      <xdr:nvPicPr>
        <xdr:cNvPr id="4" name="Graphic 3" descr="Woman with cane">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11450" y="13287375"/>
          <a:ext cx="914400" cy="914400"/>
        </a:xfrm>
        <a:prstGeom prst="rect">
          <a:avLst/>
        </a:prstGeom>
      </xdr:spPr>
    </xdr:pic>
    <xdr:clientData/>
  </xdr:twoCellAnchor>
  <xdr:twoCellAnchor editAs="oneCell">
    <xdr:from>
      <xdr:col>22</xdr:col>
      <xdr:colOff>197625</xdr:colOff>
      <xdr:row>68</xdr:row>
      <xdr:rowOff>54750</xdr:rowOff>
    </xdr:from>
    <xdr:to>
      <xdr:col>23</xdr:col>
      <xdr:colOff>502425</xdr:colOff>
      <xdr:row>73</xdr:row>
      <xdr:rowOff>16650</xdr:rowOff>
    </xdr:to>
    <xdr:pic>
      <xdr:nvPicPr>
        <xdr:cNvPr id="8" name="Graphic 7" descr="Woman with cane">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5513825" y="14199375"/>
          <a:ext cx="914400" cy="914400"/>
        </a:xfrm>
        <a:prstGeom prst="rect">
          <a:avLst/>
        </a:prstGeom>
      </xdr:spPr>
    </xdr:pic>
    <xdr:clientData/>
  </xdr:twoCellAnchor>
  <xdr:twoCellAnchor editAs="oneCell">
    <xdr:from>
      <xdr:col>23</xdr:col>
      <xdr:colOff>338100</xdr:colOff>
      <xdr:row>68</xdr:row>
      <xdr:rowOff>33300</xdr:rowOff>
    </xdr:from>
    <xdr:to>
      <xdr:col>25</xdr:col>
      <xdr:colOff>33300</xdr:colOff>
      <xdr:row>72</xdr:row>
      <xdr:rowOff>185700</xdr:rowOff>
    </xdr:to>
    <xdr:pic>
      <xdr:nvPicPr>
        <xdr:cNvPr id="10" name="Graphic 9" descr="Man with cane">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6263900" y="14177925"/>
          <a:ext cx="914400" cy="914400"/>
        </a:xfrm>
        <a:prstGeom prst="rect">
          <a:avLst/>
        </a:prstGeom>
      </xdr:spPr>
    </xdr:pic>
    <xdr:clientData/>
  </xdr:twoCellAnchor>
  <xdr:twoCellAnchor editAs="oneCell">
    <xdr:from>
      <xdr:col>23</xdr:col>
      <xdr:colOff>307125</xdr:colOff>
      <xdr:row>64</xdr:row>
      <xdr:rowOff>107100</xdr:rowOff>
    </xdr:from>
    <xdr:to>
      <xdr:col>25</xdr:col>
      <xdr:colOff>2325</xdr:colOff>
      <xdr:row>69</xdr:row>
      <xdr:rowOff>69000</xdr:rowOff>
    </xdr:to>
    <xdr:pic>
      <xdr:nvPicPr>
        <xdr:cNvPr id="12" name="Graphic 11" descr="Man with cane">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232925" y="13299225"/>
          <a:ext cx="914400" cy="9144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1190625</xdr:colOff>
          <xdr:row>11</xdr:row>
          <xdr:rowOff>9525</xdr:rowOff>
        </xdr:from>
        <xdr:to>
          <xdr:col>1</xdr:col>
          <xdr:colOff>2638425</xdr:colOff>
          <xdr:row>12</xdr:row>
          <xdr:rowOff>19050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Load Dose on Same Day?</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totalsRowShown="0" headerRowDxfId="114" dataDxfId="112" headerRowBorderDxfId="113" tableBorderDxfId="111" totalsRowBorderDxfId="110">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109"/>
    <tableColumn id="2" xr3:uid="{00000000-0010-0000-0000-000002000000}" name="LastName" dataDxfId="108"/>
    <tableColumn id="3" xr3:uid="{00000000-0010-0000-0000-000003000000}" name="FirstName" dataDxfId="107"/>
    <tableColumn id="4" xr3:uid="{00000000-0010-0000-0000-000004000000}" name="Location" dataDxfId="106"/>
    <tableColumn id="5" xr3:uid="{00000000-0010-0000-0000-000005000000}" name="Room" dataDxfId="105"/>
    <tableColumn id="6" xr3:uid="{00000000-0010-0000-0000-000006000000}" name="Bed" dataDxfId="104"/>
    <tableColumn id="7" xr3:uid="{00000000-0010-0000-0000-000007000000}" name="Note" dataDxfId="103"/>
    <tableColumn id="8" xr3:uid="{00000000-0010-0000-0000-000008000000}" name="ConsultType" dataDxfId="102"/>
    <tableColumn id="9" xr3:uid="{00000000-0010-0000-0000-000009000000}" name="Entered" dataDxfId="101"/>
    <tableColumn id="10" xr3:uid="{00000000-0010-0000-0000-00000A000000}" name="NextLevel" dataDxfId="10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totalsRowShown="0" headerRowDxfId="99" dataDxfId="98" tableBorderDxfId="97">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96"/>
    <tableColumn id="2" xr3:uid="{00000000-0010-0000-0100-000002000000}" name="Height" dataDxfId="95"/>
    <tableColumn id="3" xr3:uid="{00000000-0010-0000-0100-000003000000}" name="Weight" dataDxfId="94"/>
    <tableColumn id="4" xr3:uid="{00000000-0010-0000-0100-000004000000}" name="Age" dataDxfId="93"/>
    <tableColumn id="5" xr3:uid="{00000000-0010-0000-0100-000005000000}" name="Gender" dataDxfId="9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totalsRowShown="0" headerRowDxfId="91" dataDxfId="90">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89"/>
    <tableColumn id="2" xr3:uid="{00000000-0010-0000-0200-000002000000}" name="ConsultingPhysician" dataDxfId="88"/>
    <tableColumn id="3" xr3:uid="{00000000-0010-0000-0200-000003000000}" name="SuspectedIndications" dataDxfId="87"/>
    <tableColumn id="4" xr3:uid="{00000000-0010-0000-0200-000004000000}" name="MIC" dataDxfId="86"/>
    <tableColumn id="5" xr3:uid="{00000000-0010-0000-0200-000005000000}" name="Target" dataDxfId="8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totalsRowShown="0" headerRowDxfId="84" dataDxfId="83">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82"/>
    <tableColumn id="2" xr3:uid="{00000000-0010-0000-0300-000002000000}" name="SCr" dataDxfId="81"/>
    <tableColumn id="3" xr3:uid="{00000000-0010-0000-0300-000003000000}" name="SCrDate" dataDxfId="80"/>
    <tableColumn id="4" xr3:uid="{00000000-0010-0000-0300-000004000000}" name="BUN" dataDxfId="79"/>
    <tableColumn id="9" xr3:uid="{3542AD01-2369-4451-87C0-D396A0BE70E4}" name="ManuallyEnteredQ" dataDxfId="78"/>
    <tableColumn id="5" xr3:uid="{00000000-0010-0000-0300-000005000000}" name="ManuallyEnteredCrCl" dataDxfId="77"/>
    <tableColumn id="6" xr3:uid="{00000000-0010-0000-0300-000006000000}" name="OtherNephrotoxicDrugs" dataDxfId="76"/>
    <tableColumn id="7" xr3:uid="{00000000-0010-0000-0300-000007000000}" name="RoundedUpSCr" dataDxfId="75"/>
    <tableColumn id="8" xr3:uid="{00000000-0010-0000-0300-000008000000}" name="UseAdjBW" dataDxfId="7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totalsRowShown="0" headerRowDxfId="73" dataDxfId="72">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71"/>
    <tableColumn id="2" xr3:uid="{00000000-0010-0000-0400-000002000000}" name="LDStrength" dataDxfId="70"/>
    <tableColumn id="3" xr3:uid="{00000000-0010-0000-0400-000003000000}" name="LDTinf" dataDxfId="69"/>
    <tableColumn id="4" xr3:uid="{00000000-0010-0000-0400-000004000000}" name="LDScheduledAt" dataDxfId="68"/>
    <tableColumn id="5" xr3:uid="{00000000-0010-0000-0400-000005000000}" name="LDAdministeredAt" dataDxfId="67"/>
    <tableColumn id="6" xr3:uid="{00000000-0010-0000-0400-000006000000}" name="Dosing" dataDxfId="66"/>
    <tableColumn id="7" xr3:uid="{00000000-0010-0000-0400-000007000000}" name="MaxDose" dataDxfId="65"/>
    <tableColumn id="8" xr3:uid="{00000000-0010-0000-0400-000008000000}" name="GivenQ" dataDxfId="64"/>
    <tableColumn id="9" xr3:uid="{00000000-0010-0000-0400-000009000000}" name="Interval" dataDxfId="6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totalsRowShown="0" headerRowDxfId="62" dataDxfId="61">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60"/>
    <tableColumn id="2" xr3:uid="{00000000-0010-0000-0500-000002000000}" name="MDStrength" dataDxfId="59"/>
    <tableColumn id="3" xr3:uid="{00000000-0010-0000-0500-000003000000}" name="MDTinf" dataDxfId="58"/>
    <tableColumn id="4" xr3:uid="{00000000-0010-0000-0500-000004000000}" name="MDScheduledAt" dataDxfId="57"/>
    <tableColumn id="5" xr3:uid="{00000000-0010-0000-0500-000005000000}" name="MDAdministeredAt" dataDxfId="56"/>
    <tableColumn id="6" xr3:uid="{00000000-0010-0000-0500-000006000000}" name="MDTau" dataDxfId="55"/>
    <tableColumn id="7" xr3:uid="{00000000-0010-0000-0500-000007000000}" name="PeakQ" dataDxfId="5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totalsRowShown="0" headerRowDxfId="53" dataDxfId="52">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51"/>
    <tableColumn id="2" xr3:uid="{00000000-0010-0000-0600-000002000000}" name="Vd_kg" dataDxfId="50"/>
    <tableColumn id="3" xr3:uid="{00000000-0010-0000-0600-000003000000}" name="CLVancoEquationUsed" dataDxfId="49"/>
    <tableColumn id="5" xr3:uid="{FAED5D2B-FDFB-4145-B98D-FC1204D5A146}" name="Ke" dataDxfId="48"/>
    <tableColumn id="6" xr3:uid="{7F164A4D-2EE6-4F8D-9167-CED1ED36B8FB}" name="Vd" dataDxfId="4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totalsRowShown="0" headerRowDxfId="46" dataDxfId="45">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44"/>
    <tableColumn id="2" xr3:uid="{00000000-0010-0000-0700-000002000000}" name="C1" dataDxfId="43"/>
    <tableColumn id="3" xr3:uid="{00000000-0010-0000-0700-000003000000}" name="C1Date" dataDxfId="42"/>
    <tableColumn id="4" xr3:uid="{00000000-0010-0000-0700-000004000000}" name="C2" dataDxfId="41"/>
    <tableColumn id="5" xr3:uid="{00000000-0010-0000-0700-000005000000}" name="C2Date" dataDxfId="40"/>
    <tableColumn id="6" xr3:uid="{00000000-0010-0000-0700-000006000000}" name="Ke" dataDxfId="39"/>
    <tableColumn id="7" xr3:uid="{00000000-0010-0000-0700-000007000000}" name="Vd" dataDxfId="38"/>
    <tableColumn id="8" xr3:uid="{00000000-0010-0000-0700-000008000000}" name="LevelStrategy" dataDxfId="37"/>
    <tableColumn id="9" xr3:uid="{C49CB386-D6CF-4698-B06E-E18A7E387995}" name="DoseDate" dataDxfId="3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totalsRowShown="0" headerRowDxfId="35" dataDxfId="34">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33"/>
    <tableColumn id="2" xr3:uid="{00000000-0010-0000-0800-000002000000}" name="peakQ" dataDxfId="32"/>
    <tableColumn id="3" xr3:uid="{00000000-0010-0000-0800-000003000000}" name="peakDate" dataDxfId="31"/>
    <tableColumn id="5" xr3:uid="{00000000-0010-0000-0800-000005000000}" name="troughQ" dataDxfId="30"/>
    <tableColumn id="4" xr3:uid="{00000000-0010-0000-0800-000004000000}" name="troughDate" dataDxfId="2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E1:E5" totalsRowShown="0" headerRowDxfId="28">
  <autoFilter ref="E1:E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G1:G7" totalsRowShown="0">
  <autoFilter ref="G1:G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I1:I6" totalsRowShown="0">
  <autoFilter ref="I1:I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K1:K3" totalsRowShown="0">
  <autoFilter ref="K1:K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M1:M4" totalsRowShown="0">
  <autoFilter ref="M1:M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O1:O14" totalsRowShown="0">
  <autoFilter ref="O1:O14" xr:uid="{ED6C934A-7145-4F66-9CDA-3634B8056077}"/>
  <tableColumns count="1">
    <tableColumn id="1" xr3:uid="{C8C66435-D2BB-4146-9F85-ADF43D625198}" name="Suspected Infection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Q1:Q12" totalsRowShown="0">
  <autoFilter ref="Q1:Q12" xr:uid="{0A0A911B-9444-4B70-AB94-F1DA36A23FCF}"/>
  <tableColumns count="1">
    <tableColumn id="1" xr3:uid="{DEE5CA00-0377-4EA5-ACA6-EFBB0347F346}" name="Dos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S1:T5" totalsRowShown="0">
  <autoFilter ref="S1:T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V1:W7" totalsRowShown="0">
  <autoFilter ref="V1:W7" xr:uid="{5E15C6C8-499D-4973-A7F1-B99454DA0D8D}"/>
  <tableColumns count="2">
    <tableColumn id="1" xr3:uid="{9DBDAB1B-0887-413D-9729-ABD37B2A6F4D}" name="Vd Estimates" dataDxfId="27"/>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Y1:Z3" totalsRowShown="0">
  <autoFilter ref="Y1:Z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FB5697E-9547-4F5D-B82F-56146918812A}" name="HeightUnits" displayName="HeightUnits" ref="AB1:AB3" totalsRowShown="0">
  <autoFilter ref="AB1:AB3" xr:uid="{EB0A46E1-0CB2-4EF1-8AFF-4D015C5A9C20}"/>
  <tableColumns count="1">
    <tableColumn id="1" xr3:uid="{78E8D109-177B-4210-B3E2-D53845090147}" name="HeightUnit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682B22-1AAE-4A60-9AD2-A65BBFECEFB5}" name="WeightUnits" displayName="WeightUnits" ref="AD1:AD3" totalsRowShown="0">
  <autoFilter ref="AD1:AD3" xr:uid="{E72C0234-716D-4394-B7B6-E8453AD40E61}"/>
  <tableColumns count="1">
    <tableColumn id="1" xr3:uid="{86E196F8-974C-4DC7-A557-B8685470AA58}" name="WeightUnit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25B9E32-ADDE-4A29-ACF6-093C0DFDAC8D}" name="Gender" displayName="Gender" ref="AF1:AF3" totalsRowShown="0">
  <autoFilter ref="AF1:AF3" xr:uid="{DF7DBC07-8C89-4D5D-A225-D5AC29A8EE47}"/>
  <tableColumns count="1">
    <tableColumn id="1" xr3:uid="{D69C3166-673B-479A-B6A5-B1E2758A26A6}" name="Gender"/>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BBD8C65-7FB1-4465-854D-E39CA13B2A52}" name="LoadDosing" displayName="LoadDosing" ref="AH1:AH8" totalsRowShown="0">
  <autoFilter ref="AH1:AH8" xr:uid="{52885137-9750-4424-8D01-19B5038643C2}"/>
  <tableColumns count="1">
    <tableColumn id="1" xr3:uid="{C592AF59-9454-451F-B92A-6A30915270E0}" name="LoadDosing"/>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992D121-C5E7-4157-9D6C-786276C0CA4B}" name="InfTimeUnits" displayName="InfTimeUnits" ref="A1:A3" totalsRowShown="0">
  <autoFilter ref="A1:A3" xr:uid="{D48A9784-521B-4229-80D6-322D45EAFB29}"/>
  <tableColumns count="1">
    <tableColumn id="1" xr3:uid="{696BA220-FB6C-43F0-8EB9-95A4F648C7D9}" name="InfTimeUnit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78E9788-7C3D-421C-B97F-FB7D97F02516}" name="TimeOptions" displayName="TimeOptions" ref="C1:C9" totalsRowShown="0">
  <autoFilter ref="C1:C9" xr:uid="{B9B8D297-1F19-470F-9AD8-28AE19D004F1}"/>
  <tableColumns count="1">
    <tableColumn id="1" xr3:uid="{E2371AAB-109E-42AC-82DF-AD1BFC044710}" name="TimeOptions"/>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6BB8FC45-0362-4624-858F-841A1FDE1F01}" name="KeLevelsStrategy" displayName="KeLevelsStrategy" ref="AJ1:AJ3" totalsRowShown="0">
  <autoFilter ref="AJ1:AJ3" xr:uid="{AD2B928C-C686-4D64-9415-C9347EAD4A4A}"/>
  <tableColumns count="1">
    <tableColumn id="1" xr3:uid="{FC68D7C4-E61D-4B67-85B0-3B6C14B8474E}" name="KeLevelsStrategy"/>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AA42BDD-A051-4A85-BBED-645A3308D768}" name="DosingFrequencies" displayName="DosingFrequencies" ref="AL1:AL9" totalsRowShown="0">
  <autoFilter ref="AL1:AL9" xr:uid="{F8E79F3F-DE58-4408-BC66-495DAE3C4BB6}"/>
  <tableColumns count="1">
    <tableColumn id="1" xr3:uid="{8AA5FB4B-EFCA-4581-992E-C02CEB3CAC34}" name="DosingFrequencies"/>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7" totalsRowShown="0">
  <autoFilter ref="A1:E7"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F00B99C-9EFA-41B6-81CE-F98E6FF6F491}" name="Frequencies" displayName="Frequencies" ref="D53:D61" totalsRowShown="0" headerRowDxfId="26" dataDxfId="25">
  <autoFilter ref="D53:D61" xr:uid="{36809F97-9078-45B0-B15E-5245E273B8F5}"/>
  <tableColumns count="1">
    <tableColumn id="1" xr3:uid="{2473EEC6-FF34-407D-808F-A9D0779BE485}" name="Frequencies" dataDxfId="24"/>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A4369B2-BA8B-4215-8355-76BB56EEDC97}" name="GenderChar" displayName="GenderChar" ref="F53:F55" totalsRowShown="0" headerRowDxfId="23" dataDxfId="22">
  <autoFilter ref="F53:F55" xr:uid="{32BDD2C9-832F-4C8F-9547-195685DF9702}"/>
  <tableColumns count="1">
    <tableColumn id="1" xr3:uid="{38470A54-D861-4C6B-80A5-C73A4E1F5733}" name="Gender" dataDxfId="2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085C260-B644-4289-AF77-956E1E62D237}" name="mfLoadDoses347" displayName="mfLoadDoses347" ref="H53:H63" totalsRowShown="0" headerRowDxfId="20" dataDxfId="19">
  <autoFilter ref="H53:H63" xr:uid="{BC72603F-6E02-438F-8A31-41BDC2E4B2B4}"/>
  <tableColumns count="1">
    <tableColumn id="1" xr3:uid="{0C992EBD-F96A-40D4-9F68-00845A4F9867}" name="Doses" dataDxfId="18"/>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C74DD89-D352-48C2-A483-005555CE2EC5}" name="MDDoses" displayName="MDDoses" ref="J53:J59" totalsRowShown="0" headerRowDxfId="17" dataDxfId="16">
  <autoFilter ref="J53:J59" xr:uid="{1FC47814-EC3A-4156-9293-6BADD6499E2C}"/>
  <tableColumns count="1">
    <tableColumn id="1" xr3:uid="{DEF40E17-FE92-40F4-B727-87127F6F9DEC}" name="MDDoses" dataDxfId="15"/>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FF1CC7-F793-44FA-BA3D-BC19E53E0D21}" name="Table31" displayName="Table31" ref="L53:O61" totalsRowShown="0" headerRowDxfId="14" dataDxfId="13">
  <autoFilter ref="L53:O61" xr:uid="{12E9C26C-8A1F-44F0-A9D9-3BD5B1AB6D45}">
    <filterColumn colId="0" hiddenButton="1"/>
    <filterColumn colId="1" hiddenButton="1"/>
    <filterColumn colId="2" hiddenButton="1"/>
    <filterColumn colId="3" hiddenButton="1"/>
  </autoFilter>
  <tableColumns count="4">
    <tableColumn id="1" xr3:uid="{6C728F23-991F-421B-B6C8-0A1A3B766DF4}" name="Speedometer" dataDxfId="12"/>
    <tableColumn id="2" xr3:uid="{DAC953D5-59FE-49A3-BA83-97D8C6A043E4}" name="Values" dataDxfId="11"/>
    <tableColumn id="3" xr3:uid="{F5B7BD67-0010-4C7F-A02C-0AB063447424}" name="Pointer" dataDxfId="10"/>
    <tableColumn id="4" xr3:uid="{A1C7C2A9-B701-42F0-BBDE-EA895BF1368F}" name="Values2" dataDxfId="9"/>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5B265A6-FE06-4E18-BE2D-C492DDFD1939}" name="mfPKEquations" displayName="mfPKEquations" ref="Q53:Q55" totalsRowShown="0" headerRowDxfId="8" dataDxfId="7">
  <autoFilter ref="Q53:Q55" xr:uid="{F7B8D1DF-124E-48A3-81FA-13BD638F06BD}"/>
  <tableColumns count="1">
    <tableColumn id="1" xr3:uid="{01E8F173-4569-4299-982B-5DD9EF692A6A}" name="PK Equations" dataDxfId="6"/>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4D26E4B6-8AFE-4A44-81B7-14D9D90189EF}" name="mfVdOptions" displayName="mfVdOptions" ref="S53:S57" totalsRowShown="0" headerRowDxfId="5" dataDxfId="4">
  <autoFilter ref="S53:S57" xr:uid="{1A1D3B44-52D6-4FDD-912F-F9000180D386}"/>
  <tableColumns count="1">
    <tableColumn id="1" xr3:uid="{CF44433A-5E69-45D0-9348-F6531DA07DC4}" name="Vd Options" dataDxfId="3"/>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D295749D-C5A2-4C57-8F1A-2F00CDA4557E}" name="mfInfRates" displayName="mfInfRates" ref="U53:U56" totalsRowShown="0" headerRowDxfId="2" dataDxfId="1">
  <autoFilter ref="U53:U56" xr:uid="{8B19E75F-2B4F-429E-963A-DA8DF874179E}"/>
  <tableColumns count="1">
    <tableColumn id="1" xr3:uid="{7A3BB1E6-F6C8-4127-8C9D-0D36B2D1C2C4}" name="Infusion Rate" dataDxfId="0"/>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6.xml"/><Relationship Id="rId13" Type="http://schemas.openxmlformats.org/officeDocument/2006/relationships/table" Target="../tables/table21.xml"/><Relationship Id="rId18" Type="http://schemas.openxmlformats.org/officeDocument/2006/relationships/table" Target="../tables/table26.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17" Type="http://schemas.openxmlformats.org/officeDocument/2006/relationships/table" Target="../tables/table25.xml"/><Relationship Id="rId2" Type="http://schemas.openxmlformats.org/officeDocument/2006/relationships/table" Target="../tables/table10.xml"/><Relationship Id="rId16" Type="http://schemas.openxmlformats.org/officeDocument/2006/relationships/table" Target="../tables/table24.xml"/><Relationship Id="rId1" Type="http://schemas.openxmlformats.org/officeDocument/2006/relationships/printerSettings" Target="../printerSettings/printerSettings4.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5" Type="http://schemas.openxmlformats.org/officeDocument/2006/relationships/table" Target="../tables/table23.xml"/><Relationship Id="rId10" Type="http://schemas.openxmlformats.org/officeDocument/2006/relationships/table" Target="../tables/table18.xml"/><Relationship Id="rId19" Type="http://schemas.openxmlformats.org/officeDocument/2006/relationships/table" Target="../tables/table27.xml"/><Relationship Id="rId4" Type="http://schemas.openxmlformats.org/officeDocument/2006/relationships/table" Target="../tables/table12.xml"/><Relationship Id="rId9" Type="http://schemas.openxmlformats.org/officeDocument/2006/relationships/table" Target="../tables/table17.xml"/><Relationship Id="rId14" Type="http://schemas.openxmlformats.org/officeDocument/2006/relationships/table" Target="../tables/table2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6.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vmlDrawing" Target="../drawings/vmlDrawing3.vml"/><Relationship Id="rId7" Type="http://schemas.openxmlformats.org/officeDocument/2006/relationships/table" Target="../tables/table31.xml"/><Relationship Id="rId12" Type="http://schemas.openxmlformats.org/officeDocument/2006/relationships/table" Target="../tables/table36.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30.xml"/><Relationship Id="rId11" Type="http://schemas.openxmlformats.org/officeDocument/2006/relationships/table" Target="../tables/table35.xml"/><Relationship Id="rId5" Type="http://schemas.openxmlformats.org/officeDocument/2006/relationships/table" Target="../tables/table29.xml"/><Relationship Id="rId10" Type="http://schemas.openxmlformats.org/officeDocument/2006/relationships/table" Target="../tables/table34.xml"/><Relationship Id="rId4" Type="http://schemas.openxmlformats.org/officeDocument/2006/relationships/ctrlProp" Target="../ctrlProps/ctrlProp3.xml"/><Relationship Id="rId9" Type="http://schemas.openxmlformats.org/officeDocument/2006/relationships/table" Target="../tables/table3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21.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5.vml"/><Relationship Id="rId7" Type="http://schemas.openxmlformats.org/officeDocument/2006/relationships/ctrlProp" Target="../ctrlProps/ctrlProp7.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05"/>
  <sheetViews>
    <sheetView showGridLines="0" showRowColHeaders="0" tabSelected="1" zoomScaleNormal="100" workbookViewId="0">
      <selection activeCell="L13" sqref="L13"/>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row r="11" spans="1:61" x14ac:dyDescent="0.25">
      <c r="L11" t="s">
        <v>5</v>
      </c>
    </row>
    <row r="12" spans="1:61" x14ac:dyDescent="0.25">
      <c r="L12" t="s">
        <v>5</v>
      </c>
    </row>
    <row r="13" spans="1:61" x14ac:dyDescent="0.25"/>
    <row r="14" spans="1:61" x14ac:dyDescent="0.25"/>
    <row r="15" spans="1:61" x14ac:dyDescent="0.25">
      <c r="K15" t="s">
        <v>5</v>
      </c>
    </row>
    <row r="16" spans="1:61" x14ac:dyDescent="0.25"/>
    <row r="17" spans="13:13" x14ac:dyDescent="0.25">
      <c r="M17" t="s">
        <v>295</v>
      </c>
    </row>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sheetData>
  <sheetProtection selectLockedCells="1"/>
  <dataConsolidate link="1"/>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7"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showRowColHeaders="0" zoomScaleNormal="100" workbookViewId="0">
      <selection activeCell="F9" sqref="F9"/>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226</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227</v>
      </c>
    </row>
    <row r="7" spans="2:29" x14ac:dyDescent="0.25">
      <c r="B7" s="24" t="s">
        <v>75</v>
      </c>
      <c r="C7" s="25" t="s">
        <v>224</v>
      </c>
    </row>
    <row r="8" spans="2:29" x14ac:dyDescent="0.25">
      <c r="B8" s="28"/>
      <c r="C8" s="25"/>
      <c r="G8" s="29"/>
    </row>
    <row r="9" spans="2:29" x14ac:dyDescent="0.25">
      <c r="B9" s="24" t="s">
        <v>76</v>
      </c>
      <c r="C9" s="25" t="s">
        <v>170</v>
      </c>
    </row>
    <row r="10" spans="2:29" x14ac:dyDescent="0.25">
      <c r="B10" s="24" t="s">
        <v>77</v>
      </c>
      <c r="C10" s="25"/>
    </row>
    <row r="11" spans="2:29" x14ac:dyDescent="0.25">
      <c r="B11" s="24" t="s">
        <v>78</v>
      </c>
      <c r="C11" s="25" t="s">
        <v>225</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228</v>
      </c>
    </row>
    <row r="17" spans="2:11" x14ac:dyDescent="0.25">
      <c r="B17" s="24" t="s">
        <v>82</v>
      </c>
      <c r="C17" s="25" t="s">
        <v>229</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230</v>
      </c>
    </row>
    <row r="22" spans="2:11" x14ac:dyDescent="0.25">
      <c r="B22" s="24" t="s">
        <v>4</v>
      </c>
      <c r="C22" s="25" t="s">
        <v>231</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099" r:id="rId4" name="btnCreateMonitoringForm">
          <controlPr defaultSize="0" autoLine="0" r:id="rId5">
            <anchor moveWithCells="1">
              <from>
                <xdr:col>1</xdr:col>
                <xdr:colOff>0</xdr:colOff>
                <xdr:row>2</xdr:row>
                <xdr:rowOff>76200</xdr:rowOff>
              </from>
              <to>
                <xdr:col>2</xdr:col>
                <xdr:colOff>895350</xdr:colOff>
                <xdr:row>2</xdr:row>
                <xdr:rowOff>381000</xdr:rowOff>
              </to>
            </anchor>
          </controlPr>
        </control>
      </mc:Choice>
      <mc:Fallback>
        <control shapeId="4099" r:id="rId4" name="btnCreateMonitoringForm"/>
      </mc:Fallback>
    </mc:AlternateContent>
    <mc:AlternateContent xmlns:mc="http://schemas.openxmlformats.org/markup-compatibility/2006">
      <mc:Choice Requires="x14">
        <control shapeId="4100" r:id="rId6" name="cmbPatientsPatientView">
          <controlPr defaultSize="0" autoLine="0" r:id="rId7">
            <anchor moveWithCells="1">
              <from>
                <xdr:col>1</xdr:col>
                <xdr:colOff>247650</xdr:colOff>
                <xdr:row>1</xdr:row>
                <xdr:rowOff>0</xdr:rowOff>
              </from>
              <to>
                <xdr:col>2</xdr:col>
                <xdr:colOff>895350</xdr:colOff>
                <xdr:row>2</xdr:row>
                <xdr:rowOff>0</xdr:rowOff>
              </to>
            </anchor>
          </controlPr>
        </control>
      </mc:Choice>
      <mc:Fallback>
        <control shapeId="4100" r:id="rId6" name="cmbPatientsPatientView"/>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E29" sqref="E29"/>
    </sheetView>
  </sheetViews>
  <sheetFormatPr defaultColWidth="12.7109375" defaultRowHeight="15" x14ac:dyDescent="0.25"/>
  <cols>
    <col min="1" max="10" width="12.7109375" style="68"/>
    <col min="11" max="11" width="14.85546875" style="68" bestFit="1" customWidth="1"/>
    <col min="12" max="22" width="12.7109375" style="68"/>
    <col min="23" max="23" width="22" style="68" bestFit="1" customWidth="1"/>
    <col min="24" max="37" width="12.7109375" style="68"/>
    <col min="38" max="38" width="14.85546875" style="68" bestFit="1" customWidth="1"/>
    <col min="39" max="54" width="12.7109375" style="68"/>
    <col min="55" max="55" width="12.28515625" style="68" customWidth="1"/>
    <col min="56" max="70" width="12.7109375" style="68"/>
    <col min="71" max="71" width="14.85546875" style="68" bestFit="1" customWidth="1"/>
    <col min="72" max="72" width="12.7109375" style="68"/>
    <col min="73" max="73" width="14.85546875" style="68" bestFit="1" customWidth="1"/>
    <col min="74" max="16384" width="12.7109375" style="68"/>
  </cols>
  <sheetData>
    <row r="1" spans="1:73" x14ac:dyDescent="0.25">
      <c r="B1" s="70" t="s">
        <v>100</v>
      </c>
      <c r="C1" s="71"/>
      <c r="D1" s="71"/>
      <c r="E1" s="71"/>
      <c r="F1" s="71"/>
      <c r="G1" s="71"/>
      <c r="H1" s="71"/>
      <c r="I1" s="71"/>
      <c r="J1" s="71"/>
      <c r="K1" s="71"/>
      <c r="M1" s="72" t="s">
        <v>102</v>
      </c>
      <c r="N1" s="73"/>
      <c r="O1" s="73"/>
      <c r="P1" s="74"/>
      <c r="Q1" s="74"/>
      <c r="S1" s="75" t="s">
        <v>101</v>
      </c>
      <c r="T1" s="76"/>
      <c r="U1" s="76"/>
      <c r="V1" s="77"/>
      <c r="W1" s="77"/>
      <c r="Y1" s="78" t="s">
        <v>142</v>
      </c>
      <c r="Z1" s="79"/>
      <c r="AA1" s="79"/>
      <c r="AB1" s="79"/>
      <c r="AC1" s="79"/>
      <c r="AD1" s="79"/>
      <c r="AE1" s="79"/>
      <c r="AF1" s="80"/>
      <c r="AG1" s="80"/>
      <c r="AI1" s="81" t="s">
        <v>23</v>
      </c>
      <c r="AJ1" s="82"/>
      <c r="AK1" s="82"/>
      <c r="AL1" s="82"/>
      <c r="AM1" s="82"/>
      <c r="AN1" s="82"/>
      <c r="AO1" s="82"/>
      <c r="AP1" s="81"/>
      <c r="AQ1" s="81"/>
      <c r="AS1" s="83" t="s">
        <v>103</v>
      </c>
      <c r="AT1" s="84"/>
      <c r="AU1" s="84"/>
      <c r="AV1" s="84"/>
      <c r="AW1" s="83"/>
      <c r="AX1" s="84"/>
      <c r="AY1" s="83"/>
      <c r="BA1" s="85" t="s">
        <v>143</v>
      </c>
      <c r="BB1" s="85"/>
      <c r="BC1" s="85"/>
      <c r="BD1" s="85"/>
      <c r="BE1" s="85"/>
      <c r="BG1" s="86" t="s">
        <v>144</v>
      </c>
      <c r="BH1" s="87"/>
      <c r="BI1" s="87"/>
      <c r="BJ1" s="87"/>
      <c r="BK1" s="87"/>
      <c r="BL1" s="87"/>
      <c r="BM1" s="86"/>
      <c r="BN1" s="86"/>
      <c r="BO1" s="86"/>
      <c r="BQ1" s="88" t="s">
        <v>163</v>
      </c>
      <c r="BR1" s="89"/>
      <c r="BS1" s="89"/>
      <c r="BT1" s="89"/>
      <c r="BU1" s="89"/>
    </row>
    <row r="2" spans="1:73" x14ac:dyDescent="0.25">
      <c r="B2" s="90" t="s">
        <v>1</v>
      </c>
      <c r="C2" s="90" t="s">
        <v>108</v>
      </c>
      <c r="D2" s="90" t="s">
        <v>109</v>
      </c>
      <c r="E2" s="90" t="s">
        <v>75</v>
      </c>
      <c r="F2" s="91" t="s">
        <v>110</v>
      </c>
      <c r="G2" s="91" t="s">
        <v>111</v>
      </c>
      <c r="H2" s="91" t="s">
        <v>145</v>
      </c>
      <c r="I2" s="90" t="s">
        <v>147</v>
      </c>
      <c r="J2" s="92" t="s">
        <v>146</v>
      </c>
      <c r="K2" s="92" t="s">
        <v>148</v>
      </c>
      <c r="M2" s="68" t="s">
        <v>1</v>
      </c>
      <c r="N2" s="93" t="s">
        <v>2</v>
      </c>
      <c r="O2" s="93" t="s">
        <v>3</v>
      </c>
      <c r="P2" s="93" t="s">
        <v>74</v>
      </c>
      <c r="Q2" s="93" t="s">
        <v>112</v>
      </c>
      <c r="S2" s="68" t="s">
        <v>1</v>
      </c>
      <c r="T2" s="94" t="s">
        <v>113</v>
      </c>
      <c r="U2" s="94" t="s">
        <v>155</v>
      </c>
      <c r="V2" s="94" t="s">
        <v>80</v>
      </c>
      <c r="W2" s="95" t="s">
        <v>138</v>
      </c>
      <c r="Y2" s="68" t="s">
        <v>1</v>
      </c>
      <c r="Z2" s="94" t="s">
        <v>4</v>
      </c>
      <c r="AA2" s="96" t="s">
        <v>120</v>
      </c>
      <c r="AB2" s="94" t="s">
        <v>114</v>
      </c>
      <c r="AC2" s="94" t="s">
        <v>201</v>
      </c>
      <c r="AD2" s="94" t="s">
        <v>115</v>
      </c>
      <c r="AE2" s="94" t="s">
        <v>116</v>
      </c>
      <c r="AF2" s="94" t="s">
        <v>117</v>
      </c>
      <c r="AG2" s="94" t="s">
        <v>118</v>
      </c>
      <c r="AI2" s="68" t="s">
        <v>1</v>
      </c>
      <c r="AJ2" s="94" t="s">
        <v>159</v>
      </c>
      <c r="AK2" s="94" t="s">
        <v>125</v>
      </c>
      <c r="AL2" s="96" t="s">
        <v>121</v>
      </c>
      <c r="AM2" s="96" t="s">
        <v>122</v>
      </c>
      <c r="AN2" s="94" t="s">
        <v>156</v>
      </c>
      <c r="AO2" s="94" t="s">
        <v>157</v>
      </c>
      <c r="AP2" s="94" t="s">
        <v>158</v>
      </c>
      <c r="AQ2" s="94" t="s">
        <v>128</v>
      </c>
      <c r="AS2" s="68" t="s">
        <v>1</v>
      </c>
      <c r="AT2" s="94" t="s">
        <v>160</v>
      </c>
      <c r="AU2" s="94" t="s">
        <v>126</v>
      </c>
      <c r="AV2" s="96" t="s">
        <v>123</v>
      </c>
      <c r="AW2" s="97" t="s">
        <v>124</v>
      </c>
      <c r="AX2" s="94" t="s">
        <v>161</v>
      </c>
      <c r="AY2" s="94" t="s">
        <v>152</v>
      </c>
      <c r="BA2" s="68" t="s">
        <v>1</v>
      </c>
      <c r="BB2" s="94" t="s">
        <v>162</v>
      </c>
      <c r="BC2" s="94" t="s">
        <v>119</v>
      </c>
      <c r="BD2" s="94" t="s">
        <v>150</v>
      </c>
      <c r="BE2" s="94" t="s">
        <v>151</v>
      </c>
      <c r="BG2" s="98" t="s">
        <v>1</v>
      </c>
      <c r="BH2" s="95" t="s">
        <v>104</v>
      </c>
      <c r="BI2" s="96" t="s">
        <v>105</v>
      </c>
      <c r="BJ2" s="94" t="s">
        <v>106</v>
      </c>
      <c r="BK2" s="96" t="s">
        <v>107</v>
      </c>
      <c r="BL2" s="94" t="s">
        <v>150</v>
      </c>
      <c r="BM2" s="99" t="s">
        <v>151</v>
      </c>
      <c r="BN2" s="99" t="s">
        <v>127</v>
      </c>
      <c r="BO2" s="96" t="s">
        <v>154</v>
      </c>
      <c r="BQ2" s="68" t="s">
        <v>1</v>
      </c>
      <c r="BR2" s="68" t="s">
        <v>164</v>
      </c>
      <c r="BS2" s="69" t="s">
        <v>165</v>
      </c>
      <c r="BT2" s="68" t="s">
        <v>166</v>
      </c>
      <c r="BU2" s="69" t="s">
        <v>167</v>
      </c>
    </row>
    <row r="3" spans="1:73" x14ac:dyDescent="0.25">
      <c r="A3" s="100"/>
      <c r="B3" s="102"/>
      <c r="C3" s="102"/>
      <c r="D3" s="102"/>
      <c r="E3" s="102"/>
      <c r="F3" s="102"/>
      <c r="G3" s="102"/>
      <c r="H3" s="102"/>
      <c r="I3" s="102"/>
      <c r="J3" s="103"/>
      <c r="K3" s="103"/>
      <c r="L3" s="104"/>
      <c r="M3" s="105"/>
      <c r="N3" s="102"/>
      <c r="O3" s="102"/>
      <c r="P3" s="102"/>
      <c r="Q3" s="102"/>
      <c r="R3" s="100"/>
      <c r="AA3" s="69"/>
      <c r="AL3" s="109"/>
      <c r="AM3" s="69"/>
      <c r="AV3" s="109"/>
      <c r="AW3" s="69"/>
      <c r="BI3" s="69"/>
      <c r="BK3" s="69"/>
      <c r="BO3" s="69"/>
      <c r="BS3" s="109"/>
      <c r="BU3" s="109"/>
    </row>
    <row r="4" spans="1:73" s="104" customFormat="1" x14ac:dyDescent="0.25">
      <c r="A4" s="105"/>
      <c r="B4" s="102"/>
      <c r="C4" s="102"/>
      <c r="D4" s="102"/>
      <c r="E4" s="102"/>
      <c r="F4" s="102"/>
      <c r="G4" s="102"/>
      <c r="H4" s="102"/>
      <c r="I4" s="102"/>
      <c r="J4" s="103"/>
      <c r="K4" s="103"/>
      <c r="L4" s="105"/>
      <c r="M4" s="105"/>
      <c r="N4" s="102"/>
      <c r="O4" s="102"/>
      <c r="P4" s="102"/>
      <c r="Q4" s="102"/>
      <c r="AA4" s="106"/>
      <c r="AL4" s="106"/>
      <c r="AM4" s="106"/>
      <c r="AV4" s="106"/>
      <c r="AW4" s="107"/>
      <c r="BI4" s="107"/>
      <c r="BK4" s="107"/>
      <c r="BO4" s="106"/>
      <c r="BS4" s="106"/>
      <c r="BU4" s="106"/>
    </row>
    <row r="5" spans="1:73" s="104" customFormat="1" x14ac:dyDescent="0.25">
      <c r="A5" s="105"/>
      <c r="B5" s="102"/>
      <c r="C5" s="102"/>
      <c r="D5" s="102"/>
      <c r="E5" s="102"/>
      <c r="F5" s="102"/>
      <c r="G5" s="102"/>
      <c r="H5" s="102"/>
      <c r="I5" s="102"/>
      <c r="J5" s="103"/>
      <c r="K5" s="103"/>
      <c r="L5" s="105"/>
      <c r="M5" s="105"/>
      <c r="N5" s="102"/>
      <c r="O5" s="102"/>
      <c r="P5" s="102"/>
      <c r="Q5" s="102"/>
      <c r="AA5" s="106"/>
      <c r="AL5" s="107"/>
      <c r="AM5" s="106"/>
      <c r="AV5" s="107"/>
      <c r="AW5" s="106"/>
      <c r="BI5" s="107"/>
      <c r="BK5" s="107"/>
      <c r="BO5" s="106"/>
      <c r="BS5" s="106"/>
      <c r="BU5" s="106"/>
    </row>
    <row r="6" spans="1:73" s="104" customFormat="1" x14ac:dyDescent="0.25">
      <c r="A6" s="105"/>
      <c r="B6" s="102"/>
      <c r="C6" s="102"/>
      <c r="D6" s="102"/>
      <c r="E6" s="102"/>
      <c r="F6" s="102"/>
      <c r="G6" s="102"/>
      <c r="H6" s="102"/>
      <c r="I6" s="102"/>
      <c r="J6" s="103"/>
      <c r="K6" s="103"/>
      <c r="L6" s="105"/>
      <c r="M6" s="105"/>
      <c r="N6" s="102"/>
      <c r="O6" s="102"/>
      <c r="P6" s="102"/>
      <c r="Q6" s="102"/>
      <c r="AA6" s="106"/>
      <c r="AL6" s="107"/>
      <c r="AM6" s="106"/>
      <c r="AV6" s="107"/>
      <c r="AW6" s="106"/>
      <c r="BI6" s="106"/>
      <c r="BK6" s="106"/>
      <c r="BO6" s="106"/>
      <c r="BS6" s="106"/>
      <c r="BU6" s="106"/>
    </row>
    <row r="7" spans="1:73" s="104" customFormat="1" x14ac:dyDescent="0.25">
      <c r="A7" s="105"/>
      <c r="B7" s="102"/>
      <c r="C7" s="102"/>
      <c r="D7" s="102"/>
      <c r="E7" s="102"/>
      <c r="F7" s="102"/>
      <c r="G7" s="102"/>
      <c r="H7" s="102"/>
      <c r="I7" s="102"/>
      <c r="J7" s="103"/>
      <c r="K7" s="103"/>
      <c r="L7" s="105"/>
      <c r="M7" s="105"/>
      <c r="N7" s="102"/>
      <c r="O7" s="102"/>
      <c r="P7" s="102"/>
      <c r="Q7" s="102"/>
      <c r="AA7" s="106"/>
      <c r="AL7" s="106"/>
      <c r="AM7" s="106"/>
      <c r="AV7" s="106"/>
      <c r="AW7" s="107"/>
      <c r="BI7" s="107"/>
      <c r="BK7" s="107"/>
      <c r="BO7" s="106"/>
      <c r="BS7" s="106"/>
      <c r="BU7" s="106"/>
    </row>
    <row r="8" spans="1:73" s="104" customFormat="1" x14ac:dyDescent="0.25">
      <c r="A8" s="105"/>
      <c r="B8" s="102"/>
      <c r="C8" s="102"/>
      <c r="D8" s="102"/>
      <c r="E8" s="102"/>
      <c r="F8" s="102"/>
      <c r="G8" s="102"/>
      <c r="H8" s="102"/>
      <c r="I8" s="102"/>
      <c r="J8" s="103"/>
      <c r="K8" s="103"/>
      <c r="L8" s="105"/>
      <c r="M8" s="105"/>
      <c r="N8" s="102"/>
      <c r="O8" s="102"/>
      <c r="P8" s="102"/>
      <c r="Q8" s="102"/>
      <c r="AA8" s="106"/>
      <c r="AL8" s="106"/>
      <c r="AM8" s="106"/>
      <c r="AV8" s="106"/>
      <c r="AW8" s="106"/>
      <c r="BI8" s="106"/>
      <c r="BK8" s="106"/>
      <c r="BO8" s="106"/>
      <c r="BS8" s="106"/>
      <c r="BU8" s="106"/>
    </row>
    <row r="9" spans="1:73" s="104" customFormat="1" x14ac:dyDescent="0.25">
      <c r="A9" s="105"/>
      <c r="B9" s="110"/>
      <c r="C9" s="110"/>
      <c r="D9" s="110"/>
      <c r="E9" s="110"/>
      <c r="F9" s="110"/>
      <c r="G9" s="110"/>
      <c r="H9" s="110"/>
      <c r="I9" s="110"/>
      <c r="J9" s="111"/>
      <c r="K9" s="111"/>
      <c r="L9" s="105"/>
      <c r="M9" s="105"/>
      <c r="N9" s="110"/>
      <c r="O9" s="110"/>
      <c r="P9" s="110"/>
      <c r="Q9" s="110"/>
      <c r="AA9" s="106"/>
      <c r="AL9" s="106"/>
      <c r="AM9" s="106"/>
      <c r="AV9" s="106"/>
      <c r="AW9" s="106"/>
      <c r="BI9" s="107"/>
      <c r="BK9" s="107"/>
      <c r="BO9" s="106"/>
      <c r="BS9" s="106"/>
      <c r="BU9" s="106"/>
    </row>
    <row r="10" spans="1:73" s="104" customFormat="1" x14ac:dyDescent="0.25">
      <c r="A10" s="105"/>
      <c r="B10" s="113"/>
      <c r="C10" s="113"/>
      <c r="D10" s="113"/>
      <c r="E10" s="113"/>
      <c r="F10" s="113"/>
      <c r="G10" s="113"/>
      <c r="H10" s="113"/>
      <c r="I10" s="113"/>
      <c r="J10" s="114"/>
      <c r="K10" s="114"/>
      <c r="L10" s="105"/>
      <c r="M10" s="105"/>
      <c r="N10" s="113"/>
      <c r="O10" s="113"/>
      <c r="P10" s="113"/>
      <c r="Q10" s="113"/>
      <c r="AA10" s="106"/>
      <c r="AL10" s="106"/>
      <c r="AM10" s="106"/>
      <c r="AV10" s="106"/>
      <c r="AW10" s="106"/>
      <c r="BI10" s="106"/>
      <c r="BK10" s="106"/>
      <c r="BO10" s="106"/>
      <c r="BS10" s="106"/>
      <c r="BU10" s="106"/>
    </row>
    <row r="11" spans="1:73" s="104" customFormat="1" x14ac:dyDescent="0.25">
      <c r="A11" s="105"/>
      <c r="B11" s="113"/>
      <c r="C11" s="113"/>
      <c r="D11" s="113"/>
      <c r="E11" s="113"/>
      <c r="F11" s="113"/>
      <c r="G11" s="113"/>
      <c r="H11" s="113"/>
      <c r="I11" s="113"/>
      <c r="J11" s="114"/>
      <c r="K11" s="114"/>
      <c r="L11" s="105"/>
      <c r="M11" s="105"/>
      <c r="N11" s="113"/>
      <c r="O11" s="113"/>
      <c r="P11" s="113"/>
      <c r="Q11" s="113"/>
      <c r="AA11" s="106"/>
      <c r="AL11" s="106"/>
      <c r="AM11" s="106"/>
      <c r="AV11" s="106"/>
      <c r="AW11" s="106"/>
      <c r="BI11" s="106"/>
      <c r="BK11" s="106"/>
      <c r="BO11" s="106"/>
      <c r="BS11" s="106"/>
      <c r="BU11" s="106"/>
    </row>
    <row r="12" spans="1:73" s="104" customFormat="1" x14ac:dyDescent="0.25">
      <c r="A12" s="105"/>
      <c r="B12" s="110"/>
      <c r="C12" s="110"/>
      <c r="D12" s="110"/>
      <c r="E12" s="110"/>
      <c r="F12" s="110"/>
      <c r="G12" s="110"/>
      <c r="H12" s="110"/>
      <c r="I12" s="110"/>
      <c r="J12" s="111"/>
      <c r="K12" s="111"/>
      <c r="L12" s="105"/>
      <c r="M12" s="105"/>
      <c r="N12" s="110"/>
      <c r="O12" s="110"/>
      <c r="P12" s="110"/>
      <c r="Q12" s="110"/>
      <c r="AA12" s="106"/>
      <c r="AL12" s="106"/>
      <c r="AM12" s="106"/>
      <c r="AV12" s="106"/>
      <c r="AW12" s="106"/>
      <c r="BI12" s="106"/>
      <c r="BK12" s="106"/>
      <c r="BO12" s="106"/>
      <c r="BS12" s="106"/>
      <c r="BU12" s="106"/>
    </row>
    <row r="13" spans="1:73" s="104" customFormat="1" x14ac:dyDescent="0.25">
      <c r="A13" s="105"/>
      <c r="B13" s="110"/>
      <c r="C13" s="110"/>
      <c r="D13" s="110"/>
      <c r="E13" s="110"/>
      <c r="F13" s="110"/>
      <c r="G13" s="110"/>
      <c r="H13" s="110"/>
      <c r="I13" s="110"/>
      <c r="J13" s="111"/>
      <c r="K13" s="111"/>
      <c r="L13" s="105"/>
      <c r="M13" s="105"/>
      <c r="N13" s="110"/>
      <c r="O13" s="110"/>
      <c r="P13" s="110"/>
      <c r="Q13" s="110"/>
      <c r="AA13" s="106"/>
      <c r="AL13" s="106"/>
      <c r="AM13" s="106"/>
      <c r="AV13" s="106"/>
      <c r="AW13" s="106"/>
      <c r="BI13" s="106"/>
      <c r="BK13" s="106"/>
      <c r="BO13" s="106"/>
      <c r="BS13" s="106"/>
      <c r="BU13" s="106"/>
    </row>
    <row r="14" spans="1:73" s="104" customFormat="1" x14ac:dyDescent="0.25">
      <c r="A14" s="105"/>
      <c r="B14" s="110"/>
      <c r="C14" s="110"/>
      <c r="D14" s="110"/>
      <c r="E14" s="110"/>
      <c r="F14" s="110"/>
      <c r="G14" s="110"/>
      <c r="H14" s="110"/>
      <c r="I14" s="110"/>
      <c r="J14" s="111"/>
      <c r="K14" s="111"/>
      <c r="L14" s="105"/>
      <c r="M14" s="105"/>
      <c r="N14" s="110"/>
      <c r="O14" s="110"/>
      <c r="P14" s="110"/>
      <c r="Q14" s="110"/>
      <c r="AA14" s="106"/>
      <c r="AL14" s="106"/>
      <c r="AM14" s="106"/>
      <c r="AV14" s="106"/>
      <c r="AW14" s="106"/>
      <c r="BI14" s="106"/>
      <c r="BK14" s="106"/>
      <c r="BO14" s="106"/>
      <c r="BS14" s="106"/>
      <c r="BU14" s="106"/>
    </row>
    <row r="15" spans="1:73" s="104" customFormat="1" x14ac:dyDescent="0.25">
      <c r="A15" s="105"/>
      <c r="B15" s="110"/>
      <c r="C15" s="110"/>
      <c r="D15" s="110"/>
      <c r="E15" s="110"/>
      <c r="F15" s="110"/>
      <c r="G15" s="110"/>
      <c r="H15" s="110"/>
      <c r="I15" s="110"/>
      <c r="J15" s="111"/>
      <c r="K15" s="111"/>
      <c r="L15" s="105"/>
      <c r="M15" s="105"/>
      <c r="N15" s="110"/>
      <c r="O15" s="110"/>
      <c r="P15" s="110"/>
      <c r="Q15" s="110"/>
      <c r="AA15" s="106"/>
      <c r="AL15" s="106"/>
      <c r="AM15" s="106"/>
      <c r="AV15" s="106"/>
      <c r="AW15" s="106"/>
      <c r="BI15" s="106"/>
      <c r="BK15" s="106"/>
      <c r="BO15" s="106"/>
      <c r="BS15" s="106"/>
      <c r="BU15" s="106"/>
    </row>
    <row r="16" spans="1:73" s="104" customFormat="1" x14ac:dyDescent="0.25">
      <c r="A16" s="105"/>
      <c r="B16" s="110"/>
      <c r="C16" s="110"/>
      <c r="D16" s="110"/>
      <c r="E16" s="110"/>
      <c r="F16" s="110"/>
      <c r="G16" s="110"/>
      <c r="H16" s="110"/>
      <c r="I16" s="110"/>
      <c r="J16" s="111"/>
      <c r="K16" s="111"/>
      <c r="L16" s="105"/>
      <c r="M16" s="105"/>
      <c r="N16" s="110"/>
      <c r="O16" s="110"/>
      <c r="P16" s="110"/>
      <c r="Q16" s="110"/>
      <c r="AA16" s="106"/>
      <c r="AL16" s="106"/>
      <c r="AM16" s="106"/>
      <c r="AV16" s="106"/>
      <c r="AW16" s="106"/>
      <c r="BI16" s="106"/>
      <c r="BK16" s="106"/>
      <c r="BO16" s="106"/>
      <c r="BS16" s="106"/>
      <c r="BU16" s="106"/>
    </row>
    <row r="17" spans="1:73" x14ac:dyDescent="0.25">
      <c r="A17" s="112"/>
      <c r="B17" s="110"/>
      <c r="C17" s="110"/>
      <c r="D17" s="110"/>
      <c r="E17" s="110"/>
      <c r="F17" s="110"/>
      <c r="G17" s="110"/>
      <c r="H17" s="110"/>
      <c r="I17" s="110"/>
      <c r="J17" s="111"/>
      <c r="K17" s="111"/>
      <c r="L17" s="112"/>
      <c r="M17" s="105"/>
      <c r="N17" s="110"/>
      <c r="O17" s="110"/>
      <c r="P17" s="110"/>
      <c r="Q17" s="110"/>
      <c r="AA17" s="69"/>
      <c r="AL17" s="109"/>
      <c r="AM17" s="69"/>
      <c r="AV17" s="109"/>
      <c r="AW17" s="69"/>
      <c r="BI17" s="69"/>
      <c r="BK17" s="69"/>
      <c r="BO17" s="69"/>
      <c r="BS17" s="109"/>
      <c r="BU17" s="109"/>
    </row>
    <row r="18" spans="1:73" x14ac:dyDescent="0.25">
      <c r="A18" s="112"/>
      <c r="B18" s="110"/>
      <c r="C18" s="110"/>
      <c r="D18" s="110"/>
      <c r="E18" s="110"/>
      <c r="F18" s="110"/>
      <c r="G18" s="110"/>
      <c r="H18" s="110"/>
      <c r="I18" s="110"/>
      <c r="J18" s="111"/>
      <c r="K18" s="111"/>
      <c r="L18" s="112"/>
      <c r="M18" s="105"/>
      <c r="N18" s="110"/>
      <c r="O18" s="110"/>
      <c r="P18" s="110"/>
      <c r="Q18" s="110"/>
      <c r="AA18" s="69"/>
      <c r="AL18" s="69"/>
      <c r="AM18" s="69"/>
      <c r="AV18" s="69"/>
      <c r="AW18" s="69"/>
      <c r="BI18" s="69"/>
      <c r="BK18" s="69"/>
      <c r="BO18" s="69"/>
      <c r="BS18" s="69"/>
      <c r="BU18" s="69"/>
    </row>
    <row r="19" spans="1:73" x14ac:dyDescent="0.25">
      <c r="B19" s="110"/>
      <c r="C19" s="110"/>
      <c r="D19" s="110"/>
      <c r="E19" s="110"/>
      <c r="F19" s="110"/>
      <c r="G19" s="110"/>
      <c r="H19" s="110"/>
      <c r="I19" s="110"/>
      <c r="J19" s="111"/>
      <c r="K19" s="111"/>
      <c r="M19" s="105"/>
      <c r="N19" s="110"/>
      <c r="O19" s="110"/>
      <c r="P19" s="110"/>
      <c r="Q19" s="110"/>
      <c r="AA19" s="69"/>
      <c r="AL19" s="69"/>
      <c r="AM19" s="69"/>
      <c r="AV19" s="109"/>
      <c r="AW19" s="69"/>
      <c r="BI19" s="69"/>
      <c r="BK19" s="69"/>
      <c r="BO19" s="69"/>
      <c r="BS19" s="69"/>
      <c r="BU19" s="69"/>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AL109"/>
  <sheetViews>
    <sheetView topLeftCell="H1" workbookViewId="0">
      <selection activeCell="Q1" sqref="Q1"/>
    </sheetView>
  </sheetViews>
  <sheetFormatPr defaultRowHeight="15" x14ac:dyDescent="0.25"/>
  <cols>
    <col min="1" max="1" width="14.7109375" customWidth="1"/>
    <col min="2" max="2" width="3.85546875" customWidth="1"/>
    <col min="3" max="3" width="14.5703125" customWidth="1"/>
    <col min="4" max="4" width="3.85546875" customWidth="1"/>
    <col min="5" max="5" width="17.42578125" bestFit="1" customWidth="1"/>
    <col min="6" max="6" width="4.140625" customWidth="1"/>
    <col min="7" max="7" width="15" customWidth="1"/>
    <col min="8" max="8" width="4" customWidth="1"/>
    <col min="9" max="9" width="22" bestFit="1" customWidth="1"/>
    <col min="10" max="10" width="5.42578125" customWidth="1"/>
    <col min="11" max="11" width="8.140625" customWidth="1"/>
    <col min="12" max="12" width="4.42578125" customWidth="1"/>
    <col min="13" max="13" width="11.85546875" customWidth="1"/>
    <col min="14" max="14" width="4.7109375" customWidth="1"/>
    <col min="15" max="15" width="24" customWidth="1"/>
    <col min="16" max="16" width="4.7109375" customWidth="1"/>
    <col min="18" max="18" width="5.28515625" customWidth="1"/>
    <col min="20" max="20" width="15.5703125" bestFit="1" customWidth="1"/>
    <col min="21" max="21" width="6" customWidth="1"/>
    <col min="23" max="23" width="44" bestFit="1" customWidth="1"/>
    <col min="24" max="24" width="5.28515625" customWidth="1"/>
    <col min="25" max="25" width="20" bestFit="1" customWidth="1"/>
    <col min="26" max="26" width="14.5703125" bestFit="1" customWidth="1"/>
    <col min="27" max="27" width="3.28515625" customWidth="1"/>
    <col min="28" max="28" width="14.140625" customWidth="1"/>
    <col min="29" max="29" width="3.42578125" customWidth="1"/>
    <col min="30" max="30" width="14.85546875" customWidth="1"/>
    <col min="31" max="31" width="4" customWidth="1"/>
    <col min="32" max="32" width="9.85546875" customWidth="1"/>
    <col min="33" max="33" width="4.28515625" customWidth="1"/>
    <col min="34" max="34" width="13.28515625" customWidth="1"/>
    <col min="35" max="35" width="3.85546875" customWidth="1"/>
    <col min="36" max="36" width="18.28515625" customWidth="1"/>
    <col min="37" max="37" width="5.28515625" customWidth="1"/>
    <col min="38" max="38" width="20" customWidth="1"/>
  </cols>
  <sheetData>
    <row r="1" spans="1:38" x14ac:dyDescent="0.25">
      <c r="A1" t="s">
        <v>265</v>
      </c>
      <c r="C1" t="s">
        <v>268</v>
      </c>
      <c r="E1" s="108" t="s">
        <v>207</v>
      </c>
      <c r="G1" t="s">
        <v>208</v>
      </c>
      <c r="I1" t="s">
        <v>138</v>
      </c>
      <c r="K1" t="s">
        <v>80</v>
      </c>
      <c r="M1" t="s">
        <v>218</v>
      </c>
      <c r="O1" t="s">
        <v>173</v>
      </c>
      <c r="Q1" t="s">
        <v>204</v>
      </c>
      <c r="S1" t="s">
        <v>176</v>
      </c>
      <c r="T1" t="s">
        <v>145</v>
      </c>
      <c r="V1" t="s">
        <v>182</v>
      </c>
      <c r="W1" t="s">
        <v>188</v>
      </c>
      <c r="Y1" t="s">
        <v>194</v>
      </c>
      <c r="Z1" t="s">
        <v>195</v>
      </c>
      <c r="AB1" t="s">
        <v>258</v>
      </c>
      <c r="AD1" t="s">
        <v>259</v>
      </c>
      <c r="AF1" t="s">
        <v>112</v>
      </c>
      <c r="AH1" t="s">
        <v>20</v>
      </c>
      <c r="AJ1" t="s">
        <v>405</v>
      </c>
      <c r="AL1" t="s">
        <v>407</v>
      </c>
    </row>
    <row r="2" spans="1:38" x14ac:dyDescent="0.25">
      <c r="A2" t="s">
        <v>266</v>
      </c>
      <c r="C2" t="s">
        <v>269</v>
      </c>
      <c r="E2" t="s">
        <v>241</v>
      </c>
      <c r="G2">
        <v>750</v>
      </c>
      <c r="I2" t="s">
        <v>209</v>
      </c>
      <c r="K2" t="s">
        <v>215</v>
      </c>
      <c r="M2" t="s">
        <v>89</v>
      </c>
      <c r="O2" t="s">
        <v>394</v>
      </c>
      <c r="Q2">
        <v>500</v>
      </c>
      <c r="S2" t="s">
        <v>99</v>
      </c>
      <c r="T2" t="s">
        <v>180</v>
      </c>
      <c r="V2" s="101">
        <v>0.65</v>
      </c>
      <c r="W2" t="s">
        <v>187</v>
      </c>
      <c r="Y2" t="s">
        <v>175</v>
      </c>
      <c r="Z2" t="s">
        <v>197</v>
      </c>
      <c r="AB2" t="s">
        <v>252</v>
      </c>
      <c r="AD2" t="s">
        <v>254</v>
      </c>
      <c r="AF2" t="s">
        <v>256</v>
      </c>
      <c r="AH2" t="s">
        <v>261</v>
      </c>
      <c r="AJ2" t="s">
        <v>187</v>
      </c>
      <c r="AL2">
        <v>6</v>
      </c>
    </row>
    <row r="3" spans="1:38" x14ac:dyDescent="0.25">
      <c r="A3" t="s">
        <v>267</v>
      </c>
      <c r="C3" t="s">
        <v>270</v>
      </c>
      <c r="E3" t="s">
        <v>205</v>
      </c>
      <c r="G3">
        <v>1000</v>
      </c>
      <c r="I3" t="s">
        <v>210</v>
      </c>
      <c r="K3" t="s">
        <v>214</v>
      </c>
      <c r="M3" t="s">
        <v>219</v>
      </c>
      <c r="O3" t="s">
        <v>168</v>
      </c>
      <c r="Q3">
        <v>750</v>
      </c>
      <c r="S3" t="s">
        <v>178</v>
      </c>
      <c r="T3" t="s">
        <v>179</v>
      </c>
      <c r="V3" s="101" t="s">
        <v>183</v>
      </c>
      <c r="W3" t="s">
        <v>189</v>
      </c>
      <c r="Y3" t="s">
        <v>196</v>
      </c>
      <c r="Z3" t="s">
        <v>198</v>
      </c>
      <c r="AB3" t="s">
        <v>253</v>
      </c>
      <c r="AD3" t="s">
        <v>255</v>
      </c>
      <c r="AF3" t="s">
        <v>257</v>
      </c>
      <c r="AH3" t="s">
        <v>92</v>
      </c>
      <c r="AJ3" t="s">
        <v>406</v>
      </c>
      <c r="AL3">
        <v>8</v>
      </c>
    </row>
    <row r="4" spans="1:38" x14ac:dyDescent="0.25">
      <c r="C4" t="s">
        <v>271</v>
      </c>
      <c r="E4" t="s">
        <v>242</v>
      </c>
      <c r="G4">
        <v>1250</v>
      </c>
      <c r="I4" t="s">
        <v>211</v>
      </c>
      <c r="M4" t="s">
        <v>93</v>
      </c>
      <c r="O4" t="s">
        <v>169</v>
      </c>
      <c r="Q4">
        <v>1000</v>
      </c>
      <c r="S4" t="s">
        <v>94</v>
      </c>
      <c r="T4" t="s">
        <v>181</v>
      </c>
      <c r="V4" s="101" t="s">
        <v>184</v>
      </c>
      <c r="W4" t="s">
        <v>190</v>
      </c>
      <c r="AH4" t="s">
        <v>260</v>
      </c>
      <c r="AL4">
        <v>12</v>
      </c>
    </row>
    <row r="5" spans="1:38" x14ac:dyDescent="0.25">
      <c r="C5" t="s">
        <v>272</v>
      </c>
      <c r="E5" t="s">
        <v>206</v>
      </c>
      <c r="G5">
        <v>1500</v>
      </c>
      <c r="I5" t="s">
        <v>212</v>
      </c>
      <c r="O5" t="s">
        <v>170</v>
      </c>
      <c r="Q5">
        <v>1250</v>
      </c>
      <c r="S5" t="s">
        <v>177</v>
      </c>
      <c r="V5" s="101" t="s">
        <v>185</v>
      </c>
      <c r="W5" t="s">
        <v>191</v>
      </c>
      <c r="AH5" t="s">
        <v>262</v>
      </c>
      <c r="AL5">
        <v>18</v>
      </c>
    </row>
    <row r="6" spans="1:38" x14ac:dyDescent="0.25">
      <c r="C6" t="s">
        <v>273</v>
      </c>
      <c r="G6">
        <v>1750</v>
      </c>
      <c r="I6" t="s">
        <v>213</v>
      </c>
      <c r="O6" t="s">
        <v>171</v>
      </c>
      <c r="Q6">
        <v>1500</v>
      </c>
      <c r="V6" s="101" t="s">
        <v>186</v>
      </c>
      <c r="W6" t="s">
        <v>192</v>
      </c>
      <c r="AH6" t="s">
        <v>14</v>
      </c>
      <c r="AL6">
        <v>24</v>
      </c>
    </row>
    <row r="7" spans="1:38" x14ac:dyDescent="0.25">
      <c r="C7" t="s">
        <v>274</v>
      </c>
      <c r="G7">
        <v>2000</v>
      </c>
      <c r="O7" t="s">
        <v>172</v>
      </c>
      <c r="Q7">
        <v>1750</v>
      </c>
      <c r="V7" s="101">
        <v>0.7</v>
      </c>
      <c r="W7" t="s">
        <v>193</v>
      </c>
      <c r="AH7" t="s">
        <v>263</v>
      </c>
      <c r="AL7">
        <v>36</v>
      </c>
    </row>
    <row r="8" spans="1:38" x14ac:dyDescent="0.25">
      <c r="C8" t="s">
        <v>275</v>
      </c>
      <c r="O8" t="s">
        <v>220</v>
      </c>
      <c r="Q8">
        <v>2000</v>
      </c>
      <c r="AH8" t="s">
        <v>264</v>
      </c>
      <c r="AL8">
        <v>48</v>
      </c>
    </row>
    <row r="9" spans="1:38" x14ac:dyDescent="0.25">
      <c r="C9" t="s">
        <v>276</v>
      </c>
      <c r="O9" t="s">
        <v>395</v>
      </c>
      <c r="Q9">
        <v>2250</v>
      </c>
      <c r="AL9">
        <v>72</v>
      </c>
    </row>
    <row r="10" spans="1:38" x14ac:dyDescent="0.25">
      <c r="O10" t="s">
        <v>396</v>
      </c>
      <c r="Q10">
        <v>2500</v>
      </c>
    </row>
    <row r="11" spans="1:38" x14ac:dyDescent="0.25">
      <c r="O11" t="s">
        <v>397</v>
      </c>
      <c r="Q11">
        <v>2750</v>
      </c>
    </row>
    <row r="12" spans="1:38" x14ac:dyDescent="0.25">
      <c r="O12" t="s">
        <v>174</v>
      </c>
      <c r="Q12">
        <v>3000</v>
      </c>
    </row>
    <row r="13" spans="1:38" x14ac:dyDescent="0.25">
      <c r="O13" t="s">
        <v>398</v>
      </c>
    </row>
    <row r="14" spans="1:38" x14ac:dyDescent="0.25">
      <c r="O14" t="s">
        <v>0</v>
      </c>
    </row>
    <row r="102" spans="1:2" x14ac:dyDescent="0.25">
      <c r="A102" s="1">
        <v>44180.666666666664</v>
      </c>
    </row>
    <row r="103" spans="1:2" x14ac:dyDescent="0.25">
      <c r="A103" s="1"/>
      <c r="B103" t="s">
        <v>217</v>
      </c>
    </row>
    <row r="104" spans="1:2" x14ac:dyDescent="0.25">
      <c r="A104" s="1"/>
      <c r="B104" t="s">
        <v>216</v>
      </c>
    </row>
    <row r="105" spans="1:2" x14ac:dyDescent="0.25">
      <c r="A105" s="1"/>
    </row>
    <row r="106" spans="1:2" x14ac:dyDescent="0.25">
      <c r="A106" s="1"/>
    </row>
    <row r="107" spans="1:2" x14ac:dyDescent="0.25">
      <c r="A107" s="1"/>
    </row>
    <row r="108" spans="1:2" x14ac:dyDescent="0.25">
      <c r="A108" s="1"/>
    </row>
    <row r="109" spans="1:2" x14ac:dyDescent="0.25">
      <c r="A109" s="1"/>
    </row>
  </sheetData>
  <pageMargins left="0.7" right="0.7" top="0.75" bottom="0.75" header="0.3" footer="0.3"/>
  <pageSetup orientation="portrait" horizontalDpi="4294967293" verticalDpi="4294967293"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E110"/>
  <sheetViews>
    <sheetView showGridLines="0" workbookViewId="0">
      <selection activeCell="A21" sqref="A21"/>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5" x14ac:dyDescent="0.25">
      <c r="A1" t="s">
        <v>18</v>
      </c>
      <c r="B1" t="s">
        <v>22</v>
      </c>
      <c r="C1" t="s">
        <v>20</v>
      </c>
      <c r="D1" t="s">
        <v>21</v>
      </c>
      <c r="E1" t="s">
        <v>88</v>
      </c>
    </row>
    <row r="3" spans="1:5" x14ac:dyDescent="0.25">
      <c r="A3" t="s">
        <v>98</v>
      </c>
      <c r="B3" t="s">
        <v>99</v>
      </c>
    </row>
    <row r="4" spans="1:5" x14ac:dyDescent="0.25">
      <c r="A4" t="s">
        <v>19</v>
      </c>
      <c r="B4" t="s">
        <v>178</v>
      </c>
      <c r="C4" t="s">
        <v>14</v>
      </c>
      <c r="D4" t="s">
        <v>89</v>
      </c>
      <c r="E4" t="s">
        <v>90</v>
      </c>
    </row>
    <row r="5" spans="1:5" x14ac:dyDescent="0.25">
      <c r="A5" t="s">
        <v>286</v>
      </c>
      <c r="B5" t="s">
        <v>99</v>
      </c>
      <c r="C5" t="s">
        <v>14</v>
      </c>
      <c r="D5" t="s">
        <v>89</v>
      </c>
      <c r="E5" t="s">
        <v>90</v>
      </c>
    </row>
    <row r="6" spans="1:5" x14ac:dyDescent="0.25">
      <c r="A6" t="s">
        <v>91</v>
      </c>
      <c r="B6" t="s">
        <v>178</v>
      </c>
      <c r="C6" t="s">
        <v>92</v>
      </c>
      <c r="D6" t="s">
        <v>89</v>
      </c>
      <c r="E6" t="s">
        <v>90</v>
      </c>
    </row>
    <row r="7" spans="1:5" x14ac:dyDescent="0.25">
      <c r="A7" t="s">
        <v>421</v>
      </c>
      <c r="B7" t="s">
        <v>99</v>
      </c>
      <c r="C7" t="s">
        <v>260</v>
      </c>
      <c r="D7" t="s">
        <v>89</v>
      </c>
      <c r="E7" t="s">
        <v>90</v>
      </c>
    </row>
    <row r="100" spans="1:2" x14ac:dyDescent="0.25">
      <c r="A100" s="1">
        <v>43963.333333333336</v>
      </c>
      <c r="B100" s="1"/>
    </row>
    <row r="101" spans="1:2" x14ac:dyDescent="0.25">
      <c r="A101" s="1"/>
      <c r="B101" s="1"/>
    </row>
    <row r="102" spans="1:2" x14ac:dyDescent="0.25">
      <c r="A102" s="1"/>
      <c r="B102" s="1"/>
    </row>
    <row r="103" spans="1:2" x14ac:dyDescent="0.25">
      <c r="A103" s="1">
        <v>44015.083333333336</v>
      </c>
      <c r="B103" s="1"/>
    </row>
    <row r="104" spans="1:2" x14ac:dyDescent="0.25">
      <c r="A104" s="1">
        <v>44016</v>
      </c>
      <c r="B104" s="1"/>
    </row>
    <row r="105" spans="1:2" x14ac:dyDescent="0.25">
      <c r="A105" s="1">
        <v>44017</v>
      </c>
      <c r="B105" s="1"/>
    </row>
    <row r="106" spans="1:2" x14ac:dyDescent="0.25">
      <c r="A106" s="1"/>
      <c r="B106" s="1" t="s">
        <v>217</v>
      </c>
    </row>
    <row r="107" spans="1:2" x14ac:dyDescent="0.25">
      <c r="A107" s="1"/>
      <c r="B107" s="1" t="s">
        <v>216</v>
      </c>
    </row>
    <row r="108" spans="1:2" x14ac:dyDescent="0.25">
      <c r="A108" s="1"/>
    </row>
    <row r="109" spans="1:2" x14ac:dyDescent="0.25">
      <c r="A109" s="1"/>
    </row>
    <row r="110" spans="1:2" x14ac:dyDescent="0.25">
      <c r="A110" s="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B1:AG63"/>
  <sheetViews>
    <sheetView showGridLines="0" topLeftCell="A2" zoomScaleNormal="100" workbookViewId="0">
      <selection activeCell="O11" sqref="O11"/>
    </sheetView>
  </sheetViews>
  <sheetFormatPr defaultColWidth="9.140625" defaultRowHeight="15" x14ac:dyDescent="0.25"/>
  <cols>
    <col min="1" max="1" width="3.42578125" style="185" customWidth="1"/>
    <col min="2" max="2" width="40.140625" style="185" customWidth="1"/>
    <col min="3" max="3" width="10" style="185" customWidth="1"/>
    <col min="4" max="9" width="9.140625" style="185" customWidth="1"/>
    <col min="10" max="10" width="10.7109375" style="185" customWidth="1"/>
    <col min="11" max="12" width="9.140625" style="185" customWidth="1"/>
    <col min="13" max="13" width="11" style="185" customWidth="1"/>
    <col min="14" max="14" width="9.7109375" style="185" customWidth="1"/>
    <col min="15" max="34" width="9.140625" style="185" customWidth="1"/>
    <col min="35" max="16384" width="9.140625" style="185"/>
  </cols>
  <sheetData>
    <row r="1" spans="2:33" s="60" customFormat="1" ht="32.25" customHeight="1" x14ac:dyDescent="0.25">
      <c r="B1" s="61"/>
      <c r="C1" s="61"/>
      <c r="D1" s="62"/>
      <c r="E1" s="63" t="s">
        <v>136</v>
      </c>
      <c r="F1" s="64"/>
      <c r="G1" s="64"/>
      <c r="H1" s="64"/>
      <c r="I1" s="62"/>
      <c r="J1" s="62"/>
    </row>
    <row r="2" spans="2:33" s="60" customFormat="1" ht="32.25" customHeight="1" x14ac:dyDescent="0.25">
      <c r="B2" s="162" t="s">
        <v>337</v>
      </c>
      <c r="C2" s="267" t="str">
        <f>IF(mfAge&gt;=65,"An elderly, ",IF(mfAge&gt;18,"An adult, ",""))&amp;IF(mfBMI="", "",IF(mfBMI&gt;=30,"obese, ",IF(mfBMI&gt;=25,"overweight, ",IF(mfBMI&gt;=18.5,"normal weight, ",IF(mfBMI&lt;18.5,"underweight, ",""))))&amp;mfAge&amp;" yr old "&amp;IF(mfGender="M","male ",IF(mfGender="F","female ",""))&amp;"with "&amp;IF(IF(mfManualCrCl&lt;&gt;"", mfManualCrCl&gt;=90, mfCrCl&gt;=90),"normal or high ",IF(IF(mfManualCrCl&lt;&gt;"", mfManualCrCl&gt;=60, mfCrCl&gt;=60),"mildly decreased ",IF(IF(mfManualCrCl&lt;&gt;"",mfManualCrCl&gt;=45, mfCrCl&gt;=45),"mildly to moderately decreased ",IF(IF(mfManualCrCl&lt;&gt;"",mfManualCrCl&gt;=30,mfCrCl&gt;=30),"moderately to severely decreased",IF(IF(mfManualCrCl&lt;&gt;"",mfManualCrCl&gt;=15, mfCrCl&gt;=15),"severely decreased",IF(IF(mfManualCrCl&lt;&gt;"",mfManualCrCl&lt;15, mfCrCl&lt;15),"kidney failure","unknown "))))))&amp;"renal function " &amp; IF(mfCrCl&lt;&gt;"","(" &amp; IF(mfManualCrCl&lt;&gt;"", mfManualCrCl,ROUND(mfCrCl,0)) &amp; " mL/min) ", "")&amp;"has been diagnosed "&amp;IF(mfProvider&lt;&gt;"","by "&amp;mfProvider&amp;" ","")&amp;"with "&amp;IF(mfIndication&lt;&gt;"",mfIndication,"an unknown infection")) &amp; IF(mfCrCl="","", ". Pharmacy is being consulted to dose vancomycin.")</f>
        <v/>
      </c>
      <c r="D2" s="267"/>
      <c r="E2" s="267"/>
      <c r="F2" s="267"/>
      <c r="G2" s="267"/>
      <c r="H2" s="267"/>
      <c r="I2" s="267"/>
      <c r="J2" s="267"/>
      <c r="K2" s="267"/>
      <c r="L2" s="267"/>
      <c r="M2" s="267"/>
      <c r="N2" s="267"/>
      <c r="O2" s="267"/>
      <c r="P2" s="267"/>
    </row>
    <row r="3" spans="2:33" customFormat="1" ht="15" customHeight="1" thickBot="1" x14ac:dyDescent="0.35">
      <c r="B3" s="36"/>
      <c r="C3" s="36"/>
      <c r="D3" s="29"/>
      <c r="E3" s="35"/>
      <c r="F3" s="34"/>
      <c r="G3" s="34"/>
      <c r="H3" s="34"/>
      <c r="I3" s="29"/>
      <c r="J3" s="29"/>
    </row>
    <row r="4" spans="2:33" customFormat="1" ht="15" customHeight="1" thickTop="1" thickBot="1" x14ac:dyDescent="0.3">
      <c r="B4" s="38"/>
      <c r="C4" s="209" t="s">
        <v>100</v>
      </c>
      <c r="D4" s="142"/>
      <c r="E4" s="143"/>
      <c r="F4" s="210" t="s">
        <v>316</v>
      </c>
      <c r="G4" s="142"/>
      <c r="H4" s="142"/>
      <c r="I4" s="142"/>
      <c r="J4" s="142"/>
      <c r="K4" s="142"/>
      <c r="L4" s="142"/>
      <c r="M4" s="143"/>
      <c r="N4" s="209" t="s">
        <v>101</v>
      </c>
      <c r="O4" s="142"/>
      <c r="P4" s="143"/>
      <c r="R4" s="209" t="s">
        <v>359</v>
      </c>
      <c r="S4" s="142"/>
      <c r="T4" s="142"/>
      <c r="U4" s="143"/>
    </row>
    <row r="5" spans="2:33" customFormat="1" ht="15" customHeight="1" thickTop="1" x14ac:dyDescent="0.25">
      <c r="B5" s="38"/>
      <c r="C5" s="135" t="s">
        <v>330</v>
      </c>
      <c r="D5" s="268"/>
      <c r="E5" s="269"/>
      <c r="F5" s="154" t="s">
        <v>313</v>
      </c>
      <c r="G5" s="145"/>
      <c r="H5" s="135" t="s">
        <v>319</v>
      </c>
      <c r="I5" s="146"/>
      <c r="J5" s="135" t="s">
        <v>320</v>
      </c>
      <c r="K5" s="147" t="str">
        <f>IFERROR(mfABW/POWER(HtCm/100,2),"")</f>
        <v/>
      </c>
      <c r="L5" s="135" t="s">
        <v>328</v>
      </c>
      <c r="M5" s="148">
        <f>mfAge</f>
        <v>0</v>
      </c>
      <c r="N5" s="135" t="s">
        <v>336</v>
      </c>
      <c r="O5" s="268"/>
      <c r="P5" s="269"/>
      <c r="R5" s="135" t="s">
        <v>352</v>
      </c>
      <c r="S5" s="241" t="s">
        <v>175</v>
      </c>
      <c r="T5" s="205" t="s">
        <v>354</v>
      </c>
      <c r="U5" s="211" t="str">
        <f>IF(OR(mfVd="",mfCLVanco=""),"",mfCLVanco/mfVd)</f>
        <v/>
      </c>
    </row>
    <row r="6" spans="2:33" customFormat="1" ht="15" customHeight="1" thickBot="1" x14ac:dyDescent="0.3">
      <c r="B6" s="38"/>
      <c r="C6" s="135" t="s">
        <v>331</v>
      </c>
      <c r="D6" s="270"/>
      <c r="E6" s="271"/>
      <c r="F6" s="154" t="s">
        <v>317</v>
      </c>
      <c r="G6" s="145"/>
      <c r="H6" s="135" t="s">
        <v>319</v>
      </c>
      <c r="I6" s="149">
        <f>mfWt*2.2</f>
        <v>0</v>
      </c>
      <c r="J6" s="153" t="s">
        <v>321</v>
      </c>
      <c r="K6" s="201" t="str">
        <f>IFERROR(mfABW/mfIBW,"")</f>
        <v/>
      </c>
      <c r="L6" s="135" t="s">
        <v>327</v>
      </c>
      <c r="M6" s="150" t="str">
        <f>IF(mfUsing="IBW",mfIBW,IF(mfUsing="AdjBW",mfAdjBW,IF(mfUsing="ABW",mfABW,"")))</f>
        <v/>
      </c>
      <c r="N6" s="135" t="s">
        <v>334</v>
      </c>
      <c r="O6" s="270"/>
      <c r="P6" s="271"/>
      <c r="R6" s="156" t="s">
        <v>356</v>
      </c>
      <c r="S6" s="242">
        <v>0.65</v>
      </c>
      <c r="T6" s="204" t="s">
        <v>355</v>
      </c>
      <c r="U6" s="212" t="str">
        <f>IF(mfKe&lt;&gt;"",0.693/mfKe,"")</f>
        <v/>
      </c>
    </row>
    <row r="7" spans="2:33" customFormat="1" ht="15" customHeight="1" thickTop="1" thickBot="1" x14ac:dyDescent="0.3">
      <c r="B7" s="38"/>
      <c r="C7" s="144" t="s">
        <v>332</v>
      </c>
      <c r="D7" s="270"/>
      <c r="E7" s="271"/>
      <c r="F7" s="154" t="s">
        <v>318</v>
      </c>
      <c r="G7" s="151"/>
      <c r="H7" s="135" t="s">
        <v>326</v>
      </c>
      <c r="I7" s="194">
        <f>mfWt</f>
        <v>0</v>
      </c>
      <c r="J7" s="199"/>
      <c r="K7" s="200"/>
      <c r="L7" s="154" t="s">
        <v>324</v>
      </c>
      <c r="M7" s="152" t="str">
        <f>IF(mfABW=0, "", IF(mfABW&lt;mfIBW,"ABW",IF(mfTBW_IBW&gt;1.3,"AdjBW",IF(mfABW&gt;0,"IBW",""))))</f>
        <v/>
      </c>
      <c r="N7" s="144" t="s">
        <v>335</v>
      </c>
      <c r="O7" s="270"/>
      <c r="P7" s="271"/>
      <c r="R7" s="207"/>
      <c r="S7" s="208"/>
      <c r="T7" s="204" t="s">
        <v>356</v>
      </c>
      <c r="U7" s="213" t="str">
        <f>IF(mfWt&lt;&gt;"",S6*mfWt,"")</f>
        <v/>
      </c>
    </row>
    <row r="8" spans="2:33" customFormat="1" ht="15" customHeight="1" thickTop="1" thickBot="1" x14ac:dyDescent="0.3">
      <c r="B8" s="38"/>
      <c r="C8" s="156" t="s">
        <v>333</v>
      </c>
      <c r="D8" s="270"/>
      <c r="E8" s="271"/>
      <c r="F8" s="157" t="s">
        <v>318</v>
      </c>
      <c r="G8" s="158" t="str">
        <f>IF(mfHt="","",TRUNC(mfHt/2.54/12)&amp;"'"&amp;ROUND((mfHt/2.54/12-TRUNC(mfHt/2.54/12))*12,0)&amp;"""")</f>
        <v/>
      </c>
      <c r="H8" s="135" t="s">
        <v>314</v>
      </c>
      <c r="I8" s="195" t="str">
        <f>IF(mfGender="M",50+2.3*(mfHt/2.54-60),IF(mfGender="F",45.5+2.3*(mfHt/2.54-60),""))</f>
        <v/>
      </c>
      <c r="J8" s="198" t="s">
        <v>349</v>
      </c>
      <c r="K8" s="239"/>
      <c r="L8" s="154" t="s">
        <v>329</v>
      </c>
      <c r="M8" s="165"/>
      <c r="N8" s="144" t="s">
        <v>338</v>
      </c>
      <c r="O8" s="270"/>
      <c r="P8" s="271"/>
      <c r="R8" s="225" t="s">
        <v>362</v>
      </c>
      <c r="S8" s="248">
        <v>1000</v>
      </c>
      <c r="T8" s="206" t="s">
        <v>357</v>
      </c>
      <c r="U8" s="214" t="str">
        <f>IF(mfPKEqn="Matzke",IF(OR(mfManualCrCl&lt;&gt;"",mfCrCl&lt;&gt;""),IF(mfManualCrCl&lt;&gt;"",((mfManualCrCl*0.689)+3.66)*0.06,IF(mfCrCl&lt;&gt;"",((mfCrCl*0.689)+3.66)*0.06,"")),""),IF(mfPKEqn="Crass",IF(AND(mfAge&lt;&gt;"",OR(mfSCr&lt;&gt;"",mfManualSCr&lt;&gt;""),mfGender&lt;&gt;"",mfWt&lt;&gt;""),9.656-0.078*mfAge-2.009*IF(mfManualSCr&lt;&gt;"",mfManualSCr,mfSCr)+1.09*IF(mfGender="M",1,0)+0.04*POWER(mfWt,0.75),""),""))</f>
        <v/>
      </c>
    </row>
    <row r="9" spans="2:33" customFormat="1" ht="15" customHeight="1" thickTop="1" thickBot="1" x14ac:dyDescent="0.3">
      <c r="B9" s="38"/>
      <c r="C9" s="167"/>
      <c r="D9" s="168"/>
      <c r="E9" s="168"/>
      <c r="F9" s="168"/>
      <c r="G9" s="169"/>
      <c r="H9" s="153" t="s">
        <v>315</v>
      </c>
      <c r="I9" s="196" t="str">
        <f>IFERROR(mfIBW+0.4*(mfABW-mfIBW),"")</f>
        <v/>
      </c>
      <c r="J9" s="197" t="s">
        <v>350</v>
      </c>
      <c r="K9" s="240"/>
      <c r="L9" s="155" t="s">
        <v>325</v>
      </c>
      <c r="M9" s="166" t="str" cm="1">
        <f t="array" ref="M9">IFERROR(IF(mfManualSCr &lt;&gt; "", IF(mfGender="M",((140-mfAge)*mfWtUsed)/(mfManualSCr*72),IF(mfGender="F",((140-mfAge)*mfWtUsed)/(mfManualSCrSCr*72)*0.85,"")),IF(mfGender="M",((140-mfAge)*mfWtUsed)/(mfSCr*72),IF(mfGender="F",((140-mfAge)*mfWtUsed)/(mfSCr*72)*0.85,""))),"")</f>
        <v/>
      </c>
      <c r="N9" s="167"/>
      <c r="O9" s="168"/>
      <c r="P9" s="169"/>
      <c r="R9" s="203"/>
      <c r="S9" s="202"/>
      <c r="T9" s="202"/>
      <c r="U9" s="215"/>
    </row>
    <row r="10" spans="2:33" customFormat="1" ht="15" customHeight="1" thickTop="1" x14ac:dyDescent="0.25">
      <c r="B10" s="38"/>
      <c r="C10" s="38"/>
      <c r="D10" s="133"/>
      <c r="E10" s="134"/>
      <c r="F10" s="39"/>
      <c r="G10" s="39"/>
      <c r="H10" s="39"/>
      <c r="I10" s="37"/>
    </row>
    <row r="11" spans="2:33" customFormat="1" ht="15" customHeight="1" thickBot="1" x14ac:dyDescent="0.3">
      <c r="B11" s="263"/>
      <c r="C11" s="263"/>
      <c r="D11" s="263"/>
      <c r="E11" s="263"/>
      <c r="F11" s="263"/>
      <c r="G11" s="263"/>
      <c r="H11" s="263"/>
      <c r="I11" s="263"/>
      <c r="J11" s="263"/>
    </row>
    <row r="12" spans="2:33" customFormat="1" ht="15.75" customHeight="1" thickTop="1" thickBot="1" x14ac:dyDescent="0.3">
      <c r="B12" s="253" t="s">
        <v>416</v>
      </c>
      <c r="C12" s="255" t="s">
        <v>23</v>
      </c>
      <c r="D12" s="254" t="str">
        <f t="shared" ref="D12:AG12" si="0" xml:space="preserve"> "Day " &amp; D13-StartDate+1</f>
        <v>Day 1</v>
      </c>
      <c r="E12" s="254" t="str">
        <f t="shared" si="0"/>
        <v>Day 2</v>
      </c>
      <c r="F12" s="254" t="str">
        <f t="shared" si="0"/>
        <v>Day 3</v>
      </c>
      <c r="G12" s="254" t="str">
        <f t="shared" si="0"/>
        <v>Day 4</v>
      </c>
      <c r="H12" s="254" t="str">
        <f t="shared" si="0"/>
        <v>Day 5</v>
      </c>
      <c r="I12" s="254" t="str">
        <f t="shared" si="0"/>
        <v>Day 6</v>
      </c>
      <c r="J12" s="254" t="str">
        <f t="shared" si="0"/>
        <v>Day 7</v>
      </c>
      <c r="K12" s="254" t="str">
        <f t="shared" si="0"/>
        <v>Day 8</v>
      </c>
      <c r="L12" s="254" t="str">
        <f t="shared" si="0"/>
        <v>Day 9</v>
      </c>
      <c r="M12" s="254" t="str">
        <f t="shared" si="0"/>
        <v>Day 10</v>
      </c>
      <c r="N12" s="254" t="str">
        <f t="shared" si="0"/>
        <v>Day 11</v>
      </c>
      <c r="O12" s="254" t="str">
        <f t="shared" si="0"/>
        <v>Day 12</v>
      </c>
      <c r="P12" s="254" t="str">
        <f t="shared" si="0"/>
        <v>Day 13</v>
      </c>
      <c r="Q12" s="254" t="str">
        <f t="shared" si="0"/>
        <v>Day 14</v>
      </c>
      <c r="R12" s="254" t="str">
        <f t="shared" si="0"/>
        <v>Day 15</v>
      </c>
      <c r="S12" s="254" t="str">
        <f t="shared" si="0"/>
        <v>Day 16</v>
      </c>
      <c r="T12" s="254" t="str">
        <f t="shared" si="0"/>
        <v>Day 17</v>
      </c>
      <c r="U12" s="254" t="str">
        <f t="shared" si="0"/>
        <v>Day 18</v>
      </c>
      <c r="V12" s="254" t="str">
        <f t="shared" si="0"/>
        <v>Day 19</v>
      </c>
      <c r="W12" s="254" t="str">
        <f t="shared" si="0"/>
        <v>Day 20</v>
      </c>
      <c r="X12" s="254" t="str">
        <f t="shared" si="0"/>
        <v>Day 21</v>
      </c>
      <c r="Y12" s="254" t="str">
        <f t="shared" si="0"/>
        <v>Day 22</v>
      </c>
      <c r="Z12" s="254" t="str">
        <f t="shared" si="0"/>
        <v>Day 23</v>
      </c>
      <c r="AA12" s="254" t="str">
        <f t="shared" si="0"/>
        <v>Day 24</v>
      </c>
      <c r="AB12" s="254" t="str">
        <f t="shared" si="0"/>
        <v>Day 25</v>
      </c>
      <c r="AC12" s="254" t="str">
        <f t="shared" si="0"/>
        <v>Day 26</v>
      </c>
      <c r="AD12" s="254" t="str">
        <f t="shared" si="0"/>
        <v>Day 27</v>
      </c>
      <c r="AE12" s="254" t="str">
        <f t="shared" si="0"/>
        <v>Day 28</v>
      </c>
      <c r="AF12" s="254" t="str">
        <f t="shared" si="0"/>
        <v>Day 29</v>
      </c>
      <c r="AG12" s="254" t="str">
        <f t="shared" si="0"/>
        <v>Day 30</v>
      </c>
    </row>
    <row r="13" spans="2:33" customFormat="1" ht="15.75" customHeight="1" thickTop="1" thickBot="1" x14ac:dyDescent="0.3">
      <c r="B13" s="257" t="s">
        <v>417</v>
      </c>
      <c r="C13" s="256">
        <v>44129</v>
      </c>
      <c r="D13" s="262">
        <f>IF(DifferentDay,C13+0,C13+1)</f>
        <v>44129</v>
      </c>
      <c r="E13" s="262">
        <f>D13+1</f>
        <v>44130</v>
      </c>
      <c r="F13" s="262">
        <f t="shared" ref="F13:AG13" si="1">E13+1</f>
        <v>44131</v>
      </c>
      <c r="G13" s="262">
        <f t="shared" si="1"/>
        <v>44132</v>
      </c>
      <c r="H13" s="262">
        <f t="shared" si="1"/>
        <v>44133</v>
      </c>
      <c r="I13" s="262">
        <f t="shared" si="1"/>
        <v>44134</v>
      </c>
      <c r="J13" s="262">
        <f t="shared" si="1"/>
        <v>44135</v>
      </c>
      <c r="K13" s="262">
        <f t="shared" si="1"/>
        <v>44136</v>
      </c>
      <c r="L13" s="262">
        <f t="shared" si="1"/>
        <v>44137</v>
      </c>
      <c r="M13" s="262">
        <f t="shared" si="1"/>
        <v>44138</v>
      </c>
      <c r="N13" s="262">
        <f t="shared" si="1"/>
        <v>44139</v>
      </c>
      <c r="O13" s="262">
        <f t="shared" si="1"/>
        <v>44140</v>
      </c>
      <c r="P13" s="262">
        <f t="shared" si="1"/>
        <v>44141</v>
      </c>
      <c r="Q13" s="262">
        <f t="shared" si="1"/>
        <v>44142</v>
      </c>
      <c r="R13" s="262">
        <f t="shared" si="1"/>
        <v>44143</v>
      </c>
      <c r="S13" s="262">
        <f t="shared" si="1"/>
        <v>44144</v>
      </c>
      <c r="T13" s="262">
        <f t="shared" si="1"/>
        <v>44145</v>
      </c>
      <c r="U13" s="262">
        <f t="shared" si="1"/>
        <v>44146</v>
      </c>
      <c r="V13" s="262">
        <f t="shared" si="1"/>
        <v>44147</v>
      </c>
      <c r="W13" s="262">
        <f t="shared" si="1"/>
        <v>44148</v>
      </c>
      <c r="X13" s="262">
        <f t="shared" si="1"/>
        <v>44149</v>
      </c>
      <c r="Y13" s="262">
        <f t="shared" si="1"/>
        <v>44150</v>
      </c>
      <c r="Z13" s="262">
        <f t="shared" si="1"/>
        <v>44151</v>
      </c>
      <c r="AA13" s="262">
        <f t="shared" si="1"/>
        <v>44152</v>
      </c>
      <c r="AB13" s="262">
        <f t="shared" si="1"/>
        <v>44153</v>
      </c>
      <c r="AC13" s="262">
        <f t="shared" si="1"/>
        <v>44154</v>
      </c>
      <c r="AD13" s="262">
        <f t="shared" si="1"/>
        <v>44155</v>
      </c>
      <c r="AE13" s="262">
        <f t="shared" si="1"/>
        <v>44156</v>
      </c>
      <c r="AF13" s="262">
        <f t="shared" si="1"/>
        <v>44157</v>
      </c>
      <c r="AG13" s="262">
        <f t="shared" si="1"/>
        <v>44158</v>
      </c>
    </row>
    <row r="14" spans="2:33" customFormat="1" ht="15.75" thickTop="1" x14ac:dyDescent="0.25">
      <c r="B14" s="216" t="s">
        <v>377</v>
      </c>
      <c r="C14" s="188"/>
      <c r="D14" s="258"/>
      <c r="E14" s="259"/>
      <c r="F14" s="259"/>
      <c r="G14" s="259"/>
      <c r="H14" s="259"/>
      <c r="I14" s="259"/>
      <c r="J14" s="260"/>
      <c r="K14" s="261"/>
      <c r="L14" s="259"/>
      <c r="M14" s="259"/>
      <c r="N14" s="259"/>
      <c r="O14" s="259"/>
      <c r="P14" s="259"/>
      <c r="Q14" s="260"/>
      <c r="R14" s="261"/>
      <c r="S14" s="259"/>
      <c r="T14" s="259"/>
      <c r="U14" s="259"/>
      <c r="V14" s="259"/>
      <c r="W14" s="259"/>
      <c r="X14" s="260"/>
      <c r="Y14" s="261"/>
      <c r="Z14" s="259"/>
      <c r="AA14" s="259"/>
      <c r="AB14" s="259"/>
      <c r="AC14" s="259"/>
      <c r="AD14" s="259"/>
      <c r="AE14" s="259"/>
      <c r="AF14" s="259"/>
      <c r="AG14" s="260"/>
    </row>
    <row r="15" spans="2:33" customFormat="1" x14ac:dyDescent="0.25">
      <c r="B15" s="216" t="s">
        <v>376</v>
      </c>
      <c r="C15" s="189"/>
      <c r="D15" s="163"/>
      <c r="E15" s="136"/>
      <c r="F15" s="136"/>
      <c r="G15" s="136"/>
      <c r="H15" s="136"/>
      <c r="I15" s="136"/>
      <c r="J15" s="170"/>
      <c r="K15" s="163"/>
      <c r="L15" s="136"/>
      <c r="M15" s="136"/>
      <c r="N15" s="136"/>
      <c r="O15" s="136"/>
      <c r="P15" s="136"/>
      <c r="Q15" s="170"/>
      <c r="R15" s="163"/>
      <c r="S15" s="136"/>
      <c r="T15" s="136"/>
      <c r="U15" s="136"/>
      <c r="V15" s="136"/>
      <c r="W15" s="136"/>
      <c r="X15" s="170"/>
      <c r="Y15" s="163"/>
      <c r="Z15" s="136"/>
      <c r="AA15" s="136"/>
      <c r="AB15" s="136"/>
      <c r="AC15" s="136"/>
      <c r="AD15" s="136"/>
      <c r="AE15" s="136"/>
      <c r="AF15" s="136"/>
      <c r="AG15" s="170"/>
    </row>
    <row r="16" spans="2:33" customFormat="1" x14ac:dyDescent="0.25">
      <c r="B16" s="216" t="s">
        <v>375</v>
      </c>
      <c r="C16" s="190"/>
      <c r="D16" s="164" t="str">
        <f>IFERROR(D14*(24/D15)/1000,"")</f>
        <v/>
      </c>
      <c r="E16" s="137" t="str">
        <f t="shared" ref="E16:AG16" si="2">IFERROR(E14*(24/E15)/1000,"")</f>
        <v/>
      </c>
      <c r="F16" s="137" t="str">
        <f t="shared" si="2"/>
        <v/>
      </c>
      <c r="G16" s="137" t="str">
        <f t="shared" si="2"/>
        <v/>
      </c>
      <c r="H16" s="137" t="str">
        <f t="shared" si="2"/>
        <v/>
      </c>
      <c r="I16" s="137" t="str">
        <f t="shared" si="2"/>
        <v/>
      </c>
      <c r="J16" s="171" t="str">
        <f t="shared" si="2"/>
        <v/>
      </c>
      <c r="K16" s="164" t="str">
        <f t="shared" si="2"/>
        <v/>
      </c>
      <c r="L16" s="137" t="str">
        <f t="shared" si="2"/>
        <v/>
      </c>
      <c r="M16" s="137" t="str">
        <f t="shared" si="2"/>
        <v/>
      </c>
      <c r="N16" s="137" t="str">
        <f t="shared" si="2"/>
        <v/>
      </c>
      <c r="O16" s="137" t="str">
        <f t="shared" si="2"/>
        <v/>
      </c>
      <c r="P16" s="137" t="str">
        <f t="shared" si="2"/>
        <v/>
      </c>
      <c r="Q16" s="171" t="str">
        <f t="shared" si="2"/>
        <v/>
      </c>
      <c r="R16" s="164" t="str">
        <f t="shared" si="2"/>
        <v/>
      </c>
      <c r="S16" s="137" t="str">
        <f t="shared" si="2"/>
        <v/>
      </c>
      <c r="T16" s="137" t="str">
        <f t="shared" si="2"/>
        <v/>
      </c>
      <c r="U16" s="137" t="str">
        <f t="shared" si="2"/>
        <v/>
      </c>
      <c r="V16" s="137" t="str">
        <f t="shared" si="2"/>
        <v/>
      </c>
      <c r="W16" s="137" t="str">
        <f t="shared" si="2"/>
        <v/>
      </c>
      <c r="X16" s="171" t="str">
        <f t="shared" si="2"/>
        <v/>
      </c>
      <c r="Y16" s="164" t="str">
        <f t="shared" si="2"/>
        <v/>
      </c>
      <c r="Z16" s="137" t="str">
        <f t="shared" si="2"/>
        <v/>
      </c>
      <c r="AA16" s="137" t="str">
        <f t="shared" si="2"/>
        <v/>
      </c>
      <c r="AB16" s="137" t="str">
        <f t="shared" si="2"/>
        <v/>
      </c>
      <c r="AC16" s="137" t="str">
        <f t="shared" si="2"/>
        <v/>
      </c>
      <c r="AD16" s="137" t="str">
        <f t="shared" si="2"/>
        <v/>
      </c>
      <c r="AE16" s="137" t="str">
        <f t="shared" si="2"/>
        <v/>
      </c>
      <c r="AF16" s="137" t="str">
        <f t="shared" si="2"/>
        <v/>
      </c>
      <c r="AG16" s="171" t="str">
        <f t="shared" si="2"/>
        <v/>
      </c>
    </row>
    <row r="17" spans="2:33" customFormat="1" x14ac:dyDescent="0.25">
      <c r="B17" s="217" t="s">
        <v>310</v>
      </c>
      <c r="C17" s="191"/>
      <c r="D17" s="125"/>
      <c r="E17" s="243"/>
      <c r="F17" s="244"/>
      <c r="G17" s="243"/>
      <c r="H17" s="243"/>
      <c r="I17" s="243"/>
      <c r="J17" s="245"/>
      <c r="K17" s="243"/>
      <c r="L17" s="243"/>
      <c r="M17" s="243"/>
      <c r="N17" s="244"/>
      <c r="O17" s="243"/>
      <c r="P17" s="243"/>
      <c r="Q17" s="246"/>
      <c r="R17" s="243"/>
      <c r="S17" s="243"/>
      <c r="T17" s="244"/>
      <c r="U17" s="243"/>
      <c r="V17" s="243"/>
      <c r="W17" s="244"/>
      <c r="X17" s="245"/>
      <c r="Y17" s="243"/>
      <c r="Z17" s="244"/>
      <c r="AA17" s="243"/>
      <c r="AB17" s="243"/>
      <c r="AC17" s="244"/>
      <c r="AD17" s="243"/>
      <c r="AE17" s="243"/>
      <c r="AF17" s="243"/>
      <c r="AG17" s="245"/>
    </row>
    <row r="18" spans="2:33" customFormat="1" x14ac:dyDescent="0.25">
      <c r="B18" s="217" t="s">
        <v>308</v>
      </c>
      <c r="C18" s="192"/>
      <c r="D18" s="125"/>
      <c r="E18" s="243"/>
      <c r="F18" s="244"/>
      <c r="G18" s="243"/>
      <c r="H18" s="243"/>
      <c r="I18" s="243"/>
      <c r="J18" s="245"/>
      <c r="K18" s="244"/>
      <c r="L18" s="243"/>
      <c r="M18" s="243"/>
      <c r="N18" s="244"/>
      <c r="O18" s="243"/>
      <c r="P18" s="243"/>
      <c r="Q18" s="246"/>
      <c r="R18" s="243"/>
      <c r="S18" s="243"/>
      <c r="T18" s="244"/>
      <c r="U18" s="243"/>
      <c r="V18" s="243"/>
      <c r="W18" s="244"/>
      <c r="X18" s="245"/>
      <c r="Y18" s="243"/>
      <c r="Z18" s="244"/>
      <c r="AA18" s="243"/>
      <c r="AB18" s="243"/>
      <c r="AC18" s="244"/>
      <c r="AD18" s="243"/>
      <c r="AE18" s="243"/>
      <c r="AF18" s="243"/>
      <c r="AG18" s="245"/>
    </row>
    <row r="19" spans="2:33" customFormat="1" x14ac:dyDescent="0.25">
      <c r="B19" s="217" t="s">
        <v>309</v>
      </c>
      <c r="C19" s="192"/>
      <c r="D19" s="125"/>
      <c r="E19" s="243"/>
      <c r="F19" s="244"/>
      <c r="G19" s="243"/>
      <c r="H19" s="243"/>
      <c r="I19" s="243"/>
      <c r="J19" s="245"/>
      <c r="K19" s="244"/>
      <c r="L19" s="243"/>
      <c r="M19" s="243"/>
      <c r="N19" s="244"/>
      <c r="O19" s="243"/>
      <c r="P19" s="243"/>
      <c r="Q19" s="246"/>
      <c r="R19" s="243"/>
      <c r="S19" s="243"/>
      <c r="T19" s="244"/>
      <c r="U19" s="243"/>
      <c r="V19" s="243"/>
      <c r="W19" s="244"/>
      <c r="X19" s="245"/>
      <c r="Y19" s="243"/>
      <c r="Z19" s="244"/>
      <c r="AA19" s="243"/>
      <c r="AB19" s="243"/>
      <c r="AC19" s="244"/>
      <c r="AD19" s="243"/>
      <c r="AE19" s="243"/>
      <c r="AF19" s="243"/>
      <c r="AG19" s="245"/>
    </row>
    <row r="20" spans="2:33" customFormat="1" x14ac:dyDescent="0.25">
      <c r="B20" s="42" t="s">
        <v>221</v>
      </c>
      <c r="C20" s="160"/>
      <c r="D20" s="118"/>
      <c r="E20" s="118"/>
      <c r="F20" s="118"/>
      <c r="G20" s="118"/>
      <c r="H20" s="118"/>
      <c r="I20" s="118"/>
      <c r="J20" s="119"/>
      <c r="K20" s="118"/>
      <c r="L20" s="118"/>
      <c r="M20" s="118"/>
      <c r="N20" s="118"/>
      <c r="O20" s="118"/>
      <c r="P20" s="118"/>
      <c r="Q20" s="119"/>
      <c r="R20" s="118"/>
      <c r="S20" s="118"/>
      <c r="T20" s="118"/>
      <c r="U20" s="118"/>
      <c r="V20" s="118"/>
      <c r="W20" s="118"/>
      <c r="X20" s="119"/>
      <c r="Y20" s="118"/>
      <c r="Z20" s="118"/>
      <c r="AA20" s="118"/>
      <c r="AB20" s="118"/>
      <c r="AC20" s="118"/>
      <c r="AD20" s="118"/>
      <c r="AE20" s="118"/>
      <c r="AF20" s="118"/>
      <c r="AG20" s="119"/>
    </row>
    <row r="21" spans="2:33" customFormat="1" x14ac:dyDescent="0.25">
      <c r="B21" s="218" t="s">
        <v>374</v>
      </c>
      <c r="C21" s="160"/>
      <c r="D21" s="226" t="str">
        <f>IFERROR(((D22+D23)/2*(mfMDDose/mfInfRate)+(D22-D23)/mfKe)*(24/mfMDTau),"")</f>
        <v/>
      </c>
      <c r="E21" s="226" t="str">
        <f t="shared" ref="E21:AG21" si="3">IFERROR(((E22+E23)/2*(E14/mfInfRate)+(E22-E23)/E36)*(24/E15),"")</f>
        <v/>
      </c>
      <c r="F21" s="226" t="str">
        <f t="shared" si="3"/>
        <v/>
      </c>
      <c r="G21" s="226" t="str">
        <f t="shared" si="3"/>
        <v/>
      </c>
      <c r="H21" s="226" t="str">
        <f t="shared" si="3"/>
        <v/>
      </c>
      <c r="I21" s="226" t="str">
        <f t="shared" si="3"/>
        <v/>
      </c>
      <c r="J21" s="227" t="str">
        <f t="shared" si="3"/>
        <v/>
      </c>
      <c r="K21" s="228" t="str">
        <f t="shared" si="3"/>
        <v/>
      </c>
      <c r="L21" s="226" t="str">
        <f t="shared" si="3"/>
        <v/>
      </c>
      <c r="M21" s="226" t="str">
        <f t="shared" si="3"/>
        <v/>
      </c>
      <c r="N21" s="226" t="str">
        <f t="shared" si="3"/>
        <v/>
      </c>
      <c r="O21" s="226" t="str">
        <f t="shared" si="3"/>
        <v/>
      </c>
      <c r="P21" s="226" t="str">
        <f t="shared" si="3"/>
        <v/>
      </c>
      <c r="Q21" s="227" t="str">
        <f t="shared" si="3"/>
        <v/>
      </c>
      <c r="R21" s="228" t="str">
        <f t="shared" si="3"/>
        <v/>
      </c>
      <c r="S21" s="226" t="str">
        <f t="shared" si="3"/>
        <v/>
      </c>
      <c r="T21" s="226" t="str">
        <f t="shared" si="3"/>
        <v/>
      </c>
      <c r="U21" s="226" t="str">
        <f t="shared" si="3"/>
        <v/>
      </c>
      <c r="V21" s="226" t="str">
        <f t="shared" si="3"/>
        <v/>
      </c>
      <c r="W21" s="226" t="str">
        <f t="shared" si="3"/>
        <v/>
      </c>
      <c r="X21" s="227" t="str">
        <f t="shared" si="3"/>
        <v/>
      </c>
      <c r="Y21" s="228" t="str">
        <f t="shared" si="3"/>
        <v/>
      </c>
      <c r="Z21" s="226" t="str">
        <f t="shared" si="3"/>
        <v/>
      </c>
      <c r="AA21" s="226" t="str">
        <f t="shared" si="3"/>
        <v/>
      </c>
      <c r="AB21" s="226" t="str">
        <f t="shared" si="3"/>
        <v/>
      </c>
      <c r="AC21" s="226" t="str">
        <f t="shared" si="3"/>
        <v/>
      </c>
      <c r="AD21" s="226" t="str">
        <f t="shared" si="3"/>
        <v/>
      </c>
      <c r="AE21" s="226" t="str">
        <f t="shared" si="3"/>
        <v/>
      </c>
      <c r="AF21" s="226" t="str">
        <f t="shared" si="3"/>
        <v/>
      </c>
      <c r="AG21" s="227" t="str">
        <f t="shared" si="3"/>
        <v/>
      </c>
    </row>
    <row r="22" spans="2:33" customFormat="1" x14ac:dyDescent="0.25">
      <c r="B22" s="224" t="s">
        <v>360</v>
      </c>
      <c r="C22" s="160"/>
      <c r="D22" s="226" t="str">
        <f>IFERROR((D14/mfVd)/(1-EXP(-D36*mfMDTau)),"")</f>
        <v/>
      </c>
      <c r="E22" s="226" t="str">
        <f t="shared" ref="E22:AG22" si="4">IFERROR((E14/mfVd)/(1-EXP(-E36*E15)),"")</f>
        <v/>
      </c>
      <c r="F22" s="226" t="str">
        <f t="shared" si="4"/>
        <v/>
      </c>
      <c r="G22" s="226" t="str">
        <f t="shared" si="4"/>
        <v/>
      </c>
      <c r="H22" s="226" t="str">
        <f t="shared" si="4"/>
        <v/>
      </c>
      <c r="I22" s="226" t="str">
        <f t="shared" si="4"/>
        <v/>
      </c>
      <c r="J22" s="247" t="str">
        <f t="shared" si="4"/>
        <v/>
      </c>
      <c r="K22" s="228" t="str">
        <f t="shared" si="4"/>
        <v/>
      </c>
      <c r="L22" s="226" t="str">
        <f t="shared" si="4"/>
        <v/>
      </c>
      <c r="M22" s="226" t="str">
        <f t="shared" si="4"/>
        <v/>
      </c>
      <c r="N22" s="226" t="str">
        <f t="shared" si="4"/>
        <v/>
      </c>
      <c r="O22" s="226" t="str">
        <f t="shared" si="4"/>
        <v/>
      </c>
      <c r="P22" s="226" t="str">
        <f t="shared" si="4"/>
        <v/>
      </c>
      <c r="Q22" s="247" t="str">
        <f t="shared" si="4"/>
        <v/>
      </c>
      <c r="R22" s="228" t="str">
        <f t="shared" si="4"/>
        <v/>
      </c>
      <c r="S22" s="226" t="str">
        <f t="shared" si="4"/>
        <v/>
      </c>
      <c r="T22" s="226" t="str">
        <f t="shared" si="4"/>
        <v/>
      </c>
      <c r="U22" s="226" t="str">
        <f t="shared" si="4"/>
        <v/>
      </c>
      <c r="V22" s="226" t="str">
        <f t="shared" si="4"/>
        <v/>
      </c>
      <c r="W22" s="226" t="str">
        <f t="shared" si="4"/>
        <v/>
      </c>
      <c r="X22" s="247" t="str">
        <f t="shared" si="4"/>
        <v/>
      </c>
      <c r="Y22" s="228" t="str">
        <f t="shared" si="4"/>
        <v/>
      </c>
      <c r="Z22" s="226" t="str">
        <f t="shared" si="4"/>
        <v/>
      </c>
      <c r="AA22" s="226" t="str">
        <f t="shared" si="4"/>
        <v/>
      </c>
      <c r="AB22" s="226" t="str">
        <f t="shared" si="4"/>
        <v/>
      </c>
      <c r="AC22" s="226" t="str">
        <f t="shared" si="4"/>
        <v/>
      </c>
      <c r="AD22" s="226" t="str">
        <f t="shared" si="4"/>
        <v/>
      </c>
      <c r="AE22" s="226" t="str">
        <f t="shared" si="4"/>
        <v/>
      </c>
      <c r="AF22" s="226" t="str">
        <f t="shared" si="4"/>
        <v/>
      </c>
      <c r="AG22" s="247" t="str">
        <f t="shared" si="4"/>
        <v/>
      </c>
    </row>
    <row r="23" spans="2:33" customFormat="1" x14ac:dyDescent="0.25">
      <c r="B23" s="224" t="s">
        <v>361</v>
      </c>
      <c r="C23" s="160"/>
      <c r="D23" s="226" t="str">
        <f>IFERROR(D22*(EXP(-mfKe*(mfMDTau-mfMDDose/mfInfRate))),"")</f>
        <v/>
      </c>
      <c r="E23" s="226" t="str">
        <f t="shared" ref="E23:AG23" si="5">IFERROR(E22*(EXP(-mfKe*(E15-E14/mfInfRate))),"")</f>
        <v/>
      </c>
      <c r="F23" s="226" t="str">
        <f t="shared" si="5"/>
        <v/>
      </c>
      <c r="G23" s="226" t="str">
        <f t="shared" si="5"/>
        <v/>
      </c>
      <c r="H23" s="226" t="str">
        <f t="shared" si="5"/>
        <v/>
      </c>
      <c r="I23" s="226" t="str">
        <f t="shared" si="5"/>
        <v/>
      </c>
      <c r="J23" s="247" t="str">
        <f t="shared" si="5"/>
        <v/>
      </c>
      <c r="K23" s="228" t="str">
        <f t="shared" si="5"/>
        <v/>
      </c>
      <c r="L23" s="226" t="str">
        <f t="shared" si="5"/>
        <v/>
      </c>
      <c r="M23" s="226" t="str">
        <f t="shared" si="5"/>
        <v/>
      </c>
      <c r="N23" s="226" t="str">
        <f t="shared" si="5"/>
        <v/>
      </c>
      <c r="O23" s="226" t="str">
        <f t="shared" si="5"/>
        <v/>
      </c>
      <c r="P23" s="226" t="str">
        <f t="shared" si="5"/>
        <v/>
      </c>
      <c r="Q23" s="247" t="str">
        <f t="shared" si="5"/>
        <v/>
      </c>
      <c r="R23" s="228" t="str">
        <f t="shared" si="5"/>
        <v/>
      </c>
      <c r="S23" s="226" t="str">
        <f t="shared" si="5"/>
        <v/>
      </c>
      <c r="T23" s="226" t="str">
        <f t="shared" si="5"/>
        <v/>
      </c>
      <c r="U23" s="226" t="str">
        <f t="shared" si="5"/>
        <v/>
      </c>
      <c r="V23" s="226" t="str">
        <f t="shared" si="5"/>
        <v/>
      </c>
      <c r="W23" s="226" t="str">
        <f t="shared" si="5"/>
        <v/>
      </c>
      <c r="X23" s="247" t="str">
        <f t="shared" si="5"/>
        <v/>
      </c>
      <c r="Y23" s="228" t="str">
        <f t="shared" si="5"/>
        <v/>
      </c>
      <c r="Z23" s="226" t="str">
        <f t="shared" si="5"/>
        <v/>
      </c>
      <c r="AA23" s="226" t="str">
        <f t="shared" si="5"/>
        <v/>
      </c>
      <c r="AB23" s="226" t="str">
        <f t="shared" si="5"/>
        <v/>
      </c>
      <c r="AC23" s="226" t="str">
        <f t="shared" si="5"/>
        <v/>
      </c>
      <c r="AD23" s="226" t="str">
        <f t="shared" si="5"/>
        <v/>
      </c>
      <c r="AE23" s="226" t="str">
        <f t="shared" si="5"/>
        <v/>
      </c>
      <c r="AF23" s="226" t="str">
        <f t="shared" si="5"/>
        <v/>
      </c>
      <c r="AG23" s="247" t="str">
        <f t="shared" si="5"/>
        <v/>
      </c>
    </row>
    <row r="24" spans="2:33" customFormat="1" x14ac:dyDescent="0.25">
      <c r="B24" s="219" t="s">
        <v>222</v>
      </c>
      <c r="C24" s="160"/>
      <c r="D24" s="126"/>
      <c r="E24" s="126"/>
      <c r="F24" s="127"/>
      <c r="G24" s="126"/>
      <c r="H24" s="126"/>
      <c r="I24" s="126"/>
      <c r="J24" s="117"/>
      <c r="K24" s="127"/>
      <c r="L24" s="126"/>
      <c r="M24" s="126"/>
      <c r="N24" s="127"/>
      <c r="O24" s="126"/>
      <c r="P24" s="126"/>
      <c r="Q24" s="172"/>
      <c r="R24" s="126"/>
      <c r="S24" s="126"/>
      <c r="T24" s="127"/>
      <c r="U24" s="126"/>
      <c r="V24" s="126"/>
      <c r="W24" s="127"/>
      <c r="X24" s="128"/>
      <c r="Y24" s="126"/>
      <c r="Z24" s="127"/>
      <c r="AA24" s="126"/>
      <c r="AB24" s="126"/>
      <c r="AC24" s="127"/>
      <c r="AD24" s="126"/>
      <c r="AE24" s="126"/>
      <c r="AF24" s="126"/>
      <c r="AG24" s="128"/>
    </row>
    <row r="25" spans="2:33" customFormat="1" x14ac:dyDescent="0.25">
      <c r="B25" s="42" t="s">
        <v>223</v>
      </c>
      <c r="C25" s="160"/>
      <c r="D25" s="118"/>
      <c r="E25" s="118"/>
      <c r="F25" s="118"/>
      <c r="G25" s="118"/>
      <c r="H25" s="118"/>
      <c r="I25" s="118"/>
      <c r="J25" s="119"/>
      <c r="K25" s="118"/>
      <c r="L25" s="118"/>
      <c r="M25" s="118"/>
      <c r="N25" s="118"/>
      <c r="O25" s="118"/>
      <c r="P25" s="118"/>
      <c r="Q25" s="119"/>
      <c r="R25" s="118"/>
      <c r="S25" s="118"/>
      <c r="T25" s="118"/>
      <c r="U25" s="118"/>
      <c r="V25" s="118"/>
      <c r="W25" s="118"/>
      <c r="X25" s="119"/>
      <c r="Y25" s="118"/>
      <c r="Z25" s="118"/>
      <c r="AA25" s="118"/>
      <c r="AB25" s="118"/>
      <c r="AC25" s="118"/>
      <c r="AD25" s="118"/>
      <c r="AE25" s="118"/>
      <c r="AF25" s="118"/>
      <c r="AG25" s="119"/>
    </row>
    <row r="26" spans="2:33" customFormat="1" x14ac:dyDescent="0.25">
      <c r="B26" s="218" t="s">
        <v>373</v>
      </c>
      <c r="C26" s="160"/>
      <c r="D26" s="115"/>
      <c r="E26" s="115"/>
      <c r="F26" s="116"/>
      <c r="G26" s="115"/>
      <c r="H26" s="115"/>
      <c r="I26" s="115"/>
      <c r="J26" s="117"/>
      <c r="K26" s="116"/>
      <c r="L26" s="115"/>
      <c r="M26" s="115"/>
      <c r="N26" s="116"/>
      <c r="O26" s="115"/>
      <c r="P26" s="115"/>
      <c r="Q26" s="173"/>
      <c r="R26" s="115"/>
      <c r="S26" s="115"/>
      <c r="T26" s="116"/>
      <c r="U26" s="115"/>
      <c r="V26" s="115"/>
      <c r="W26" s="116"/>
      <c r="X26" s="117"/>
      <c r="Y26" s="115"/>
      <c r="Z26" s="116"/>
      <c r="AA26" s="115"/>
      <c r="AB26" s="115"/>
      <c r="AC26" s="116"/>
      <c r="AD26" s="115"/>
      <c r="AE26" s="115"/>
      <c r="AF26" s="115"/>
      <c r="AG26" s="117"/>
    </row>
    <row r="27" spans="2:33" customFormat="1" x14ac:dyDescent="0.25">
      <c r="B27" s="219" t="s">
        <v>372</v>
      </c>
      <c r="C27" s="160"/>
      <c r="D27" s="120"/>
      <c r="E27" s="120"/>
      <c r="F27" s="121"/>
      <c r="G27" s="120"/>
      <c r="H27" s="120"/>
      <c r="I27" s="120"/>
      <c r="J27" s="122"/>
      <c r="K27" s="121"/>
      <c r="L27" s="120"/>
      <c r="M27" s="120"/>
      <c r="N27" s="121"/>
      <c r="O27" s="120"/>
      <c r="P27" s="120"/>
      <c r="Q27" s="174"/>
      <c r="R27" s="120"/>
      <c r="S27" s="120"/>
      <c r="T27" s="121"/>
      <c r="U27" s="120"/>
      <c r="V27" s="120"/>
      <c r="W27" s="121"/>
      <c r="X27" s="122"/>
      <c r="Y27" s="120"/>
      <c r="Z27" s="121"/>
      <c r="AA27" s="120"/>
      <c r="AB27" s="120"/>
      <c r="AC27" s="121"/>
      <c r="AD27" s="120"/>
      <c r="AE27" s="120"/>
      <c r="AF27" s="120"/>
      <c r="AG27" s="122"/>
    </row>
    <row r="28" spans="2:33" customFormat="1" x14ac:dyDescent="0.25">
      <c r="B28" s="218" t="s">
        <v>371</v>
      </c>
      <c r="C28" s="160"/>
      <c r="D28" s="120"/>
      <c r="E28" s="120"/>
      <c r="F28" s="121"/>
      <c r="G28" s="120"/>
      <c r="H28" s="120"/>
      <c r="I28" s="120"/>
      <c r="J28" s="122"/>
      <c r="K28" s="121"/>
      <c r="L28" s="120"/>
      <c r="M28" s="120"/>
      <c r="N28" s="121"/>
      <c r="O28" s="120"/>
      <c r="P28" s="120"/>
      <c r="Q28" s="174"/>
      <c r="R28" s="120"/>
      <c r="S28" s="120"/>
      <c r="T28" s="121"/>
      <c r="U28" s="120"/>
      <c r="V28" s="120"/>
      <c r="W28" s="121"/>
      <c r="X28" s="122"/>
      <c r="Y28" s="120"/>
      <c r="Z28" s="121"/>
      <c r="AA28" s="120"/>
      <c r="AB28" s="120"/>
      <c r="AC28" s="121"/>
      <c r="AD28" s="120"/>
      <c r="AE28" s="120"/>
      <c r="AF28" s="120"/>
      <c r="AG28" s="122"/>
    </row>
    <row r="29" spans="2:33" customFormat="1" x14ac:dyDescent="0.25">
      <c r="B29" s="219" t="s">
        <v>370</v>
      </c>
      <c r="C29" s="160"/>
      <c r="D29" s="120"/>
      <c r="E29" s="120"/>
      <c r="F29" s="121"/>
      <c r="G29" s="120"/>
      <c r="H29" s="120"/>
      <c r="I29" s="120"/>
      <c r="J29" s="122"/>
      <c r="K29" s="121"/>
      <c r="L29" s="120"/>
      <c r="M29" s="120"/>
      <c r="N29" s="121"/>
      <c r="O29" s="120"/>
      <c r="P29" s="120"/>
      <c r="Q29" s="174"/>
      <c r="R29" s="120"/>
      <c r="S29" s="120"/>
      <c r="T29" s="121"/>
      <c r="U29" s="120"/>
      <c r="V29" s="120"/>
      <c r="W29" s="121"/>
      <c r="X29" s="122"/>
      <c r="Y29" s="120"/>
      <c r="Z29" s="121"/>
      <c r="AA29" s="120"/>
      <c r="AB29" s="120"/>
      <c r="AC29" s="121"/>
      <c r="AD29" s="120"/>
      <c r="AE29" s="120"/>
      <c r="AF29" s="120"/>
      <c r="AG29" s="122"/>
    </row>
    <row r="30" spans="2:33" customFormat="1" x14ac:dyDescent="0.25">
      <c r="B30" s="42" t="s">
        <v>135</v>
      </c>
      <c r="C30" s="160"/>
      <c r="D30" s="118"/>
      <c r="E30" s="118"/>
      <c r="F30" s="118"/>
      <c r="G30" s="118"/>
      <c r="H30" s="118"/>
      <c r="I30" s="118"/>
      <c r="J30" s="119"/>
      <c r="K30" s="118"/>
      <c r="L30" s="118"/>
      <c r="M30" s="118"/>
      <c r="N30" s="118"/>
      <c r="O30" s="118"/>
      <c r="P30" s="118"/>
      <c r="Q30" s="119"/>
      <c r="R30" s="118"/>
      <c r="S30" s="118"/>
      <c r="T30" s="118"/>
      <c r="U30" s="118"/>
      <c r="V30" s="118"/>
      <c r="W30" s="118"/>
      <c r="X30" s="119"/>
      <c r="Y30" s="118"/>
      <c r="Z30" s="118"/>
      <c r="AA30" s="118"/>
      <c r="AB30" s="118"/>
      <c r="AC30" s="118"/>
      <c r="AD30" s="118"/>
      <c r="AE30" s="118"/>
      <c r="AF30" s="118"/>
      <c r="AG30" s="119"/>
    </row>
    <row r="31" spans="2:33" customFormat="1" x14ac:dyDescent="0.25">
      <c r="B31" s="220" t="s">
        <v>366</v>
      </c>
      <c r="C31" s="160"/>
      <c r="D31" s="235" t="str">
        <f>IF(mfSCr&lt;&gt;"",mfSCr,"")</f>
        <v/>
      </c>
      <c r="E31" s="177"/>
      <c r="F31" s="177"/>
      <c r="G31" s="177"/>
      <c r="H31" s="177"/>
      <c r="I31" s="177"/>
      <c r="J31" s="178"/>
      <c r="K31" s="179"/>
      <c r="L31" s="177"/>
      <c r="M31" s="177"/>
      <c r="N31" s="177"/>
      <c r="O31" s="177"/>
      <c r="P31" s="177"/>
      <c r="Q31" s="180"/>
      <c r="R31" s="179"/>
      <c r="S31" s="177"/>
      <c r="T31" s="177"/>
      <c r="U31" s="177"/>
      <c r="V31" s="177"/>
      <c r="W31" s="177"/>
      <c r="X31" s="180"/>
      <c r="Y31" s="179"/>
      <c r="Z31" s="177"/>
      <c r="AA31" s="177"/>
      <c r="AB31" s="177"/>
      <c r="AC31" s="177"/>
      <c r="AD31" s="177"/>
      <c r="AE31" s="177"/>
      <c r="AF31" s="177"/>
      <c r="AG31" s="180"/>
    </row>
    <row r="32" spans="2:33" customFormat="1" x14ac:dyDescent="0.25">
      <c r="B32" s="220" t="s">
        <v>380</v>
      </c>
      <c r="C32" s="160"/>
      <c r="D32" s="235" t="str">
        <f>IF(mfManualSCr&lt;&gt;0,mfManualSCr,"")</f>
        <v/>
      </c>
      <c r="E32" s="229"/>
      <c r="F32" s="229"/>
      <c r="G32" s="229"/>
      <c r="H32" s="229"/>
      <c r="I32" s="229"/>
      <c r="J32" s="230"/>
      <c r="K32" s="231"/>
      <c r="L32" s="229"/>
      <c r="M32" s="229"/>
      <c r="N32" s="229"/>
      <c r="O32" s="229"/>
      <c r="P32" s="229"/>
      <c r="Q32" s="232"/>
      <c r="R32" s="231"/>
      <c r="S32" s="229"/>
      <c r="T32" s="229"/>
      <c r="U32" s="229"/>
      <c r="V32" s="229"/>
      <c r="W32" s="229"/>
      <c r="X32" s="232"/>
      <c r="Y32" s="231"/>
      <c r="Z32" s="229"/>
      <c r="AA32" s="229"/>
      <c r="AB32" s="229"/>
      <c r="AC32" s="229"/>
      <c r="AD32" s="229"/>
      <c r="AE32" s="229"/>
      <c r="AF32" s="229"/>
      <c r="AG32" s="232"/>
    </row>
    <row r="33" spans="2:33" customFormat="1" x14ac:dyDescent="0.25">
      <c r="B33" s="138" t="s">
        <v>364</v>
      </c>
      <c r="C33" s="160"/>
      <c r="D33" s="181" t="str">
        <f t="shared" ref="D33:AG33" si="6">IF(AND(mfGender&lt;&gt;"",mfAge&lt;&gt;"",mfWtUsed&lt;&gt;"",D31&lt;&gt;""),(140-mfAge)*mfWtUsed/(D31*72)*IF(mfGender="M",1,0.85),"")</f>
        <v/>
      </c>
      <c r="E33" s="181" t="str">
        <f t="shared" si="6"/>
        <v/>
      </c>
      <c r="F33" s="181" t="str">
        <f t="shared" si="6"/>
        <v/>
      </c>
      <c r="G33" s="181" t="str">
        <f t="shared" si="6"/>
        <v/>
      </c>
      <c r="H33" s="181" t="str">
        <f t="shared" si="6"/>
        <v/>
      </c>
      <c r="I33" s="181" t="str">
        <f t="shared" si="6"/>
        <v/>
      </c>
      <c r="J33" s="182" t="str">
        <f t="shared" si="6"/>
        <v/>
      </c>
      <c r="K33" s="183" t="str">
        <f t="shared" si="6"/>
        <v/>
      </c>
      <c r="L33" s="181" t="str">
        <f t="shared" si="6"/>
        <v/>
      </c>
      <c r="M33" s="181" t="str">
        <f t="shared" si="6"/>
        <v/>
      </c>
      <c r="N33" s="181" t="str">
        <f t="shared" si="6"/>
        <v/>
      </c>
      <c r="O33" s="181" t="str">
        <f t="shared" si="6"/>
        <v/>
      </c>
      <c r="P33" s="181" t="str">
        <f t="shared" si="6"/>
        <v/>
      </c>
      <c r="Q33" s="182" t="str">
        <f t="shared" si="6"/>
        <v/>
      </c>
      <c r="R33" s="183" t="str">
        <f t="shared" si="6"/>
        <v/>
      </c>
      <c r="S33" s="181" t="str">
        <f t="shared" si="6"/>
        <v/>
      </c>
      <c r="T33" s="181" t="str">
        <f t="shared" si="6"/>
        <v/>
      </c>
      <c r="U33" s="181" t="str">
        <f t="shared" si="6"/>
        <v/>
      </c>
      <c r="V33" s="181" t="str">
        <f t="shared" si="6"/>
        <v/>
      </c>
      <c r="W33" s="181" t="str">
        <f t="shared" si="6"/>
        <v/>
      </c>
      <c r="X33" s="182" t="str">
        <f t="shared" si="6"/>
        <v/>
      </c>
      <c r="Y33" s="183" t="str">
        <f t="shared" si="6"/>
        <v/>
      </c>
      <c r="Z33" s="181" t="str">
        <f t="shared" si="6"/>
        <v/>
      </c>
      <c r="AA33" s="181" t="str">
        <f t="shared" si="6"/>
        <v/>
      </c>
      <c r="AB33" s="181" t="str">
        <f t="shared" si="6"/>
        <v/>
      </c>
      <c r="AC33" s="181" t="str">
        <f t="shared" si="6"/>
        <v/>
      </c>
      <c r="AD33" s="181" t="str">
        <f t="shared" si="6"/>
        <v/>
      </c>
      <c r="AE33" s="181" t="str">
        <f t="shared" si="6"/>
        <v/>
      </c>
      <c r="AF33" s="181" t="str">
        <f t="shared" si="6"/>
        <v/>
      </c>
      <c r="AG33" s="182" t="str">
        <f t="shared" si="6"/>
        <v/>
      </c>
    </row>
    <row r="34" spans="2:33" customFormat="1" x14ac:dyDescent="0.25">
      <c r="B34" s="138" t="s">
        <v>379</v>
      </c>
      <c r="C34" s="160"/>
      <c r="D34" s="235" t="str">
        <f>IF(mfManualCrCl&lt;&gt;"",mfManualCrCl,"")</f>
        <v/>
      </c>
      <c r="E34" s="229"/>
      <c r="F34" s="229"/>
      <c r="G34" s="229"/>
      <c r="H34" s="229"/>
      <c r="I34" s="229"/>
      <c r="J34" s="249"/>
      <c r="K34" s="233"/>
      <c r="L34" s="229"/>
      <c r="M34" s="229"/>
      <c r="N34" s="229"/>
      <c r="O34" s="229"/>
      <c r="P34" s="229"/>
      <c r="Q34" s="249"/>
      <c r="R34" s="233"/>
      <c r="S34" s="229"/>
      <c r="T34" s="229"/>
      <c r="U34" s="229"/>
      <c r="V34" s="229"/>
      <c r="W34" s="229"/>
      <c r="X34" s="249"/>
      <c r="Y34" s="233"/>
      <c r="Z34" s="229"/>
      <c r="AA34" s="229"/>
      <c r="AB34" s="229"/>
      <c r="AC34" s="229"/>
      <c r="AD34" s="229"/>
      <c r="AE34" s="229"/>
      <c r="AF34" s="229"/>
      <c r="AG34" s="249"/>
    </row>
    <row r="35" spans="2:33" customFormat="1" x14ac:dyDescent="0.25">
      <c r="B35" s="138" t="s">
        <v>378</v>
      </c>
      <c r="C35" s="160"/>
      <c r="D35" s="236" t="str">
        <f>IF(mfPKEqn="Matzke",IF(OR(D34&lt;&gt;"",D33&lt;&gt;""),IF(D34&lt;&gt;"",((D34*0.689)+3.66)*0.06,IF(D33&lt;&gt;"",((D33*0.689)+3.66)*0.06,"")),""),IF(mfPKEqn="Crass",IF(AND(mfAge&lt;&gt;"",OR(mfSCr2&lt;&gt;"",D32&lt;&gt;""),mfGender&lt;&gt;"",mfWt&lt;&gt;""),9.656-0.078*mfAge-2.009*IF(D32&lt;&gt;"",D32,D31)+1.09*IF(mfGender="M",1,0)+0.04*POWER(mfWt,0.75),""),""))</f>
        <v/>
      </c>
      <c r="E35" s="237" t="str">
        <f t="shared" ref="E35:AG35" si="7">IF(mfPKEqn="Matzke",IF(OR(E34&lt;&gt;"",E33&lt;&gt;""),IF(E34&lt;&gt;"",((E34*0.689)+3.66)*0.06,IF(E33&lt;&gt;"",((E33*0.689)+3.66)*0.06,"")),""),IF(mfPKEqn="Crass",IF(AND(mfAge&lt;&gt;"",OR(E31&lt;&gt;"",E32&lt;&gt;""),mfGender&lt;&gt;"",mfWt&lt;&gt;""),9.656-0.078*mfAge-2.009*IF(E32&lt;&gt;"",E32,E31)+1.09*IF(mfGender="M",1,0)+0.04*POWER(mfWt,0.75),""),""))</f>
        <v/>
      </c>
      <c r="F35" s="237" t="str">
        <f t="shared" si="7"/>
        <v/>
      </c>
      <c r="G35" s="237" t="str">
        <f t="shared" si="7"/>
        <v/>
      </c>
      <c r="H35" s="237" t="str">
        <f t="shared" si="7"/>
        <v/>
      </c>
      <c r="I35" s="237" t="str">
        <f t="shared" si="7"/>
        <v/>
      </c>
      <c r="J35" s="250" t="str">
        <f t="shared" si="7"/>
        <v/>
      </c>
      <c r="K35" s="237" t="str">
        <f t="shared" si="7"/>
        <v/>
      </c>
      <c r="L35" s="237" t="str">
        <f t="shared" si="7"/>
        <v/>
      </c>
      <c r="M35" s="237" t="str">
        <f t="shared" si="7"/>
        <v/>
      </c>
      <c r="N35" s="237" t="str">
        <f t="shared" si="7"/>
        <v/>
      </c>
      <c r="O35" s="237" t="str">
        <f t="shared" si="7"/>
        <v/>
      </c>
      <c r="P35" s="237" t="str">
        <f t="shared" si="7"/>
        <v/>
      </c>
      <c r="Q35" s="250" t="str">
        <f t="shared" si="7"/>
        <v/>
      </c>
      <c r="R35" s="237" t="str">
        <f t="shared" si="7"/>
        <v/>
      </c>
      <c r="S35" s="237" t="str">
        <f t="shared" si="7"/>
        <v/>
      </c>
      <c r="T35" s="237" t="str">
        <f t="shared" si="7"/>
        <v/>
      </c>
      <c r="U35" s="237" t="str">
        <f t="shared" si="7"/>
        <v/>
      </c>
      <c r="V35" s="237" t="str">
        <f t="shared" si="7"/>
        <v/>
      </c>
      <c r="W35" s="237" t="str">
        <f t="shared" si="7"/>
        <v/>
      </c>
      <c r="X35" s="250" t="str">
        <f t="shared" si="7"/>
        <v/>
      </c>
      <c r="Y35" s="237" t="str">
        <f t="shared" si="7"/>
        <v/>
      </c>
      <c r="Z35" s="237" t="str">
        <f t="shared" si="7"/>
        <v/>
      </c>
      <c r="AA35" s="237" t="str">
        <f t="shared" si="7"/>
        <v/>
      </c>
      <c r="AB35" s="237" t="str">
        <f t="shared" si="7"/>
        <v/>
      </c>
      <c r="AC35" s="237" t="str">
        <f t="shared" si="7"/>
        <v/>
      </c>
      <c r="AD35" s="237" t="str">
        <f t="shared" si="7"/>
        <v/>
      </c>
      <c r="AE35" s="237" t="str">
        <f t="shared" si="7"/>
        <v/>
      </c>
      <c r="AF35" s="237" t="str">
        <f t="shared" si="7"/>
        <v/>
      </c>
      <c r="AG35" s="250" t="str">
        <f t="shared" si="7"/>
        <v/>
      </c>
    </row>
    <row r="36" spans="2:33" customFormat="1" x14ac:dyDescent="0.25">
      <c r="B36" s="138" t="s">
        <v>150</v>
      </c>
      <c r="C36" s="160"/>
      <c r="D36" s="234" t="str">
        <f t="shared" ref="D36:AG36" si="8">IF(AND(D35&lt;&gt;"",mfVd&lt;&gt;""),D35/mfVd,"")</f>
        <v/>
      </c>
      <c r="E36" s="234" t="str">
        <f t="shared" si="8"/>
        <v/>
      </c>
      <c r="F36" s="234" t="str">
        <f t="shared" si="8"/>
        <v/>
      </c>
      <c r="G36" s="234" t="str">
        <f t="shared" si="8"/>
        <v/>
      </c>
      <c r="H36" s="234" t="str">
        <f t="shared" si="8"/>
        <v/>
      </c>
      <c r="I36" s="234" t="str">
        <f t="shared" si="8"/>
        <v/>
      </c>
      <c r="J36" s="251" t="str">
        <f t="shared" si="8"/>
        <v/>
      </c>
      <c r="K36" s="238" t="str">
        <f t="shared" si="8"/>
        <v/>
      </c>
      <c r="L36" s="234" t="str">
        <f t="shared" si="8"/>
        <v/>
      </c>
      <c r="M36" s="234" t="str">
        <f t="shared" si="8"/>
        <v/>
      </c>
      <c r="N36" s="234" t="str">
        <f t="shared" si="8"/>
        <v/>
      </c>
      <c r="O36" s="234" t="str">
        <f t="shared" si="8"/>
        <v/>
      </c>
      <c r="P36" s="234" t="str">
        <f t="shared" si="8"/>
        <v/>
      </c>
      <c r="Q36" s="252" t="str">
        <f t="shared" si="8"/>
        <v/>
      </c>
      <c r="R36" s="238" t="str">
        <f t="shared" si="8"/>
        <v/>
      </c>
      <c r="S36" s="234" t="str">
        <f t="shared" si="8"/>
        <v/>
      </c>
      <c r="T36" s="234" t="str">
        <f t="shared" si="8"/>
        <v/>
      </c>
      <c r="U36" s="234" t="str">
        <f t="shared" si="8"/>
        <v/>
      </c>
      <c r="V36" s="234" t="str">
        <f t="shared" si="8"/>
        <v/>
      </c>
      <c r="W36" s="234" t="str">
        <f t="shared" si="8"/>
        <v/>
      </c>
      <c r="X36" s="252" t="str">
        <f t="shared" si="8"/>
        <v/>
      </c>
      <c r="Y36" s="238" t="str">
        <f t="shared" si="8"/>
        <v/>
      </c>
      <c r="Z36" s="234" t="str">
        <f t="shared" si="8"/>
        <v/>
      </c>
      <c r="AA36" s="234" t="str">
        <f t="shared" si="8"/>
        <v/>
      </c>
      <c r="AB36" s="234" t="str">
        <f t="shared" si="8"/>
        <v/>
      </c>
      <c r="AC36" s="234" t="str">
        <f t="shared" si="8"/>
        <v/>
      </c>
      <c r="AD36" s="234" t="str">
        <f t="shared" si="8"/>
        <v/>
      </c>
      <c r="AE36" s="234" t="str">
        <f t="shared" si="8"/>
        <v/>
      </c>
      <c r="AF36" s="234" t="str">
        <f t="shared" si="8"/>
        <v/>
      </c>
      <c r="AG36" s="251" t="str">
        <f t="shared" si="8"/>
        <v/>
      </c>
    </row>
    <row r="37" spans="2:33" customFormat="1" x14ac:dyDescent="0.25">
      <c r="B37" s="138" t="s">
        <v>365</v>
      </c>
      <c r="C37" s="160"/>
      <c r="D37" s="123"/>
      <c r="E37" s="123"/>
      <c r="F37" s="124"/>
      <c r="G37" s="124"/>
      <c r="H37" s="124"/>
      <c r="I37" s="124"/>
      <c r="J37" s="129"/>
      <c r="K37" s="124"/>
      <c r="L37" s="124"/>
      <c r="M37" s="124"/>
      <c r="N37" s="124"/>
      <c r="O37" s="124"/>
      <c r="P37" s="124"/>
      <c r="Q37" s="129"/>
      <c r="R37" s="123"/>
      <c r="S37" s="124"/>
      <c r="T37" s="124"/>
      <c r="U37" s="124"/>
      <c r="V37" s="124"/>
      <c r="W37" s="124"/>
      <c r="X37" s="129"/>
      <c r="Y37" s="123"/>
      <c r="Z37" s="124"/>
      <c r="AA37" s="124"/>
      <c r="AB37" s="124"/>
      <c r="AC37" s="124"/>
      <c r="AD37" s="124"/>
      <c r="AE37" s="124"/>
      <c r="AF37" s="124"/>
      <c r="AG37" s="129"/>
    </row>
    <row r="38" spans="2:33" customFormat="1" x14ac:dyDescent="0.25">
      <c r="B38" s="138" t="s">
        <v>367</v>
      </c>
      <c r="C38" s="160"/>
      <c r="D38" s="123"/>
      <c r="E38" s="123"/>
      <c r="F38" s="124"/>
      <c r="G38" s="124"/>
      <c r="H38" s="124"/>
      <c r="I38" s="124"/>
      <c r="J38" s="129"/>
      <c r="K38" s="124"/>
      <c r="L38" s="124"/>
      <c r="M38" s="124"/>
      <c r="N38" s="124"/>
      <c r="O38" s="124"/>
      <c r="P38" s="124"/>
      <c r="Q38" s="129"/>
      <c r="R38" s="123"/>
      <c r="S38" s="124"/>
      <c r="T38" s="124"/>
      <c r="U38" s="124"/>
      <c r="V38" s="124"/>
      <c r="W38" s="124"/>
      <c r="X38" s="129"/>
      <c r="Y38" s="123"/>
      <c r="Z38" s="124"/>
      <c r="AA38" s="124"/>
      <c r="AB38" s="124"/>
      <c r="AC38" s="124"/>
      <c r="AD38" s="124"/>
      <c r="AE38" s="124"/>
      <c r="AF38" s="124"/>
      <c r="AG38" s="129"/>
    </row>
    <row r="39" spans="2:33" customFormat="1" x14ac:dyDescent="0.25">
      <c r="B39" s="221" t="s">
        <v>368</v>
      </c>
      <c r="C39" s="160"/>
      <c r="D39" s="130"/>
      <c r="E39" s="130"/>
      <c r="F39" s="131"/>
      <c r="G39" s="131"/>
      <c r="H39" s="131"/>
      <c r="I39" s="131"/>
      <c r="J39" s="132"/>
      <c r="K39" s="131"/>
      <c r="L39" s="131"/>
      <c r="M39" s="131"/>
      <c r="N39" s="131"/>
      <c r="O39" s="131"/>
      <c r="P39" s="131"/>
      <c r="Q39" s="132"/>
      <c r="R39" s="130"/>
      <c r="S39" s="131"/>
      <c r="T39" s="131"/>
      <c r="U39" s="131"/>
      <c r="V39" s="131"/>
      <c r="W39" s="131"/>
      <c r="X39" s="132"/>
      <c r="Y39" s="130"/>
      <c r="Z39" s="131"/>
      <c r="AA39" s="131"/>
      <c r="AB39" s="131"/>
      <c r="AC39" s="131"/>
      <c r="AD39" s="131"/>
      <c r="AE39" s="131"/>
      <c r="AF39" s="131"/>
      <c r="AG39" s="132"/>
    </row>
    <row r="40" spans="2:33" customFormat="1" x14ac:dyDescent="0.25">
      <c r="B40" s="221" t="s">
        <v>369</v>
      </c>
      <c r="C40" s="160"/>
      <c r="D40" s="130"/>
      <c r="E40" s="130"/>
      <c r="F40" s="131"/>
      <c r="G40" s="131"/>
      <c r="H40" s="131"/>
      <c r="I40" s="131"/>
      <c r="J40" s="132"/>
      <c r="K40" s="131"/>
      <c r="L40" s="131"/>
      <c r="M40" s="131"/>
      <c r="N40" s="131"/>
      <c r="O40" s="131"/>
      <c r="P40" s="131"/>
      <c r="Q40" s="132"/>
      <c r="R40" s="130"/>
      <c r="S40" s="131"/>
      <c r="T40" s="131"/>
      <c r="U40" s="131"/>
      <c r="V40" s="131"/>
      <c r="W40" s="131"/>
      <c r="X40" s="132"/>
      <c r="Y40" s="130"/>
      <c r="Z40" s="131"/>
      <c r="AA40" s="131"/>
      <c r="AB40" s="131"/>
      <c r="AC40" s="131"/>
      <c r="AD40" s="131"/>
      <c r="AE40" s="131"/>
      <c r="AF40" s="131"/>
      <c r="AG40" s="132"/>
    </row>
    <row r="41" spans="2:33" customFormat="1" ht="34.5" customHeight="1" x14ac:dyDescent="0.25">
      <c r="B41" s="218" t="s">
        <v>137</v>
      </c>
      <c r="C41" s="160"/>
      <c r="D41" s="43"/>
      <c r="E41" s="43"/>
      <c r="F41" s="43"/>
      <c r="G41" s="43"/>
      <c r="H41" s="43"/>
      <c r="I41" s="43"/>
      <c r="J41" s="41"/>
      <c r="K41" s="43"/>
      <c r="L41" s="43"/>
      <c r="M41" s="43"/>
      <c r="N41" s="43"/>
      <c r="O41" s="43"/>
      <c r="P41" s="43"/>
      <c r="Q41" s="41"/>
      <c r="R41" s="43"/>
      <c r="S41" s="43"/>
      <c r="T41" s="43"/>
      <c r="U41" s="43"/>
      <c r="V41" s="43"/>
      <c r="W41" s="43"/>
      <c r="X41" s="41"/>
      <c r="Y41" s="43"/>
      <c r="Z41" s="43"/>
      <c r="AA41" s="43"/>
      <c r="AB41" s="43"/>
      <c r="AC41" s="43"/>
      <c r="AD41" s="43"/>
      <c r="AE41" s="43"/>
      <c r="AF41" s="43"/>
      <c r="AG41" s="41"/>
    </row>
    <row r="42" spans="2:33" customFormat="1" ht="57.75" customHeight="1" x14ac:dyDescent="0.25">
      <c r="B42" s="218" t="s">
        <v>134</v>
      </c>
      <c r="C42" s="160"/>
      <c r="D42" s="264" t="s">
        <v>133</v>
      </c>
      <c r="E42" s="265"/>
      <c r="F42" s="265"/>
      <c r="G42" s="265"/>
      <c r="H42" s="265"/>
      <c r="I42" s="265"/>
      <c r="J42" s="266"/>
      <c r="Q42" s="175"/>
      <c r="X42" s="175"/>
      <c r="AG42" s="175"/>
    </row>
    <row r="43" spans="2:33" customFormat="1" ht="57.75" customHeight="1" thickBot="1" x14ac:dyDescent="0.3">
      <c r="B43" s="222" t="s">
        <v>132</v>
      </c>
      <c r="C43" s="161"/>
      <c r="D43" s="159"/>
      <c r="E43" s="33" t="s">
        <v>131</v>
      </c>
      <c r="F43" s="32" t="s">
        <v>130</v>
      </c>
      <c r="G43" s="44"/>
      <c r="H43" s="44"/>
      <c r="I43" s="44"/>
      <c r="J43" s="45"/>
      <c r="Q43" s="176"/>
      <c r="X43" s="176"/>
      <c r="AG43" s="176"/>
    </row>
    <row r="44" spans="2:33" customFormat="1" ht="16.5" thickTop="1" thickBot="1" x14ac:dyDescent="0.3">
      <c r="B44" s="40"/>
      <c r="C44" s="139"/>
      <c r="D44" s="46"/>
      <c r="E44" s="46"/>
      <c r="F44" s="46"/>
      <c r="G44" s="46"/>
      <c r="H44" s="46"/>
      <c r="I44" s="46"/>
      <c r="J44" s="47"/>
      <c r="K44" s="46"/>
      <c r="L44" s="46"/>
      <c r="M44" s="46"/>
      <c r="N44" s="46"/>
      <c r="O44" s="46"/>
      <c r="P44" s="46"/>
      <c r="Q44" s="47"/>
      <c r="R44" s="46"/>
      <c r="S44" s="46"/>
      <c r="T44" s="46"/>
      <c r="U44" s="46"/>
      <c r="V44" s="46"/>
      <c r="W44" s="46"/>
      <c r="X44" s="47"/>
      <c r="Y44" s="46"/>
      <c r="Z44" s="46"/>
      <c r="AA44" s="46"/>
      <c r="AB44" s="46"/>
      <c r="AC44" s="46"/>
      <c r="AD44" s="46"/>
      <c r="AE44" s="46"/>
      <c r="AF44" s="46"/>
      <c r="AG44" s="47"/>
    </row>
    <row r="45" spans="2:33" customFormat="1" ht="20.100000000000001" customHeight="1" thickTop="1" x14ac:dyDescent="0.25">
      <c r="B45" s="223" t="s">
        <v>129</v>
      </c>
      <c r="C45" s="140"/>
      <c r="D45" s="48"/>
      <c r="E45" s="48"/>
      <c r="F45" s="48"/>
      <c r="G45" s="48"/>
      <c r="H45" s="48"/>
      <c r="I45" s="48"/>
      <c r="J45" s="50"/>
      <c r="K45" s="48"/>
      <c r="L45" s="48"/>
      <c r="M45" s="48"/>
      <c r="N45" s="48"/>
      <c r="O45" s="48"/>
      <c r="P45" s="48"/>
      <c r="Q45" s="50"/>
      <c r="R45" s="48"/>
      <c r="S45" s="48"/>
      <c r="T45" s="48"/>
      <c r="U45" s="48"/>
      <c r="V45" s="48"/>
      <c r="W45" s="48"/>
      <c r="X45" s="50"/>
      <c r="Y45" s="48"/>
      <c r="Z45" s="48"/>
      <c r="AA45" s="48"/>
      <c r="AB45" s="48"/>
      <c r="AC45" s="48"/>
      <c r="AD45" s="48"/>
      <c r="AE45" s="48"/>
      <c r="AF45" s="48"/>
      <c r="AG45" s="50"/>
    </row>
    <row r="46" spans="2:33" customFormat="1" ht="20.100000000000001" customHeight="1" x14ac:dyDescent="0.25">
      <c r="B46" s="51"/>
      <c r="C46" s="141"/>
      <c r="D46" s="52"/>
      <c r="E46" s="52"/>
      <c r="F46" s="52"/>
      <c r="G46" s="52"/>
      <c r="H46" s="52"/>
      <c r="I46" s="52"/>
      <c r="J46" s="53"/>
      <c r="K46" s="52"/>
      <c r="L46" s="52"/>
      <c r="M46" s="52"/>
      <c r="N46" s="52"/>
      <c r="O46" s="52"/>
      <c r="P46" s="52"/>
      <c r="Q46" s="53"/>
      <c r="R46" s="52"/>
      <c r="S46" s="52"/>
      <c r="T46" s="52"/>
      <c r="U46" s="52"/>
      <c r="V46" s="52"/>
      <c r="W46" s="52"/>
      <c r="X46" s="53"/>
      <c r="Y46" s="52"/>
      <c r="Z46" s="52"/>
      <c r="AA46" s="52"/>
      <c r="AB46" s="52"/>
      <c r="AC46" s="52"/>
      <c r="AD46" s="52"/>
      <c r="AE46" s="52"/>
      <c r="AF46" s="52"/>
      <c r="AG46" s="53"/>
    </row>
    <row r="47" spans="2:33" customFormat="1" ht="20.100000000000001" customHeight="1" x14ac:dyDescent="0.25">
      <c r="B47" s="51"/>
      <c r="C47" s="141"/>
      <c r="D47" s="52"/>
      <c r="E47" s="52"/>
      <c r="F47" s="52"/>
      <c r="G47" s="52"/>
      <c r="H47" s="52"/>
      <c r="I47" s="52"/>
      <c r="J47" s="53"/>
      <c r="K47" s="52"/>
      <c r="L47" s="52"/>
      <c r="M47" s="52"/>
      <c r="N47" s="52"/>
      <c r="O47" s="52"/>
      <c r="P47" s="52"/>
      <c r="Q47" s="53"/>
      <c r="R47" s="52"/>
      <c r="S47" s="52"/>
      <c r="T47" s="52"/>
      <c r="U47" s="52"/>
      <c r="V47" s="52"/>
      <c r="W47" s="52"/>
      <c r="X47" s="53"/>
      <c r="Y47" s="52"/>
      <c r="Z47" s="52"/>
      <c r="AA47" s="52"/>
      <c r="AB47" s="52"/>
      <c r="AC47" s="52"/>
      <c r="AD47" s="52"/>
      <c r="AE47" s="52"/>
      <c r="AF47" s="52"/>
      <c r="AG47" s="53"/>
    </row>
    <row r="48" spans="2:33" customFormat="1" ht="20.100000000000001" customHeight="1" x14ac:dyDescent="0.25">
      <c r="B48" s="51"/>
      <c r="C48" s="141"/>
      <c r="D48" s="52"/>
      <c r="E48" s="54"/>
      <c r="F48" s="55"/>
      <c r="G48" s="55"/>
      <c r="H48" s="49"/>
      <c r="I48" s="49"/>
      <c r="J48" s="53"/>
      <c r="K48" s="49"/>
      <c r="L48" s="49"/>
      <c r="M48" s="49"/>
      <c r="N48" s="49"/>
      <c r="O48" s="49"/>
      <c r="P48" s="49"/>
      <c r="Q48" s="184"/>
      <c r="R48" s="49"/>
      <c r="S48" s="49"/>
      <c r="T48" s="49"/>
      <c r="U48" s="49"/>
      <c r="V48" s="49"/>
      <c r="W48" s="49"/>
      <c r="X48" s="184"/>
      <c r="Y48" s="49"/>
      <c r="Z48" s="49"/>
      <c r="AA48" s="49"/>
      <c r="AB48" s="49"/>
      <c r="AC48" s="49"/>
      <c r="AD48" s="49"/>
      <c r="AE48" s="49"/>
      <c r="AF48" s="49"/>
      <c r="AG48" s="53"/>
    </row>
    <row r="49" spans="2:33" customFormat="1" ht="20.100000000000001" customHeight="1" thickBot="1" x14ac:dyDescent="0.3">
      <c r="B49" s="56"/>
      <c r="C49" s="58"/>
      <c r="D49" s="57"/>
      <c r="E49" s="57"/>
      <c r="F49" s="58"/>
      <c r="G49" s="58"/>
      <c r="H49" s="57"/>
      <c r="I49" s="57"/>
      <c r="J49" s="59"/>
      <c r="K49" s="57"/>
      <c r="L49" s="57"/>
      <c r="M49" s="57"/>
      <c r="N49" s="57"/>
      <c r="O49" s="57"/>
      <c r="P49" s="57"/>
      <c r="Q49" s="59"/>
      <c r="R49" s="57"/>
      <c r="S49" s="57"/>
      <c r="T49" s="57"/>
      <c r="U49" s="57"/>
      <c r="V49" s="57"/>
      <c r="W49" s="57"/>
      <c r="X49" s="59"/>
      <c r="Y49" s="57"/>
      <c r="Z49" s="57"/>
      <c r="AA49" s="57"/>
      <c r="AB49" s="57"/>
      <c r="AC49" s="57"/>
      <c r="AD49" s="57"/>
      <c r="AE49" s="57"/>
      <c r="AF49" s="57"/>
      <c r="AG49" s="59"/>
    </row>
    <row r="50" spans="2:33" customFormat="1" ht="15.75" thickTop="1" x14ac:dyDescent="0.25"/>
    <row r="53" spans="2:33" x14ac:dyDescent="0.25">
      <c r="B53" s="186" t="s">
        <v>311</v>
      </c>
      <c r="D53" s="185" t="s">
        <v>312</v>
      </c>
      <c r="F53" s="185" t="s">
        <v>112</v>
      </c>
      <c r="H53" s="185" t="s">
        <v>204</v>
      </c>
      <c r="J53" s="185" t="s">
        <v>339</v>
      </c>
      <c r="L53" s="185" t="s">
        <v>340</v>
      </c>
      <c r="M53" s="185" t="s">
        <v>346</v>
      </c>
      <c r="N53" s="185" t="s">
        <v>344</v>
      </c>
      <c r="O53" s="185" t="s">
        <v>347</v>
      </c>
      <c r="Q53" s="185" t="s">
        <v>353</v>
      </c>
      <c r="S53" s="185" t="s">
        <v>358</v>
      </c>
      <c r="U53" s="185" t="s">
        <v>363</v>
      </c>
      <c r="W53" s="185" t="s">
        <v>418</v>
      </c>
    </row>
    <row r="54" spans="2:33" x14ac:dyDescent="0.25">
      <c r="D54" s="185">
        <v>6</v>
      </c>
      <c r="F54" s="185" t="s">
        <v>322</v>
      </c>
      <c r="H54" s="185">
        <v>750</v>
      </c>
      <c r="J54" s="185">
        <v>750</v>
      </c>
      <c r="L54" s="185" t="s">
        <v>341</v>
      </c>
      <c r="M54" s="185">
        <v>0</v>
      </c>
      <c r="N54" s="185" t="s">
        <v>345</v>
      </c>
      <c r="O54" s="187" t="str">
        <f>IF(mfManualCrCl&lt;&gt;"", mfManualCrCl, IF(mfCrCl="","",IF(mfCrCl&gt;150, 150, mfCrCl)))</f>
        <v/>
      </c>
      <c r="Q54" s="185" t="s">
        <v>175</v>
      </c>
      <c r="S54" s="185">
        <v>0.65</v>
      </c>
      <c r="U54" s="185">
        <v>1000</v>
      </c>
      <c r="W54" s="185" t="b">
        <v>1</v>
      </c>
    </row>
    <row r="55" spans="2:33" x14ac:dyDescent="0.25">
      <c r="D55" s="185">
        <v>8</v>
      </c>
      <c r="F55" s="185" t="s">
        <v>323</v>
      </c>
      <c r="H55" s="185">
        <v>1000</v>
      </c>
      <c r="J55" s="185">
        <v>1000</v>
      </c>
      <c r="L55" s="185">
        <v>15</v>
      </c>
      <c r="M55" s="185">
        <v>15</v>
      </c>
      <c r="N55" s="185" t="s">
        <v>344</v>
      </c>
      <c r="O55" s="185">
        <v>2</v>
      </c>
      <c r="Q55" s="185" t="s">
        <v>196</v>
      </c>
      <c r="S55" s="185">
        <v>0.6</v>
      </c>
      <c r="U55" s="185">
        <v>750</v>
      </c>
    </row>
    <row r="56" spans="2:33" x14ac:dyDescent="0.25">
      <c r="D56" s="185">
        <v>12</v>
      </c>
      <c r="H56" s="185">
        <v>1250</v>
      </c>
      <c r="J56" s="185">
        <v>1250</v>
      </c>
      <c r="L56" s="185">
        <v>30</v>
      </c>
      <c r="M56" s="185">
        <v>15</v>
      </c>
      <c r="N56" s="185" t="s">
        <v>342</v>
      </c>
      <c r="O56" s="185">
        <f>M61*2-SUM(O54:O55)</f>
        <v>298</v>
      </c>
      <c r="S56" s="185">
        <v>0.7</v>
      </c>
      <c r="U56" s="185">
        <v>600</v>
      </c>
    </row>
    <row r="57" spans="2:33" x14ac:dyDescent="0.25">
      <c r="D57" s="185">
        <v>18</v>
      </c>
      <c r="H57" s="185">
        <v>1500</v>
      </c>
      <c r="J57" s="185">
        <v>1500</v>
      </c>
      <c r="L57" s="185">
        <v>45</v>
      </c>
      <c r="M57" s="185">
        <v>15</v>
      </c>
      <c r="S57" s="185">
        <v>0.5</v>
      </c>
    </row>
    <row r="58" spans="2:33" x14ac:dyDescent="0.25">
      <c r="D58" s="185">
        <v>24</v>
      </c>
      <c r="H58" s="185">
        <v>1750</v>
      </c>
      <c r="J58" s="185">
        <v>1750</v>
      </c>
      <c r="L58" s="185">
        <v>60</v>
      </c>
      <c r="M58" s="185">
        <v>15</v>
      </c>
      <c r="O58" s="193" t="str">
        <f>IF(mfManualCrCl&lt;&gt;"", mfManualCrCl, mfCrCl)</f>
        <v/>
      </c>
    </row>
    <row r="59" spans="2:33" x14ac:dyDescent="0.25">
      <c r="D59" s="185">
        <v>36</v>
      </c>
      <c r="H59" s="185">
        <v>2000</v>
      </c>
      <c r="J59" s="185">
        <v>2000</v>
      </c>
      <c r="L59" s="185">
        <v>90</v>
      </c>
      <c r="M59" s="185">
        <v>30</v>
      </c>
    </row>
    <row r="60" spans="2:33" x14ac:dyDescent="0.25">
      <c r="D60" s="185">
        <v>48</v>
      </c>
      <c r="H60" s="185">
        <v>2250</v>
      </c>
      <c r="L60" s="185">
        <v>150</v>
      </c>
      <c r="M60" s="185">
        <v>60</v>
      </c>
    </row>
    <row r="61" spans="2:33" x14ac:dyDescent="0.25">
      <c r="D61" s="185">
        <v>72</v>
      </c>
      <c r="H61" s="185">
        <v>2500</v>
      </c>
      <c r="L61" s="185" t="s">
        <v>343</v>
      </c>
      <c r="M61" s="185">
        <f>SUM(M54:M60)</f>
        <v>150</v>
      </c>
    </row>
    <row r="62" spans="2:33" x14ac:dyDescent="0.25">
      <c r="H62" s="185">
        <v>2750</v>
      </c>
    </row>
    <row r="63" spans="2:33" x14ac:dyDescent="0.25">
      <c r="H63" s="185">
        <v>3000</v>
      </c>
    </row>
  </sheetData>
  <mergeCells count="11">
    <mergeCell ref="B11:J11"/>
    <mergeCell ref="D42:J42"/>
    <mergeCell ref="C2:P2"/>
    <mergeCell ref="D5:E5"/>
    <mergeCell ref="D6:E6"/>
    <mergeCell ref="D7:E7"/>
    <mergeCell ref="D8:E8"/>
    <mergeCell ref="O5:P5"/>
    <mergeCell ref="O6:P6"/>
    <mergeCell ref="O7:P7"/>
    <mergeCell ref="O8:P8"/>
  </mergeCells>
  <phoneticPr fontId="2" type="noConversion"/>
  <dataValidations count="6">
    <dataValidation type="list" allowBlank="1" showInputMessage="1" showErrorMessage="1" sqref="D14:AG14" xr:uid="{FC7D0E28-A5AB-434F-B36B-2246C3205FFA}">
      <formula1>INDIRECT("MDDoses")</formula1>
    </dataValidation>
    <dataValidation type="list" allowBlank="1" showInputMessage="1" showErrorMessage="1" sqref="D15:AG15" xr:uid="{EC2EF1D6-56A0-4F97-9703-0E3B8EA6ACE8}">
      <formula1>INDIRECT("Frequencies")</formula1>
    </dataValidation>
    <dataValidation type="list" allowBlank="1" showInputMessage="1" showErrorMessage="1" sqref="G6" xr:uid="{74363C76-ACD4-4340-9F81-F636F6813249}">
      <formula1>INDIRECT("GenderChar")</formula1>
    </dataValidation>
    <dataValidation type="list" allowBlank="1" showInputMessage="1" showErrorMessage="1" sqref="S5" xr:uid="{A80BDE26-74F5-477F-97C1-72C878BF52FC}">
      <formula1>INDIRECT("mfPKEquations")</formula1>
    </dataValidation>
    <dataValidation type="list" allowBlank="1" showDropDown="1" showInputMessage="1" showErrorMessage="1" sqref="S6" xr:uid="{0FC11EB0-A1BE-4D54-8D1E-CA2FBCA1D3BE}">
      <formula1>INDIRECT("mfVdOptions")</formula1>
    </dataValidation>
    <dataValidation type="list" allowBlank="1" showDropDown="1" showInputMessage="1" showErrorMessage="1" sqref="S8" xr:uid="{864704CB-BC92-4855-8CC6-B8B197EAF2FD}">
      <formula1>INDIRECT("mfInfRates")</formula1>
    </dataValidation>
  </dataValidations>
  <pageMargins left="0.25" right="0.25" top="0.75" bottom="0.75" header="0.3" footer="0.3"/>
  <pageSetup scale="8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Check Box 2">
              <controlPr defaultSize="0" autoFill="0" autoLine="0" autoPict="0">
                <anchor moveWithCells="1">
                  <from>
                    <xdr:col>1</xdr:col>
                    <xdr:colOff>1190625</xdr:colOff>
                    <xdr:row>11</xdr:row>
                    <xdr:rowOff>9525</xdr:rowOff>
                  </from>
                  <to>
                    <xdr:col>1</xdr:col>
                    <xdr:colOff>2638425</xdr:colOff>
                    <xdr:row>12</xdr:row>
                    <xdr:rowOff>19050</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62" workbookViewId="0">
      <selection activeCell="C70" sqref="C70"/>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139</v>
      </c>
      <c r="E34" s="9" t="str">
        <f>IF(D33 &lt;&gt; "",LEFT(D33,SUM(LEN(D33)-LEN(SUBSTITUTE(D33,{"0","1","2","3","4","5","6","7","8","9"},""))))+0,"")</f>
        <v/>
      </c>
    </row>
    <row r="35" spans="2:5" x14ac:dyDescent="0.25">
      <c r="B35" s="7">
        <v>43879.35833333333</v>
      </c>
      <c r="C35" s="4" t="s">
        <v>140</v>
      </c>
      <c r="E35" s="9" t="str">
        <f>IF(D34 &lt;&gt; "",LEFT(D34,SUM(LEN(D34)-LEN(SUBSTITUTE(D34,{"0","1","2","3","4","5","6","7","8","9"},""))))+0,"")</f>
        <v/>
      </c>
    </row>
    <row r="36" spans="2:5" ht="105" x14ac:dyDescent="0.25">
      <c r="B36" s="7">
        <v>43879.359722222223</v>
      </c>
      <c r="C36" s="4" t="s">
        <v>141</v>
      </c>
      <c r="E36" s="9" t="str">
        <f>IF(D35 &lt;&gt; "",LEFT(D35,SUM(LEN(D35)-LEN(SUBSTITUTE(D35,{"0","1","2","3","4","5","6","7","8","9"},""))))+0,"")</f>
        <v/>
      </c>
    </row>
    <row r="37" spans="2:5" ht="90" x14ac:dyDescent="0.25">
      <c r="B37" s="7">
        <v>43885.261805555558</v>
      </c>
      <c r="C37" s="4" t="s">
        <v>149</v>
      </c>
      <c r="E37" s="9" t="str">
        <f>IF(D36 &lt;&gt; "",LEFT(D36,SUM(LEN(D36)-LEN(SUBSTITUTE(D36,{"0","1","2","3","4","5","6","7","8","9"},""))))+0,"")</f>
        <v/>
      </c>
    </row>
    <row r="38" spans="2:5" ht="30" x14ac:dyDescent="0.25">
      <c r="B38" s="7">
        <v>43963.304861111108</v>
      </c>
      <c r="C38" s="4" t="s">
        <v>199</v>
      </c>
      <c r="E38" s="9" t="str">
        <f>IF(D37 &lt;&gt; "",LEFT(D37,SUM(LEN(D37)-LEN(SUBSTITUTE(D37,{"0","1","2","3","4","5","6","7","8","9"},""))))+0,"")</f>
        <v/>
      </c>
    </row>
    <row r="39" spans="2:5" ht="30" x14ac:dyDescent="0.25">
      <c r="B39" s="7">
        <v>43963.305555555555</v>
      </c>
      <c r="C39" s="4" t="s">
        <v>200</v>
      </c>
      <c r="E39" s="9" t="str">
        <f>IF(D38 &lt;&gt; "",LEFT(D38,SUM(LEN(D38)-LEN(SUBSTITUTE(D38,{"0","1","2","3","4","5","6","7","8","9"},""))))+0,"")</f>
        <v/>
      </c>
    </row>
    <row r="40" spans="2:5" ht="210" x14ac:dyDescent="0.25">
      <c r="B40" s="7">
        <v>43969.488194444442</v>
      </c>
      <c r="C40" s="4" t="s">
        <v>202</v>
      </c>
      <c r="E40" s="9" t="str">
        <f>IF(D39 &lt;&gt; "",LEFT(D39,SUM(LEN(D39)-LEN(SUBSTITUTE(D39,{"0","1","2","3","4","5","6","7","8","9"},""))))+0,"")</f>
        <v/>
      </c>
    </row>
    <row r="41" spans="2:5" ht="30" x14ac:dyDescent="0.25">
      <c r="B41" s="7">
        <v>44011.686111111114</v>
      </c>
      <c r="C41" s="4" t="s">
        <v>232</v>
      </c>
      <c r="E41" s="9" t="str">
        <f>IF(D40 &lt;&gt; "",LEFT(D40,SUM(LEN(D40)-LEN(SUBSTITUTE(D40,{"0","1","2","3","4","5","6","7","8","9"},""))))+0,"")</f>
        <v/>
      </c>
    </row>
    <row r="42" spans="2:5" ht="30" x14ac:dyDescent="0.25">
      <c r="B42" s="7">
        <v>44011.69027777778</v>
      </c>
      <c r="C42" s="4" t="s">
        <v>233</v>
      </c>
      <c r="E42" s="9" t="str">
        <f>IF(D41 &lt;&gt; "",LEFT(D41,SUM(LEN(D41)-LEN(SUBSTITUTE(D41,{"0","1","2","3","4","5","6","7","8","9"},""))))+0,"")</f>
        <v/>
      </c>
    </row>
    <row r="43" spans="2:5" ht="30" x14ac:dyDescent="0.25">
      <c r="B43" s="7">
        <v>44011.698611111111</v>
      </c>
      <c r="C43" s="4" t="s">
        <v>235</v>
      </c>
      <c r="E43" s="9" t="str">
        <f>IF(D42 &lt;&gt; "",LEFT(D42,SUM(LEN(D42)-LEN(SUBSTITUTE(D42,{"0","1","2","3","4","5","6","7","8","9"},""))))+0,"")</f>
        <v/>
      </c>
    </row>
    <row r="44" spans="2:5" ht="30" x14ac:dyDescent="0.25">
      <c r="B44" s="7">
        <v>44011.706250000003</v>
      </c>
      <c r="C44" s="4" t="s">
        <v>236</v>
      </c>
      <c r="E44" s="9" t="str">
        <f>IF(D43 &lt;&gt; "",LEFT(D43,SUM(LEN(D43)-LEN(SUBSTITUTE(D43,{"0","1","2","3","4","5","6","7","8","9"},""))))+0,"")</f>
        <v/>
      </c>
    </row>
    <row r="45" spans="2:5" ht="45" x14ac:dyDescent="0.25">
      <c r="B45" s="7">
        <v>44012.145833333336</v>
      </c>
      <c r="C45" s="4" t="s">
        <v>237</v>
      </c>
      <c r="E45" s="9" t="str">
        <f>IF(D44 &lt;&gt; "",LEFT(D44,SUM(LEN(D44)-LEN(SUBSTITUTE(D44,{"0","1","2","3","4","5","6","7","8","9"},""))))+0,"")</f>
        <v/>
      </c>
    </row>
    <row r="46" spans="2:5" ht="45" x14ac:dyDescent="0.25">
      <c r="B46" s="7">
        <v>44012.167361111111</v>
      </c>
      <c r="C46" s="4" t="s">
        <v>238</v>
      </c>
      <c r="E46" s="9" t="str">
        <f>IF(D45 &lt;&gt; "",LEFT(D45,SUM(LEN(D45)-LEN(SUBSTITUTE(D45,{"0","1","2","3","4","5","6","7","8","9"},""))))+0,"")</f>
        <v/>
      </c>
    </row>
    <row r="47" spans="2:5" ht="45" x14ac:dyDescent="0.25">
      <c r="B47" s="7">
        <v>44012.375</v>
      </c>
      <c r="C47" s="4" t="s">
        <v>239</v>
      </c>
      <c r="E47" s="9" t="str">
        <f>IF(D46 &lt;&gt; "",LEFT(D46,SUM(LEN(D46)-LEN(SUBSTITUTE(D46,{"0","1","2","3","4","5","6","7","8","9"},""))))+0,"")</f>
        <v/>
      </c>
    </row>
    <row r="48" spans="2:5" ht="30" x14ac:dyDescent="0.25">
      <c r="B48" s="7">
        <v>44012.39166666667</v>
      </c>
      <c r="C48" s="4" t="s">
        <v>240</v>
      </c>
      <c r="E48" s="9" t="str">
        <f>IF(D47 &lt;&gt; "",LEFT(D47,SUM(LEN(D47)-LEN(SUBSTITUTE(D47,{"0","1","2","3","4","5","6","7","8","9"},""))))+0,"")</f>
        <v/>
      </c>
    </row>
    <row r="49" spans="2:5" ht="45" x14ac:dyDescent="0.25">
      <c r="B49" s="7">
        <v>44012.643055555556</v>
      </c>
      <c r="C49" s="4" t="s">
        <v>243</v>
      </c>
      <c r="E49" s="9" t="str">
        <f>IF(D48 &lt;&gt; "",LEFT(D48,SUM(LEN(D48)-LEN(SUBSTITUTE(D48,{"0","1","2","3","4","5","6","7","8","9"},""))))+0,"")</f>
        <v/>
      </c>
    </row>
    <row r="50" spans="2:5" ht="120" x14ac:dyDescent="0.25">
      <c r="B50" s="7">
        <v>44013.422222222223</v>
      </c>
      <c r="C50" s="4" t="s">
        <v>247</v>
      </c>
      <c r="E50" s="9" t="str">
        <f>IF(D49 &lt;&gt; "",LEFT(D49,SUM(LEN(D49)-LEN(SUBSTITUTE(D49,{"0","1","2","3","4","5","6","7","8","9"},""))))+0,"")</f>
        <v/>
      </c>
    </row>
    <row r="51" spans="2:5" ht="75" x14ac:dyDescent="0.25">
      <c r="B51" s="7">
        <v>44013.443749999999</v>
      </c>
      <c r="C51" s="4" t="s">
        <v>248</v>
      </c>
      <c r="E51" s="9" t="str">
        <f>IF(D50 &lt;&gt; "",LEFT(D50,SUM(LEN(D50)-LEN(SUBSTITUTE(D50,{"0","1","2","3","4","5","6","7","8","9"},""))))+0,"")</f>
        <v/>
      </c>
    </row>
    <row r="52" spans="2:5" ht="30" x14ac:dyDescent="0.25">
      <c r="B52" s="7">
        <v>44013.459722222222</v>
      </c>
      <c r="C52" s="4" t="s">
        <v>249</v>
      </c>
      <c r="E52" s="9" t="str">
        <f>IF(D51 &lt;&gt; "",LEFT(D51,SUM(LEN(D51)-LEN(SUBSTITUTE(D51,{"0","1","2","3","4","5","6","7","8","9"},""))))+0,"")</f>
        <v/>
      </c>
    </row>
    <row r="53" spans="2:5" ht="60" x14ac:dyDescent="0.25">
      <c r="B53" s="7">
        <v>44015.051388888889</v>
      </c>
      <c r="C53" s="4" t="s">
        <v>250</v>
      </c>
      <c r="E53" s="9" t="str">
        <f>IF(D52 &lt;&gt; "",LEFT(D52,SUM(LEN(D52)-LEN(SUBSTITUTE(D52,{"0","1","2","3","4","5","6","7","8","9"},""))))+0,"")</f>
        <v/>
      </c>
    </row>
    <row r="54" spans="2:5" ht="45" x14ac:dyDescent="0.25">
      <c r="B54" s="7">
        <v>44015.073611111111</v>
      </c>
      <c r="C54" s="4" t="s">
        <v>251</v>
      </c>
      <c r="E54" s="9" t="str">
        <f>IF(D53 &lt;&gt; "",LEFT(D53,SUM(LEN(D53)-LEN(SUBSTITUTE(D53,{"0","1","2","3","4","5","6","7","8","9"},""))))+0,"")</f>
        <v/>
      </c>
    </row>
    <row r="55" spans="2:5" ht="75" x14ac:dyDescent="0.25">
      <c r="B55" s="7">
        <v>44015.144444444442</v>
      </c>
      <c r="C55" s="4" t="s">
        <v>277</v>
      </c>
      <c r="E55" s="9" t="str">
        <f>IF(D54 &lt;&gt; "",LEFT(D54,SUM(LEN(D54)-LEN(SUBSTITUTE(D54,{"0","1","2","3","4","5","6","7","8","9"},""))))+0,"")</f>
        <v/>
      </c>
    </row>
    <row r="56" spans="2:5" ht="60" x14ac:dyDescent="0.25">
      <c r="B56" s="7">
        <v>44015.171527777777</v>
      </c>
      <c r="C56" s="4" t="s">
        <v>278</v>
      </c>
      <c r="E56" s="9" t="str">
        <f>IF(D55 &lt;&gt; "",LEFT(D55,SUM(LEN(D55)-LEN(SUBSTITUTE(D55,{"0","1","2","3","4","5","6","7","8","9"},""))))+0,"")</f>
        <v/>
      </c>
    </row>
    <row r="57" spans="2:5" ht="90" x14ac:dyDescent="0.25">
      <c r="B57" s="7">
        <v>44015.392361111109</v>
      </c>
      <c r="C57" s="4" t="s">
        <v>279</v>
      </c>
      <c r="E57" s="9" t="str">
        <f>IF(D56 &lt;&gt; "",LEFT(D56,SUM(LEN(D56)-LEN(SUBSTITUTE(D56,{"0","1","2","3","4","5","6","7","8","9"},""))))+0,"")</f>
        <v/>
      </c>
    </row>
    <row r="58" spans="2:5" ht="30" x14ac:dyDescent="0.25">
      <c r="B58" s="7">
        <v>44016.497916666667</v>
      </c>
      <c r="C58" s="4" t="s">
        <v>280</v>
      </c>
      <c r="E58" s="9" t="str">
        <f>IF(D57 &lt;&gt; "",LEFT(D57,SUM(LEN(D57)-LEN(SUBSTITUTE(D57,{"0","1","2","3","4","5","6","7","8","9"},""))))+0,"")</f>
        <v/>
      </c>
    </row>
    <row r="59" spans="2:5" ht="30" x14ac:dyDescent="0.25">
      <c r="B59" s="7">
        <v>44018.454861111109</v>
      </c>
      <c r="C59" s="4" t="s">
        <v>281</v>
      </c>
      <c r="E59" s="9" t="str">
        <f>IF(D58 &lt;&gt; "",LEFT(D58,SUM(LEN(D58)-LEN(SUBSTITUTE(D58,{"0","1","2","3","4","5","6","7","8","9"},""))))+0,"")</f>
        <v/>
      </c>
    </row>
    <row r="60" spans="2:5" ht="30" x14ac:dyDescent="0.25">
      <c r="B60" s="7">
        <v>44018.497916666667</v>
      </c>
      <c r="C60" s="4" t="s">
        <v>282</v>
      </c>
      <c r="E60" s="9" t="str">
        <f>IF(D59 &lt;&gt; "",LEFT(D59,SUM(LEN(D59)-LEN(SUBSTITUTE(D59,{"0","1","2","3","4","5","6","7","8","9"},""))))+0,"")</f>
        <v/>
      </c>
    </row>
    <row r="61" spans="2:5" ht="30" x14ac:dyDescent="0.25">
      <c r="B61" s="7">
        <v>44019.284722222219</v>
      </c>
      <c r="C61" s="4" t="s">
        <v>283</v>
      </c>
      <c r="E61" s="9" t="str">
        <f>IF(D60 &lt;&gt; "",LEFT(D60,SUM(LEN(D60)-LEN(SUBSTITUTE(D60,{"0","1","2","3","4","5","6","7","8","9"},""))))+0,"")</f>
        <v/>
      </c>
    </row>
    <row r="62" spans="2:5" x14ac:dyDescent="0.25">
      <c r="B62" s="7">
        <v>44019.336805555555</v>
      </c>
      <c r="C62" s="4" t="s">
        <v>284</v>
      </c>
      <c r="E62" s="9" t="str">
        <f>IF(D61 &lt;&gt; "",LEFT(D61,SUM(LEN(D61)-LEN(SUBSTITUTE(D61,{"0","1","2","3","4","5","6","7","8","9"},""))))+0,"")</f>
        <v/>
      </c>
    </row>
    <row r="63" spans="2:5" x14ac:dyDescent="0.25">
      <c r="B63" s="7">
        <v>44019.383333333331</v>
      </c>
      <c r="C63" s="4" t="s">
        <v>285</v>
      </c>
      <c r="E63" s="9" t="str">
        <f>IF(D62 &lt;&gt; "",LEFT(D62,SUM(LEN(D62)-LEN(SUBSTITUTE(D62,{"0","1","2","3","4","5","6","7","8","9"},""))))+0,"")</f>
        <v/>
      </c>
    </row>
    <row r="64" spans="2:5" x14ac:dyDescent="0.25">
      <c r="B64" s="7">
        <v>44019.92083333333</v>
      </c>
      <c r="C64" s="4" t="s">
        <v>287</v>
      </c>
      <c r="E64" s="9" t="str">
        <f>IF(D63 &lt;&gt; "",LEFT(D63,SUM(LEN(D63)-LEN(SUBSTITUTE(D63,{"0","1","2","3","4","5","6","7","8","9"},""))))+0,"")</f>
        <v/>
      </c>
    </row>
    <row r="65" spans="2:5" x14ac:dyDescent="0.25">
      <c r="B65" s="7">
        <v>44020.652777777781</v>
      </c>
      <c r="C65" s="4" t="s">
        <v>288</v>
      </c>
      <c r="E65" s="9" t="str">
        <f>IF(D64 &lt;&gt; "",LEFT(D64,SUM(LEN(D64)-LEN(SUBSTITUTE(D64,{"0","1","2","3","4","5","6","7","8","9"},""))))+0,"")</f>
        <v/>
      </c>
    </row>
    <row r="66" spans="2:5" x14ac:dyDescent="0.25">
      <c r="B66" s="7">
        <v>44021.311805555553</v>
      </c>
      <c r="C66" s="4" t="s">
        <v>289</v>
      </c>
      <c r="E66" s="9" t="str">
        <f>IF(D65 &lt;&gt; "",LEFT(D65,SUM(LEN(D65)-LEN(SUBSTITUTE(D65,{"0","1","2","3","4","5","6","7","8","9"},""))))+0,"")</f>
        <v/>
      </c>
    </row>
    <row r="67" spans="2:5" ht="30" x14ac:dyDescent="0.25">
      <c r="B67" s="7">
        <v>44027.492361111108</v>
      </c>
      <c r="C67" s="4" t="s">
        <v>290</v>
      </c>
      <c r="E67" s="9" t="str">
        <f>IF(D66 &lt;&gt; "",LEFT(D66,SUM(LEN(D66)-LEN(SUBSTITUTE(D66,{"0","1","2","3","4","5","6","7","8","9"},""))))+0,"")</f>
        <v/>
      </c>
    </row>
    <row r="68" spans="2:5" ht="45" x14ac:dyDescent="0.25">
      <c r="B68" s="7">
        <v>44027.508333333331</v>
      </c>
      <c r="C68" s="4" t="s">
        <v>291</v>
      </c>
      <c r="E68" s="9" t="str">
        <f>IF(D67 &lt;&gt; "",LEFT(D67,SUM(LEN(D67)-LEN(SUBSTITUTE(D67,{"0","1","2","3","4","5","6","7","8","9"},""))))+0,"")</f>
        <v/>
      </c>
    </row>
    <row r="69" spans="2:5" ht="30" x14ac:dyDescent="0.25">
      <c r="B69" s="7">
        <v>44027.510416666664</v>
      </c>
      <c r="C69" s="4" t="s">
        <v>292</v>
      </c>
      <c r="E69" s="9" t="str">
        <f>IF(D68 &lt;&gt; "",LEFT(D68,SUM(LEN(D68)-LEN(SUBSTITUTE(D68,{"0","1","2","3","4","5","6","7","8","9"},""))))+0,"")</f>
        <v/>
      </c>
    </row>
    <row r="70" spans="2:5" x14ac:dyDescent="0.25">
      <c r="B70" s="7">
        <v>44027.54791666667</v>
      </c>
      <c r="C70" s="4" t="s">
        <v>293</v>
      </c>
      <c r="E70" s="9" t="str">
        <f>IF(D69 &lt;&gt; "",LEFT(D69,SUM(LEN(D69)-LEN(SUBSTITUTE(D69,{"0","1","2","3","4","5","6","7","8","9"},""))))+0,"")</f>
        <v/>
      </c>
    </row>
    <row r="71" spans="2:5" x14ac:dyDescent="0.25">
      <c r="B71" s="7">
        <v>44034.474999999999</v>
      </c>
      <c r="C71" s="4" t="s">
        <v>294</v>
      </c>
      <c r="E71" s="9" t="str">
        <f>IF(D70 &lt;&gt; "",LEFT(D70,SUM(LEN(D70)-LEN(SUBSTITUTE(D70,{"0","1","2","3","4","5","6","7","8","9"},""))))+0,"")</f>
        <v/>
      </c>
    </row>
    <row r="72" spans="2:5" x14ac:dyDescent="0.25">
      <c r="B72" s="7">
        <v>44041.553472222222</v>
      </c>
      <c r="C72" s="4" t="s">
        <v>296</v>
      </c>
      <c r="E72" s="9" t="str">
        <f>IF(D71 &lt;&gt; "",LEFT(D71,SUM(LEN(D71)-LEN(SUBSTITUTE(D71,{"0","1","2","3","4","5","6","7","8","9"},""))))+0,"")</f>
        <v/>
      </c>
    </row>
    <row r="73" spans="2:5" ht="45" x14ac:dyDescent="0.25">
      <c r="B73" s="7">
        <v>44041.617361111108</v>
      </c>
      <c r="C73" s="4" t="s">
        <v>298</v>
      </c>
      <c r="E73" s="9" t="str">
        <f>IF(D72 &lt;&gt; "",LEFT(D72,SUM(LEN(D72)-LEN(SUBSTITUTE(D72,{"0","1","2","3","4","5","6","7","8","9"},""))))+0,"")</f>
        <v/>
      </c>
    </row>
    <row r="74" spans="2:5" x14ac:dyDescent="0.25">
      <c r="B74" s="7">
        <v>44048.564583333333</v>
      </c>
      <c r="C74" s="4" t="s">
        <v>299</v>
      </c>
      <c r="E74" s="9" t="str">
        <f>IF(D73 &lt;&gt; "",LEFT(D73,SUM(LEN(D73)-LEN(SUBSTITUTE(D73,{"0","1","2","3","4","5","6","7","8","9"},""))))+0,"")</f>
        <v/>
      </c>
    </row>
    <row r="75" spans="2:5" x14ac:dyDescent="0.25">
      <c r="B75" s="7">
        <v>44048.602083333331</v>
      </c>
      <c r="C75" s="4" t="s">
        <v>300</v>
      </c>
      <c r="E75" s="9" t="str">
        <f>IF(D74 &lt;&gt; "",LEFT(D74,SUM(LEN(D74)-LEN(SUBSTITUTE(D74,{"0","1","2","3","4","5","6","7","8","9"},""))))+0,"")</f>
        <v/>
      </c>
    </row>
    <row r="76" spans="2:5" x14ac:dyDescent="0.25">
      <c r="B76" s="7">
        <v>44048.636111111111</v>
      </c>
      <c r="C76" s="4" t="s">
        <v>301</v>
      </c>
      <c r="E76" s="9" t="str">
        <f>IF(D75 &lt;&gt; "",LEFT(D75,SUM(LEN(D75)-LEN(SUBSTITUTE(D75,{"0","1","2","3","4","5","6","7","8","9"},""))))+0,"")</f>
        <v/>
      </c>
    </row>
    <row r="77" spans="2:5" x14ac:dyDescent="0.25">
      <c r="B77" s="7">
        <v>44054.586111111108</v>
      </c>
      <c r="C77" s="4" t="s">
        <v>302</v>
      </c>
      <c r="E77" s="9" t="str">
        <f>IF(D76 &lt;&gt; "",LEFT(D76,SUM(LEN(D76)-LEN(SUBSTITUTE(D76,{"0","1","2","3","4","5","6","7","8","9"},""))))+0,"")</f>
        <v/>
      </c>
    </row>
    <row r="78" spans="2:5" x14ac:dyDescent="0.25">
      <c r="B78" s="7">
        <v>44055.55972222222</v>
      </c>
      <c r="C78" s="4" t="s">
        <v>303</v>
      </c>
      <c r="E78" s="9" t="str">
        <f>IF(D77 &lt;&gt; "",LEFT(D77,SUM(LEN(D77)-LEN(SUBSTITUTE(D77,{"0","1","2","3","4","5","6","7","8","9"},""))))+0,"")</f>
        <v/>
      </c>
    </row>
    <row r="79" spans="2:5" ht="45" x14ac:dyDescent="0.25">
      <c r="B79" s="7">
        <v>44055.602777777778</v>
      </c>
      <c r="C79" s="4" t="s">
        <v>304</v>
      </c>
      <c r="E79" s="9" t="str">
        <f>IF(D78 &lt;&gt; "",LEFT(D78,SUM(LEN(D78)-LEN(SUBSTITUTE(D78,{"0","1","2","3","4","5","6","7","8","9"},""))))+0,"")</f>
        <v/>
      </c>
    </row>
    <row r="80" spans="2:5" ht="30" x14ac:dyDescent="0.25">
      <c r="B80" s="7">
        <v>44090.679166666669</v>
      </c>
      <c r="C80" s="4" t="s">
        <v>305</v>
      </c>
      <c r="E80" s="9" t="str">
        <f>IF(D79 &lt;&gt; "",LEFT(D79,SUM(LEN(D79)-LEN(SUBSTITUTE(D79,{"0","1","2","3","4","5","6","7","8","9"},""))))+0,"")</f>
        <v/>
      </c>
    </row>
    <row r="81" spans="2:5" ht="30" x14ac:dyDescent="0.25">
      <c r="B81" s="7">
        <v>44091.365972222222</v>
      </c>
      <c r="C81" s="4" t="s">
        <v>306</v>
      </c>
      <c r="E81" s="9" t="str">
        <f>IF(D80 &lt;&gt; "",LEFT(D80,SUM(LEN(D80)-LEN(SUBSTITUTE(D80,{"0","1","2","3","4","5","6","7","8","9"},""))))+0,"")</f>
        <v/>
      </c>
    </row>
    <row r="82" spans="2:5" x14ac:dyDescent="0.25">
      <c r="B82" s="7">
        <v>44091.492361111108</v>
      </c>
      <c r="C82" s="4" t="s">
        <v>307</v>
      </c>
      <c r="E82" s="9" t="str">
        <f>IF(D81 &lt;&gt; "",LEFT(D81,SUM(LEN(D81)-LEN(SUBSTITUTE(D81,{"0","1","2","3","4","5","6","7","8","9"},""))))+0,"")</f>
        <v/>
      </c>
    </row>
    <row r="83" spans="2:5" x14ac:dyDescent="0.25">
      <c r="B83" s="7">
        <v>44096.431250000001</v>
      </c>
      <c r="C83" s="4" t="s">
        <v>348</v>
      </c>
      <c r="E83" s="9" t="str">
        <f>IF(D82 &lt;&gt; "",LEFT(D82,SUM(LEN(D82)-LEN(SUBSTITUTE(D82,{"0","1","2","3","4","5","6","7","8","9"},""))))+0,"")</f>
        <v/>
      </c>
    </row>
    <row r="84" spans="2:5" x14ac:dyDescent="0.25">
      <c r="B84" s="7">
        <v>44097.201388888891</v>
      </c>
      <c r="C84" s="4" t="s">
        <v>351</v>
      </c>
      <c r="E84" s="9" t="str">
        <f>IF(D83 &lt;&gt; "",LEFT(D83,SUM(LEN(D83)-LEN(SUBSTITUTE(D83,{"0","1","2","3","4","5","6","7","8","9"},""))))+0,"")</f>
        <v/>
      </c>
    </row>
    <row r="85" spans="2:5" ht="30" x14ac:dyDescent="0.25">
      <c r="B85" s="7">
        <v>44097.505555555559</v>
      </c>
      <c r="C85" s="4" t="s">
        <v>381</v>
      </c>
      <c r="E85" s="9" t="str">
        <f>IF(D84 &lt;&gt; "",LEFT(D84,SUM(LEN(D84)-LEN(SUBSTITUTE(D84,{"0","1","2","3","4","5","6","7","8","9"},""))))+0,"")</f>
        <v/>
      </c>
    </row>
    <row r="86" spans="2:5" ht="30" x14ac:dyDescent="0.25">
      <c r="B86" s="7">
        <v>44097.534722222219</v>
      </c>
      <c r="C86" s="4" t="s">
        <v>382</v>
      </c>
      <c r="E86" s="9" t="str">
        <f>IF(D85 &lt;&gt; "",LEFT(D85,SUM(LEN(D85)-LEN(SUBSTITUTE(D85,{"0","1","2","3","4","5","6","7","8","9"},""))))+0,"")</f>
        <v/>
      </c>
    </row>
    <row r="87" spans="2:5" ht="30" x14ac:dyDescent="0.25">
      <c r="B87" s="7">
        <v>44097.620138888888</v>
      </c>
      <c r="C87" s="4" t="s">
        <v>383</v>
      </c>
      <c r="E87" s="9" t="str">
        <f>IF(D86 &lt;&gt; "",LEFT(D86,SUM(LEN(D86)-LEN(SUBSTITUTE(D86,{"0","1","2","3","4","5","6","7","8","9"},""))))+0,"")</f>
        <v/>
      </c>
    </row>
    <row r="88" spans="2:5" ht="30" x14ac:dyDescent="0.25">
      <c r="B88" s="7">
        <v>44144.195138888892</v>
      </c>
      <c r="C88" s="4" t="s">
        <v>384</v>
      </c>
      <c r="E88" s="9" t="str">
        <f>IF(D87 &lt;&gt; "",LEFT(D87,SUM(LEN(D87)-LEN(SUBSTITUTE(D87,{"0","1","2","3","4","5","6","7","8","9"},""))))+0,"")</f>
        <v/>
      </c>
    </row>
    <row r="89" spans="2:5" ht="30" x14ac:dyDescent="0.25">
      <c r="B89" s="7">
        <v>44144.197222222225</v>
      </c>
      <c r="C89" s="4" t="s">
        <v>385</v>
      </c>
      <c r="E89" s="9" t="str">
        <f>IF(D88 &lt;&gt; "",LEFT(D88,SUM(LEN(D88)-LEN(SUBSTITUTE(D88,{"0","1","2","3","4","5","6","7","8","9"},""))))+0,"")</f>
        <v/>
      </c>
    </row>
    <row r="90" spans="2:5" x14ac:dyDescent="0.25">
      <c r="B90" s="7">
        <v>44144.203472222223</v>
      </c>
      <c r="C90" s="4" t="s">
        <v>386</v>
      </c>
      <c r="E90" s="9" t="str">
        <f>IF(D89 &lt;&gt; "",LEFT(D89,SUM(LEN(D89)-LEN(SUBSTITUTE(D89,{"0","1","2","3","4","5","6","7","8","9"},""))))+0,"")</f>
        <v/>
      </c>
    </row>
    <row r="91" spans="2:5" x14ac:dyDescent="0.25">
      <c r="B91" s="7">
        <v>44144.368750000001</v>
      </c>
      <c r="C91" s="4" t="s">
        <v>387</v>
      </c>
      <c r="E91" s="9" t="str">
        <f>IF(D90 &lt;&gt; "",LEFT(D90,SUM(LEN(D90)-LEN(SUBSTITUTE(D90,{"0","1","2","3","4","5","6","7","8","9"},""))))+0,"")</f>
        <v/>
      </c>
    </row>
    <row r="92" spans="2:5" ht="30" x14ac:dyDescent="0.25">
      <c r="B92" s="7">
        <v>44144.395833333336</v>
      </c>
      <c r="C92" s="4" t="s">
        <v>388</v>
      </c>
      <c r="E92" s="9" t="str">
        <f>IF(D91 &lt;&gt; "",LEFT(D91,SUM(LEN(D91)-LEN(SUBSTITUTE(D91,{"0","1","2","3","4","5","6","7","8","9"},""))))+0,"")</f>
        <v/>
      </c>
    </row>
    <row r="93" spans="2:5" x14ac:dyDescent="0.25">
      <c r="B93" s="7">
        <v>44144.4</v>
      </c>
      <c r="C93" s="4" t="s">
        <v>389</v>
      </c>
      <c r="E93" s="9" t="str">
        <f>IF(D92 &lt;&gt; "",LEFT(D92,SUM(LEN(D92)-LEN(SUBSTITUTE(D92,{"0","1","2","3","4","5","6","7","8","9"},""))))+0,"")</f>
        <v/>
      </c>
    </row>
    <row r="94" spans="2:5" x14ac:dyDescent="0.25">
      <c r="B94" s="7">
        <v>44146.59375</v>
      </c>
      <c r="C94" s="4" t="s">
        <v>390</v>
      </c>
      <c r="E94" s="9" t="str">
        <f>IF(D93 &lt;&gt; "",LEFT(D93,SUM(LEN(D93)-LEN(SUBSTITUTE(D93,{"0","1","2","3","4","5","6","7","8","9"},""))))+0,"")</f>
        <v/>
      </c>
    </row>
    <row r="95" spans="2:5" x14ac:dyDescent="0.25">
      <c r="B95" s="7">
        <v>44146.605555555558</v>
      </c>
      <c r="C95" s="4" t="s">
        <v>391</v>
      </c>
      <c r="E95" s="9" t="str">
        <f>IF(D94 &lt;&gt; "",LEFT(D94,SUM(LEN(D94)-LEN(SUBSTITUTE(D94,{"0","1","2","3","4","5","6","7","8","9"},""))))+0,"")</f>
        <v/>
      </c>
    </row>
    <row r="96" spans="2:5" x14ac:dyDescent="0.25">
      <c r="B96" s="7">
        <v>44146.614583333336</v>
      </c>
      <c r="C96" s="4" t="s">
        <v>392</v>
      </c>
      <c r="E96" s="9" t="str">
        <f>IF(D95 &lt;&gt; "",LEFT(D95,SUM(LEN(D95)-LEN(SUBSTITUTE(D95,{"0","1","2","3","4","5","6","7","8","9"},""))))+0,"")</f>
        <v/>
      </c>
    </row>
    <row r="97" spans="2:5" x14ac:dyDescent="0.25">
      <c r="B97" s="7">
        <v>44152.377083333333</v>
      </c>
      <c r="C97" s="4" t="s">
        <v>393</v>
      </c>
      <c r="E97" s="9" t="str">
        <f>IF(D96 &lt;&gt; "",LEFT(D96,SUM(LEN(D96)-LEN(SUBSTITUTE(D96,{"0","1","2","3","4","5","6","7","8","9"},""))))+0,"")</f>
        <v/>
      </c>
    </row>
    <row r="98" spans="2:5" ht="45" x14ac:dyDescent="0.25">
      <c r="B98" s="7">
        <v>44152.379861111112</v>
      </c>
      <c r="C98" s="4" t="s">
        <v>399</v>
      </c>
      <c r="E98" s="9" t="str">
        <f>IF(D97 &lt;&gt; "",LEFT(D97,SUM(LEN(D97)-LEN(SUBSTITUTE(D97,{"0","1","2","3","4","5","6","7","8","9"},""))))+0,"")</f>
        <v/>
      </c>
    </row>
    <row r="99" spans="2:5" x14ac:dyDescent="0.25">
      <c r="B99" s="7">
        <v>44152.388888888891</v>
      </c>
      <c r="C99" s="4" t="s">
        <v>400</v>
      </c>
      <c r="E99" s="9" t="str">
        <f>IF(D98 &lt;&gt; "",LEFT(D98,SUM(LEN(D98)-LEN(SUBSTITUTE(D98,{"0","1","2","3","4","5","6","7","8","9"},""))))+0,"")</f>
        <v/>
      </c>
    </row>
    <row r="100" spans="2:5" ht="30" x14ac:dyDescent="0.25">
      <c r="B100" s="7">
        <v>44152.438888888886</v>
      </c>
      <c r="C100" s="4" t="s">
        <v>401</v>
      </c>
      <c r="E100" s="9" t="str">
        <f>IF(D99 &lt;&gt; "",LEFT(D99,SUM(LEN(D99)-LEN(SUBSTITUTE(D99,{"0","1","2","3","4","5","6","7","8","9"},""))))+0,"")</f>
        <v/>
      </c>
    </row>
    <row r="101" spans="2:5" x14ac:dyDescent="0.25">
      <c r="B101" s="7">
        <v>44152.456944444442</v>
      </c>
      <c r="C101" s="4" t="s">
        <v>402</v>
      </c>
      <c r="E101" s="9" t="str">
        <f>IF(D100 &lt;&gt; "",LEFT(D100,SUM(LEN(D100)-LEN(SUBSTITUTE(D100,{"0","1","2","3","4","5","6","7","8","9"},""))))+0,"")</f>
        <v/>
      </c>
    </row>
    <row r="102" spans="2:5" ht="30" x14ac:dyDescent="0.25">
      <c r="B102" s="7">
        <v>44152.49722222222</v>
      </c>
      <c r="C102" s="4" t="s">
        <v>403</v>
      </c>
      <c r="E102" s="9" t="str">
        <f>IF(D101 &lt;&gt; "",LEFT(D101,SUM(LEN(D101)-LEN(SUBSTITUTE(D101,{"0","1","2","3","4","5","6","7","8","9"},""))))+0,"")</f>
        <v/>
      </c>
    </row>
    <row r="103" spans="2:5" x14ac:dyDescent="0.25">
      <c r="B103" s="7">
        <v>44153.348611111112</v>
      </c>
      <c r="C103" s="4" t="s">
        <v>404</v>
      </c>
      <c r="E103" s="9" t="str">
        <f>IF(D102 &lt;&gt; "",LEFT(D102,SUM(LEN(D102)-LEN(SUBSTITUTE(D102,{"0","1","2","3","4","5","6","7","8","9"},""))))+0,"")</f>
        <v/>
      </c>
    </row>
    <row r="104" spans="2:5" x14ac:dyDescent="0.25">
      <c r="B104" s="7">
        <v>44153.522916666669</v>
      </c>
      <c r="C104" s="4" t="s">
        <v>408</v>
      </c>
      <c r="E104" s="9" t="str">
        <f>IF(D103 &lt;&gt; "",LEFT(D103,SUM(LEN(D103)-LEN(SUBSTITUTE(D103,{"0","1","2","3","4","5","6","7","8","9"},""))))+0,"")</f>
        <v/>
      </c>
    </row>
    <row r="105" spans="2:5" x14ac:dyDescent="0.25">
      <c r="B105" s="7">
        <v>44153.643750000003</v>
      </c>
      <c r="C105" s="4" t="s">
        <v>409</v>
      </c>
      <c r="E105" s="9" t="str">
        <f>IF(D104 &lt;&gt; "",LEFT(D104,SUM(LEN(D104)-LEN(SUBSTITUTE(D104,{"0","1","2","3","4","5","6","7","8","9"},""))))+0,"")</f>
        <v/>
      </c>
    </row>
    <row r="106" spans="2:5" x14ac:dyDescent="0.25">
      <c r="B106" s="7">
        <v>44155.494444444441</v>
      </c>
      <c r="C106" s="4" t="s">
        <v>410</v>
      </c>
      <c r="E106" s="9" t="str">
        <f>IF(D105 &lt;&gt; "",LEFT(D105,SUM(LEN(D105)-LEN(SUBSTITUTE(D105,{"0","1","2","3","4","5","6","7","8","9"},""))))+0,"")</f>
        <v/>
      </c>
    </row>
    <row r="107" spans="2:5" ht="30" x14ac:dyDescent="0.25">
      <c r="B107" s="7">
        <v>44155.531944444447</v>
      </c>
      <c r="C107" s="4" t="s">
        <v>412</v>
      </c>
      <c r="E107" s="9" t="str">
        <f>IF(D106 &lt;&gt; "",LEFT(D106,SUM(LEN(D106)-LEN(SUBSTITUTE(D106,{"0","1","2","3","4","5","6","7","8","9"},""))))+0,"")</f>
        <v/>
      </c>
    </row>
    <row r="108" spans="2:5" x14ac:dyDescent="0.25">
      <c r="B108" s="7">
        <v>44155.540277777778</v>
      </c>
      <c r="C108" s="4" t="s">
        <v>413</v>
      </c>
      <c r="E108" s="9" t="str">
        <f>IF(D107 &lt;&gt; "",LEFT(D107,SUM(LEN(D107)-LEN(SUBSTITUTE(D107,{"0","1","2","3","4","5","6","7","8","9"},""))))+0,"")</f>
        <v/>
      </c>
    </row>
    <row r="109" spans="2:5" ht="45" x14ac:dyDescent="0.25">
      <c r="B109" s="7">
        <v>44158.372916666667</v>
      </c>
      <c r="C109" s="4" t="s">
        <v>414</v>
      </c>
      <c r="E109" s="9" t="str">
        <f>IF(D108 &lt;&gt; "",LEFT(D108,SUM(LEN(D108)-LEN(SUBSTITUTE(D108,{"0","1","2","3","4","5","6","7","8","9"},""))))+0,"")</f>
        <v/>
      </c>
    </row>
    <row r="110" spans="2:5" x14ac:dyDescent="0.25">
      <c r="B110" s="7">
        <v>44160.581944444442</v>
      </c>
      <c r="C110" s="4" t="s">
        <v>415</v>
      </c>
      <c r="E110" s="9" t="str">
        <f>IF(D109 &lt;&gt; "",LEFT(D109,SUM(LEN(D109)-LEN(SUBSTITUTE(D109,{"0","1","2","3","4","5","6","7","8","9"},""))))+0,"")</f>
        <v/>
      </c>
    </row>
    <row r="111" spans="2:5" ht="30" x14ac:dyDescent="0.25">
      <c r="B111" s="7">
        <v>44162.927777777775</v>
      </c>
      <c r="C111" s="4" t="s">
        <v>419</v>
      </c>
      <c r="E111" s="9" t="str">
        <f>IF(D110 &lt;&gt; "",LEFT(D110,SUM(LEN(D110)-LEN(SUBSTITUTE(D110,{"0","1","2","3","4","5","6","7","8","9"},""))))+0,"")</f>
        <v/>
      </c>
    </row>
    <row r="112" spans="2:5" x14ac:dyDescent="0.25">
      <c r="B112" s="7">
        <v>44164.974999999999</v>
      </c>
      <c r="C112" s="4" t="s">
        <v>420</v>
      </c>
      <c r="E112" s="9" t="str">
        <f>IF(D111 &lt;&gt; "",LEFT(D111,SUM(LEN(D111)-LEN(SUBSTITUTE(D111,{"0","1","2","3","4","5","6","7","8","9"},""))))+0,"")</f>
        <v/>
      </c>
    </row>
    <row r="113" spans="2:5" x14ac:dyDescent="0.25">
      <c r="B113" s="7">
        <v>44166.477083333331</v>
      </c>
      <c r="C113" s="4" t="s">
        <v>422</v>
      </c>
      <c r="E113" s="9" t="str">
        <f>IF(D112 &lt;&gt; "",LEFT(D112,SUM(LEN(D112)-LEN(SUBSTITUTE(D112,{"0","1","2","3","4","5","6","7","8","9"},""))))+0,"")</f>
        <v/>
      </c>
    </row>
    <row r="114" spans="2:5" x14ac:dyDescent="0.25">
      <c r="B114" s="7">
        <v>44167.529861111114</v>
      </c>
      <c r="C114" s="4" t="s">
        <v>423</v>
      </c>
      <c r="E114" s="9" t="str">
        <f>IF(D113 &lt;&gt; "",LEFT(D113,SUM(LEN(D113)-LEN(SUBSTITUTE(D113,{"0","1","2","3","4","5","6","7","8","9"},""))))+0,"")</f>
        <v/>
      </c>
    </row>
    <row r="115" spans="2:5" x14ac:dyDescent="0.25">
      <c r="B115" s="7">
        <v>44170.945833333331</v>
      </c>
      <c r="C115" s="4" t="s">
        <v>424</v>
      </c>
      <c r="E115" s="9" t="str">
        <f>IF(D114 &lt;&gt; "",LEFT(D114,SUM(LEN(D114)-LEN(SUBSTITUTE(D114,{"0","1","2","3","4","5","6","7","8","9"},""))))+0,"")</f>
        <v/>
      </c>
    </row>
    <row r="116" spans="2:5" ht="60" x14ac:dyDescent="0.25">
      <c r="B116" s="7">
        <v>44172.590277777781</v>
      </c>
      <c r="C116" s="4" t="s">
        <v>425</v>
      </c>
      <c r="E116" s="9" t="str">
        <f>IF(D115 &lt;&gt; "",LEFT(D115,SUM(LEN(D115)-LEN(SUBSTITUTE(D115,{"0","1","2","3","4","5","6","7","8","9"},""))))+0,"")</f>
        <v/>
      </c>
    </row>
    <row r="117" spans="2:5" x14ac:dyDescent="0.25">
      <c r="B117" s="7">
        <v>44173.50277777778</v>
      </c>
      <c r="C117" s="4" t="s">
        <v>426</v>
      </c>
      <c r="E117" s="9" t="str">
        <f>IF(D116 &lt;&gt; "",LEFT(D116,SUM(LEN(D116)-LEN(SUBSTITUTE(D116,{"0","1","2","3","4","5","6","7","8","9"},""))))+0,"")</f>
        <v/>
      </c>
    </row>
    <row r="118" spans="2:5" ht="30" x14ac:dyDescent="0.25">
      <c r="B118" s="7">
        <v>44173.520833333336</v>
      </c>
      <c r="C118" s="4" t="s">
        <v>427</v>
      </c>
      <c r="E118" s="9" t="str">
        <f>IF(D117 &lt;&gt; "",LEFT(D117,SUM(LEN(D117)-LEN(SUBSTITUTE(D117,{"0","1","2","3","4","5","6","7","8","9"},""))))+0,"")</f>
        <v/>
      </c>
    </row>
    <row r="119" spans="2:5" x14ac:dyDescent="0.25">
      <c r="B119" s="7">
        <v>44173.527777777781</v>
      </c>
      <c r="C119" s="4" t="s">
        <v>428</v>
      </c>
      <c r="E119" s="9" t="str">
        <f>IF(D118 &lt;&gt; "",LEFT(D118,SUM(LEN(D118)-LEN(SUBSTITUTE(D118,{"0","1","2","3","4","5","6","7","8","9"},""))))+0,"")</f>
        <v/>
      </c>
    </row>
    <row r="120" spans="2:5" x14ac:dyDescent="0.25">
      <c r="B120" s="7">
        <v>44173.599305555559</v>
      </c>
      <c r="C120" s="4" t="s">
        <v>429</v>
      </c>
      <c r="E120" s="9" t="str">
        <f>IF(D119 &lt;&gt; "",LEFT(D119,SUM(LEN(D119)-LEN(SUBSTITUTE(D119,{"0","1","2","3","4","5","6","7","8","9"},""))))+0,"")</f>
        <v/>
      </c>
    </row>
    <row r="121" spans="2:5" ht="30" x14ac:dyDescent="0.25">
      <c r="B121" s="7">
        <v>44174.503472222219</v>
      </c>
      <c r="C121" s="4" t="s">
        <v>430</v>
      </c>
      <c r="E121" s="9" t="str">
        <f>IF(D120 &lt;&gt; "",LEFT(D120,SUM(LEN(D120)-LEN(SUBSTITUTE(D120,{"0","1","2","3","4","5","6","7","8","9"},""))))+0,"")</f>
        <v/>
      </c>
    </row>
    <row r="122" spans="2:5" ht="45" x14ac:dyDescent="0.25">
      <c r="B122" s="7">
        <v>44174.629166666666</v>
      </c>
      <c r="C122" s="4" t="s">
        <v>431</v>
      </c>
      <c r="E122" s="9" t="str">
        <f>IF(D121 &lt;&gt; "",LEFT(D121,SUM(LEN(D121)-LEN(SUBSTITUTE(D121,{"0","1","2","3","4","5","6","7","8","9"},""))))+0,"")</f>
        <v/>
      </c>
    </row>
    <row r="123" spans="2:5" x14ac:dyDescent="0.25">
      <c r="B123" s="7">
        <v>44175.571527777778</v>
      </c>
      <c r="C123" s="4" t="s">
        <v>432</v>
      </c>
      <c r="E123" s="9" t="str">
        <f>IF(D122 &lt;&gt; "",LEFT(D122,SUM(LEN(D122)-LEN(SUBSTITUTE(D122,{"0","1","2","3","4","5","6","7","8","9"},""))))+0,"")</f>
        <v/>
      </c>
    </row>
    <row r="124" spans="2:5" ht="60" x14ac:dyDescent="0.25">
      <c r="B124" s="7">
        <v>44180.631944444445</v>
      </c>
      <c r="C124" s="4" t="s">
        <v>433</v>
      </c>
      <c r="E124" s="9" t="str">
        <f>IF(D123 &lt;&gt; "",LEFT(D123,SUM(LEN(D123)-LEN(SUBSTITUTE(D123,{"0","1","2","3","4","5","6","7","8","9"},""))))+0,"")</f>
        <v/>
      </c>
    </row>
    <row r="125" spans="2:5" ht="30" x14ac:dyDescent="0.25">
      <c r="B125" s="7">
        <v>44180.656944444447</v>
      </c>
      <c r="C125" s="4" t="s">
        <v>434</v>
      </c>
      <c r="E125" s="9" t="str">
        <f>IF(D124 &lt;&gt; "",LEFT(D124,SUM(LEN(D124)-LEN(SUBSTITUTE(D124,{"0","1","2","3","4","5","6","7","8","9"},""))))+0,"")</f>
        <v/>
      </c>
    </row>
    <row r="126" spans="2:5" x14ac:dyDescent="0.25">
      <c r="B126" s="7">
        <v>44180.666666666664</v>
      </c>
      <c r="C126" s="4" t="s">
        <v>435</v>
      </c>
      <c r="E126" s="9" t="str">
        <f>LEFT(D125,SUM(LEN(D125)-LEN(SUBSTITUTE(D125,{"0","1","2","3","4","5","6","7","8","9"},""))))</f>
        <v/>
      </c>
    </row>
    <row r="127" spans="2:5" ht="30" x14ac:dyDescent="0.25">
      <c r="B127" s="7">
        <v>44180.679861111108</v>
      </c>
      <c r="C127" s="4" t="s">
        <v>436</v>
      </c>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65" customFormat="1" ht="110.1" customHeight="1" thickBot="1" x14ac:dyDescent="0.3">
      <c r="A1" s="67"/>
      <c r="B1" s="66" t="s">
        <v>153</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8"/>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4567min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139</v>
      </c>
      <c r="D35" s="6" t="s">
        <v>59</v>
      </c>
      <c r="E35" s="9">
        <f>IF(D34 &lt;&gt; "",LEFT(D34,SUM(LEN(D34)-LEN(SUBSTITUTE(D34,{"0","1","2","3","4","5","6","7","8","9"},""))))+0,"")</f>
        <v>60</v>
      </c>
    </row>
    <row r="36" spans="2:5" x14ac:dyDescent="0.25">
      <c r="B36" s="7">
        <v>43879.35833333333</v>
      </c>
      <c r="C36" s="4" t="s">
        <v>140</v>
      </c>
      <c r="D36" s="6" t="s">
        <v>97</v>
      </c>
      <c r="E36" s="9">
        <f>IF(D35 &lt;&gt; "",LEFT(D35,SUM(LEN(D35)-LEN(SUBSTITUTE(D35,{"0","1","2","3","4","5","6","7","8","9"},""))))+0,"")</f>
        <v>120</v>
      </c>
    </row>
    <row r="37" spans="2:5" ht="105" x14ac:dyDescent="0.25">
      <c r="B37" s="7">
        <v>43879.359722222223</v>
      </c>
      <c r="C37" s="4" t="s">
        <v>141</v>
      </c>
      <c r="D37" s="6" t="s">
        <v>59</v>
      </c>
      <c r="E37" s="9">
        <f>IF(D36 &lt;&gt; "",LEFT(D36,SUM(LEN(D36)-LEN(SUBSTITUTE(D36,{"0","1","2","3","4","5","6","7","8","9"},""))))+0,"")</f>
        <v>60</v>
      </c>
    </row>
    <row r="38" spans="2:5" ht="90" x14ac:dyDescent="0.25">
      <c r="B38" s="7">
        <v>43885.261805555558</v>
      </c>
      <c r="C38" s="4" t="s">
        <v>149</v>
      </c>
      <c r="D38" s="6" t="s">
        <v>97</v>
      </c>
      <c r="E38" s="9">
        <f>IF(D37 &lt;&gt; "",LEFT(D37,SUM(LEN(D37)-LEN(SUBSTITUTE(D37,{"0","1","2","3","4","5","6","7","8","9"},""))))+0,"")</f>
        <v>120</v>
      </c>
    </row>
    <row r="39" spans="2:5" ht="30" x14ac:dyDescent="0.25">
      <c r="B39" s="7">
        <v>43963.304861111108</v>
      </c>
      <c r="C39" s="4" t="s">
        <v>199</v>
      </c>
      <c r="D39" s="6" t="s">
        <v>64</v>
      </c>
      <c r="E39" s="9">
        <f>IF(D38 &lt;&gt; "",LEFT(D38,SUM(LEN(D38)-LEN(SUBSTITUTE(D38,{"0","1","2","3","4","5","6","7","8","9"},""))))+0,"")</f>
        <v>60</v>
      </c>
    </row>
    <row r="40" spans="2:5" ht="30" x14ac:dyDescent="0.25">
      <c r="B40" s="7">
        <v>43963.305555555555</v>
      </c>
      <c r="C40" s="4" t="s">
        <v>200</v>
      </c>
      <c r="D40" s="6" t="s">
        <v>97</v>
      </c>
      <c r="E40" s="9">
        <f>IF(D39 &lt;&gt; "",LEFT(D39,SUM(LEN(D39)-LEN(SUBSTITUTE(D39,{"0","1","2","3","4","5","6","7","8","9"},""))))+0,"")</f>
        <v>10</v>
      </c>
    </row>
    <row r="41" spans="2:5" ht="210" x14ac:dyDescent="0.25">
      <c r="B41" s="7">
        <v>43969.488194444442</v>
      </c>
      <c r="C41" s="4" t="s">
        <v>202</v>
      </c>
      <c r="D41" s="6" t="s">
        <v>203</v>
      </c>
      <c r="E41" s="9">
        <f>IF(D40 &lt;&gt; "",LEFT(D40,SUM(LEN(D40)-LEN(SUBSTITUTE(D40,{"0","1","2","3","4","5","6","7","8","9"},""))))+0,"")</f>
        <v>60</v>
      </c>
    </row>
    <row r="42" spans="2:5" ht="30" x14ac:dyDescent="0.25">
      <c r="B42" s="7">
        <v>44011.686111111114</v>
      </c>
      <c r="C42" s="4" t="s">
        <v>232</v>
      </c>
      <c r="D42" s="6" t="s">
        <v>58</v>
      </c>
      <c r="E42" s="9">
        <f>IF(D41 &lt;&gt; "",LEFT(D41,SUM(LEN(D41)-LEN(SUBSTITUTE(D41,{"0","1","2","3","4","5","6","7","8","9"},""))))+0,"")</f>
        <v>300</v>
      </c>
    </row>
    <row r="43" spans="2:5" ht="30" x14ac:dyDescent="0.25">
      <c r="B43" s="7">
        <v>44011.69027777778</v>
      </c>
      <c r="C43" s="4" t="s">
        <v>233</v>
      </c>
      <c r="D43" s="6" t="s">
        <v>63</v>
      </c>
      <c r="E43" s="9">
        <f>IF(D42 &lt;&gt; "",LEFT(D42,SUM(LEN(D42)-LEN(SUBSTITUTE(D42,{"0","1","2","3","4","5","6","7","8","9"},""))))+0,"")</f>
        <v>15</v>
      </c>
    </row>
    <row r="44" spans="2:5" x14ac:dyDescent="0.25">
      <c r="B44" s="7">
        <v>44011.690972222219</v>
      </c>
      <c r="C44" s="4" t="s">
        <v>234</v>
      </c>
      <c r="D44" s="6" t="s">
        <v>57</v>
      </c>
      <c r="E44" s="9">
        <f>IF(D43 &lt;&gt; "",LEFT(D43,SUM(LEN(D43)-LEN(SUBSTITUTE(D43,{"0","1","2","3","4","5","6","7","8","9"},""))))+0,"")</f>
        <v>5</v>
      </c>
    </row>
    <row r="45" spans="2:5" ht="30" x14ac:dyDescent="0.25">
      <c r="B45" s="7">
        <v>44011.698611111111</v>
      </c>
      <c r="C45" s="4" t="s">
        <v>235</v>
      </c>
      <c r="D45" s="6" t="s">
        <v>63</v>
      </c>
      <c r="E45" s="9">
        <f>IF(D44 &lt;&gt; "",LEFT(D44,SUM(LEN(D44)-LEN(SUBSTITUTE(D44,{"0","1","2","3","4","5","6","7","8","9"},""))))+0,"")</f>
        <v>1</v>
      </c>
    </row>
    <row r="46" spans="2:5" ht="30" x14ac:dyDescent="0.25">
      <c r="B46" s="7">
        <v>44011.706250000003</v>
      </c>
      <c r="C46" s="4" t="s">
        <v>236</v>
      </c>
      <c r="D46" s="6" t="s">
        <v>67</v>
      </c>
      <c r="E46" s="9">
        <f>IF(D45 &lt;&gt; "",LEFT(D45,SUM(LEN(D45)-LEN(SUBSTITUTE(D45,{"0","1","2","3","4","5","6","7","8","9"},""))))+0,"")</f>
        <v>5</v>
      </c>
    </row>
    <row r="47" spans="2:5" ht="45" x14ac:dyDescent="0.25">
      <c r="B47" s="7">
        <v>44012.167361111111</v>
      </c>
      <c r="C47" s="4" t="s">
        <v>238</v>
      </c>
      <c r="D47" s="6" t="s">
        <v>58</v>
      </c>
      <c r="E47" s="9">
        <f>IF(D46 &lt;&gt; "",LEFT(D46,SUM(LEN(D46)-LEN(SUBSTITUTE(D46,{"0","1","2","3","4","5","6","7","8","9"},""))))+0,"")</f>
        <v>2</v>
      </c>
    </row>
    <row r="48" spans="2:5" ht="45" x14ac:dyDescent="0.25">
      <c r="B48" s="7">
        <v>44012.375</v>
      </c>
      <c r="C48" s="4" t="s">
        <v>239</v>
      </c>
      <c r="D48" s="6" t="s">
        <v>61</v>
      </c>
      <c r="E48" s="9">
        <f>IF(D47 &lt;&gt; "",LEFT(D47,SUM(LEN(D47)-LEN(SUBSTITUTE(D47,{"0","1","2","3","4","5","6","7","8","9"},""))))+0,"")</f>
        <v>15</v>
      </c>
    </row>
    <row r="49" spans="2:5" ht="30" x14ac:dyDescent="0.25">
      <c r="B49" s="7">
        <v>44012.39166666667</v>
      </c>
      <c r="C49" s="4" t="s">
        <v>240</v>
      </c>
      <c r="D49" s="6" t="s">
        <v>61</v>
      </c>
      <c r="E49" s="9">
        <f>IF(D48 &lt;&gt; "",LEFT(D48,SUM(LEN(D48)-LEN(SUBSTITUTE(D48,{"0","1","2","3","4","5","6","7","8","9"},""))))+0,"")</f>
        <v>20</v>
      </c>
    </row>
    <row r="50" spans="2:5" ht="45" x14ac:dyDescent="0.25">
      <c r="B50" s="7">
        <v>44012.643055555556</v>
      </c>
      <c r="C50" s="4" t="s">
        <v>243</v>
      </c>
      <c r="D50" s="6" t="s">
        <v>244</v>
      </c>
      <c r="E50" s="9">
        <f>IF(D49 &lt;&gt; "",LEFT(D49,SUM(LEN(D49)-LEN(SUBSTITUTE(D49,{"0","1","2","3","4","5","6","7","8","9"},""))))+0,"")</f>
        <v>20</v>
      </c>
    </row>
    <row r="51" spans="2:5" ht="45" x14ac:dyDescent="0.25">
      <c r="B51" s="7">
        <v>44013.40902777778</v>
      </c>
      <c r="C51" s="4" t="s">
        <v>245</v>
      </c>
      <c r="D51" s="6" t="s">
        <v>67</v>
      </c>
      <c r="E51" s="9">
        <f>IF(D50 &lt;&gt; "",LEFT(D50,SUM(LEN(D50)-LEN(SUBSTITUTE(D50,{"0","1","2","3","4","5","6","7","8","9"},""))))+0,"")</f>
        <v>35</v>
      </c>
    </row>
    <row r="52" spans="2:5" ht="135" x14ac:dyDescent="0.25">
      <c r="B52" s="7">
        <v>44013.422222222223</v>
      </c>
      <c r="C52" s="4" t="s">
        <v>246</v>
      </c>
      <c r="D52" s="6" t="s">
        <v>58</v>
      </c>
      <c r="E52" s="9">
        <f>IF(D51 &lt;&gt; "",LEFT(D51,SUM(LEN(D51)-LEN(SUBSTITUTE(D51,{"0","1","2","3","4","5","6","7","8","9"},""))))+0,"")</f>
        <v>2</v>
      </c>
    </row>
    <row r="53" spans="2:5" ht="75" x14ac:dyDescent="0.25">
      <c r="B53" s="7">
        <v>44013.443749999999</v>
      </c>
      <c r="C53" s="4" t="s">
        <v>248</v>
      </c>
      <c r="D53" s="6" t="s">
        <v>58</v>
      </c>
      <c r="E53" s="9">
        <f>IF(D52 &lt;&gt; "",LEFT(D52,SUM(LEN(D52)-LEN(SUBSTITUTE(D52,{"0","1","2","3","4","5","6","7","8","9"},""))))+0,"")</f>
        <v>15</v>
      </c>
    </row>
    <row r="54" spans="2:5" ht="30" x14ac:dyDescent="0.25">
      <c r="B54" s="7">
        <v>44013.459722222222</v>
      </c>
      <c r="C54" s="4" t="s">
        <v>249</v>
      </c>
      <c r="D54" s="6" t="s">
        <v>64</v>
      </c>
      <c r="E54" s="9">
        <f>IF(D53 &lt;&gt; "",LEFT(D53,SUM(LEN(D53)-LEN(SUBSTITUTE(D53,{"0","1","2","3","4","5","6","7","8","9"},""))))+0,"")</f>
        <v>15</v>
      </c>
    </row>
    <row r="55" spans="2:5" ht="60" x14ac:dyDescent="0.25">
      <c r="B55" s="7">
        <v>44015.051388888889</v>
      </c>
      <c r="C55" s="4" t="s">
        <v>250</v>
      </c>
      <c r="D55" s="6" t="s">
        <v>64</v>
      </c>
      <c r="E55" s="9">
        <f>IF(D54 &lt;&gt; "",LEFT(D54,SUM(LEN(D54)-LEN(SUBSTITUTE(D54,{"0","1","2","3","4","5","6","7","8","9"},""))))+0,"")</f>
        <v>10</v>
      </c>
    </row>
    <row r="56" spans="2:5" ht="45" x14ac:dyDescent="0.25">
      <c r="B56" s="7">
        <v>44015.073611111111</v>
      </c>
      <c r="C56" s="4" t="s">
        <v>251</v>
      </c>
      <c r="D56" s="6" t="s">
        <v>64</v>
      </c>
      <c r="E56" s="9">
        <f>IF(D55 &lt;&gt; "",LEFT(D55,SUM(LEN(D55)-LEN(SUBSTITUTE(D55,{"0","1","2","3","4","5","6","7","8","9"},""))))+0,"")</f>
        <v>10</v>
      </c>
    </row>
    <row r="57" spans="2:5" ht="75" x14ac:dyDescent="0.25">
      <c r="B57" s="7">
        <v>44015.144444444442</v>
      </c>
      <c r="C57" s="4" t="s">
        <v>277</v>
      </c>
      <c r="D57" s="6" t="s">
        <v>58</v>
      </c>
      <c r="E57" s="9">
        <f>IF(D56 &lt;&gt; "",LEFT(D56,SUM(LEN(D56)-LEN(SUBSTITUTE(D56,{"0","1","2","3","4","5","6","7","8","9"},""))))+0,"")</f>
        <v>10</v>
      </c>
    </row>
    <row r="58" spans="2:5" ht="60" x14ac:dyDescent="0.25">
      <c r="B58" s="7">
        <v>44015.171527777777</v>
      </c>
      <c r="C58" s="4" t="s">
        <v>278</v>
      </c>
      <c r="D58" s="6" t="s">
        <v>58</v>
      </c>
      <c r="E58" s="9">
        <f>IF(D57 &lt;&gt; "",LEFT(D57,SUM(LEN(D57)-LEN(SUBSTITUTE(D57,{"0","1","2","3","4","5","6","7","8","9"},""))))+0,"")</f>
        <v>15</v>
      </c>
    </row>
    <row r="59" spans="2:5" ht="90" x14ac:dyDescent="0.25">
      <c r="B59" s="7">
        <v>44015.392361111109</v>
      </c>
      <c r="C59" s="4" t="s">
        <v>279</v>
      </c>
      <c r="D59" s="6" t="s">
        <v>97</v>
      </c>
      <c r="E59" s="9">
        <f>IF(D58 &lt;&gt; "",LEFT(D58,SUM(LEN(D58)-LEN(SUBSTITUTE(D58,{"0","1","2","3","4","5","6","7","8","9"},""))))+0,"")</f>
        <v>15</v>
      </c>
    </row>
    <row r="60" spans="2:5" ht="30" x14ac:dyDescent="0.25">
      <c r="B60" s="7">
        <v>44016.497916666667</v>
      </c>
      <c r="C60" s="4" t="s">
        <v>280</v>
      </c>
      <c r="D60" s="6" t="s">
        <v>61</v>
      </c>
      <c r="E60" s="9">
        <f>IF(D59 &lt;&gt; "",LEFT(D59,SUM(LEN(D59)-LEN(SUBSTITUTE(D59,{"0","1","2","3","4","5","6","7","8","9"},""))))+0,"")</f>
        <v>60</v>
      </c>
    </row>
    <row r="61" spans="2:5" ht="30" x14ac:dyDescent="0.25">
      <c r="B61" s="7">
        <v>44018.454861111109</v>
      </c>
      <c r="C61" s="4" t="s">
        <v>281</v>
      </c>
      <c r="D61" s="6" t="s">
        <v>64</v>
      </c>
      <c r="E61" s="9">
        <f>IF(D60 &lt;&gt; "",LEFT(D60,SUM(LEN(D60)-LEN(SUBSTITUTE(D60,{"0","1","2","3","4","5","6","7","8","9"},""))))+0,"")</f>
        <v>20</v>
      </c>
    </row>
    <row r="62" spans="2:5" ht="30" x14ac:dyDescent="0.25">
      <c r="B62" s="7">
        <v>44018.497916666667</v>
      </c>
      <c r="C62" s="4" t="s">
        <v>282</v>
      </c>
      <c r="D62" s="6" t="s">
        <v>63</v>
      </c>
      <c r="E62" s="9">
        <f>IF(D61 &lt;&gt; "",LEFT(D61,SUM(LEN(D61)-LEN(SUBSTITUTE(D61,{"0","1","2","3","4","5","6","7","8","9"},""))))+0,"")</f>
        <v>10</v>
      </c>
    </row>
    <row r="63" spans="2:5" ht="30" x14ac:dyDescent="0.25">
      <c r="B63" s="7">
        <v>44019.284722222219</v>
      </c>
      <c r="C63" s="4" t="s">
        <v>283</v>
      </c>
      <c r="D63" s="6" t="s">
        <v>61</v>
      </c>
      <c r="E63" s="9">
        <f>IF(D62 &lt;&gt; "",LEFT(D62,SUM(LEN(D62)-LEN(SUBSTITUTE(D62,{"0","1","2","3","4","5","6","7","8","9"},""))))+0,"")</f>
        <v>5</v>
      </c>
    </row>
    <row r="64" spans="2:5" x14ac:dyDescent="0.25">
      <c r="B64" s="7">
        <v>44019.336805555555</v>
      </c>
      <c r="C64" s="4" t="s">
        <v>284</v>
      </c>
      <c r="D64" s="6" t="s">
        <v>58</v>
      </c>
      <c r="E64" s="9">
        <f>IF(D63 &lt;&gt; "",LEFT(D63,SUM(LEN(D63)-LEN(SUBSTITUTE(D63,{"0","1","2","3","4","5","6","7","8","9"},""))))+0,"")</f>
        <v>20</v>
      </c>
    </row>
    <row r="65" spans="2:5" x14ac:dyDescent="0.25">
      <c r="B65" s="7">
        <v>44019.383333333331</v>
      </c>
      <c r="C65" s="4" t="s">
        <v>285</v>
      </c>
      <c r="D65" s="6" t="s">
        <v>64</v>
      </c>
      <c r="E65" s="9">
        <f>IF(D64 &lt;&gt; "",LEFT(D64,SUM(LEN(D64)-LEN(SUBSTITUTE(D64,{"0","1","2","3","4","5","6","7","8","9"},""))))+0,"")</f>
        <v>15</v>
      </c>
    </row>
    <row r="66" spans="2:5" x14ac:dyDescent="0.25">
      <c r="B66" s="7">
        <v>44019.92083333333</v>
      </c>
      <c r="C66" s="4" t="s">
        <v>287</v>
      </c>
      <c r="D66" s="6" t="s">
        <v>63</v>
      </c>
      <c r="E66" s="9">
        <f>IF(D65 &lt;&gt; "",LEFT(D65,SUM(LEN(D65)-LEN(SUBSTITUTE(D65,{"0","1","2","3","4","5","6","7","8","9"},""))))+0,"")</f>
        <v>10</v>
      </c>
    </row>
    <row r="67" spans="2:5" x14ac:dyDescent="0.25">
      <c r="B67" s="7">
        <v>44020.652777777781</v>
      </c>
      <c r="C67" s="4" t="s">
        <v>288</v>
      </c>
      <c r="D67" s="6" t="s">
        <v>58</v>
      </c>
      <c r="E67" s="9">
        <f>IF(D66 &lt;&gt; "",LEFT(D66,SUM(LEN(D66)-LEN(SUBSTITUTE(D66,{"0","1","2","3","4","5","6","7","8","9"},""))))+0,"")</f>
        <v>5</v>
      </c>
    </row>
    <row r="68" spans="2:5" x14ac:dyDescent="0.25">
      <c r="B68" s="7">
        <v>44021.311805555553</v>
      </c>
      <c r="C68" s="4" t="s">
        <v>289</v>
      </c>
      <c r="D68" s="6" t="s">
        <v>63</v>
      </c>
      <c r="E68" s="9">
        <f>IF(D67 &lt;&gt; "",LEFT(D67,SUM(LEN(D67)-LEN(SUBSTITUTE(D67,{"0","1","2","3","4","5","6","7","8","9"},""))))+0,"")</f>
        <v>15</v>
      </c>
    </row>
    <row r="69" spans="2:5" ht="30" x14ac:dyDescent="0.25">
      <c r="B69" s="7">
        <v>44027.492361111108</v>
      </c>
      <c r="C69" s="4" t="s">
        <v>290</v>
      </c>
      <c r="D69" s="6" t="s">
        <v>64</v>
      </c>
      <c r="E69" s="9">
        <f>IF(D68 &lt;&gt; "",LEFT(D68,SUM(LEN(D68)-LEN(SUBSTITUTE(D68,{"0","1","2","3","4","5","6","7","8","9"},""))))+0,"")</f>
        <v>5</v>
      </c>
    </row>
    <row r="70" spans="2:5" ht="45" x14ac:dyDescent="0.25">
      <c r="B70" s="7">
        <v>44027.508333333331</v>
      </c>
      <c r="C70" s="4" t="s">
        <v>291</v>
      </c>
      <c r="D70" s="6" t="s">
        <v>64</v>
      </c>
      <c r="E70" s="9">
        <f>IF(D69 &lt;&gt; "",LEFT(D69,SUM(LEN(D69)-LEN(SUBSTITUTE(D69,{"0","1","2","3","4","5","6","7","8","9"},""))))+0,"")</f>
        <v>10</v>
      </c>
    </row>
    <row r="71" spans="2:5" ht="30" x14ac:dyDescent="0.25">
      <c r="B71" s="7">
        <v>44027.510416666664</v>
      </c>
      <c r="C71" s="4" t="s">
        <v>292</v>
      </c>
      <c r="D71" s="6" t="s">
        <v>64</v>
      </c>
      <c r="E71" s="9">
        <f>IF(D70 &lt;&gt; "",LEFT(D70,SUM(LEN(D70)-LEN(SUBSTITUTE(D70,{"0","1","2","3","4","5","6","7","8","9"},""))))+0,"")</f>
        <v>10</v>
      </c>
    </row>
    <row r="72" spans="2:5" x14ac:dyDescent="0.25">
      <c r="B72" s="7">
        <v>44027.54791666667</v>
      </c>
      <c r="C72" s="4" t="s">
        <v>293</v>
      </c>
      <c r="D72" s="6" t="s">
        <v>64</v>
      </c>
      <c r="E72" s="9">
        <f>IF(D71 &lt;&gt; "",LEFT(D71,SUM(LEN(D71)-LEN(SUBSTITUTE(D71,{"0","1","2","3","4","5","6","7","8","9"},""))))+0,"")</f>
        <v>10</v>
      </c>
    </row>
    <row r="73" spans="2:5" x14ac:dyDescent="0.25">
      <c r="B73" s="7">
        <v>44034.474999999999</v>
      </c>
      <c r="C73" s="4" t="s">
        <v>294</v>
      </c>
      <c r="D73" s="6" t="s">
        <v>60</v>
      </c>
      <c r="E73" s="9">
        <f>IF(D72 &lt;&gt; "",LEFT(D72,SUM(LEN(D72)-LEN(SUBSTITUTE(D72,{"0","1","2","3","4","5","6","7","8","9"},""))))+0,"")</f>
        <v>10</v>
      </c>
    </row>
    <row r="74" spans="2:5" x14ac:dyDescent="0.25">
      <c r="B74" s="7">
        <v>44041.553472222222</v>
      </c>
      <c r="C74" s="4" t="s">
        <v>296</v>
      </c>
      <c r="D74" s="6" t="s">
        <v>297</v>
      </c>
      <c r="E74" s="9">
        <f>IF(D73 &lt;&gt; "",LEFT(D73,SUM(LEN(D73)-LEN(SUBSTITUTE(D73,{"0","1","2","3","4","5","6","7","8","9"},""))))+0,"")</f>
        <v>30</v>
      </c>
    </row>
    <row r="75" spans="2:5" ht="45" x14ac:dyDescent="0.25">
      <c r="B75" s="7">
        <v>44041.617361111108</v>
      </c>
      <c r="C75" s="4" t="s">
        <v>298</v>
      </c>
      <c r="D75" s="6" t="s">
        <v>60</v>
      </c>
      <c r="E75" s="9">
        <f>IF(D74 &lt;&gt; "",LEFT(D74,SUM(LEN(D74)-LEN(SUBSTITUTE(D74,{"0","1","2","3","4","5","6","7","8","9"},""))))+0,"")</f>
        <v>120</v>
      </c>
    </row>
    <row r="76" spans="2:5" x14ac:dyDescent="0.25">
      <c r="B76" s="7">
        <v>44048.564583333333</v>
      </c>
      <c r="C76" s="4" t="s">
        <v>299</v>
      </c>
      <c r="D76" s="6" t="s">
        <v>64</v>
      </c>
      <c r="E76" s="9">
        <f>IF(D75 &lt;&gt; "",LEFT(D75,SUM(LEN(D75)-LEN(SUBSTITUTE(D75,{"0","1","2","3","4","5","6","7","8","9"},""))))+0,"")</f>
        <v>30</v>
      </c>
    </row>
    <row r="77" spans="2:5" x14ac:dyDescent="0.25">
      <c r="B77" s="7">
        <v>44048.602083333331</v>
      </c>
      <c r="C77" s="4" t="s">
        <v>300</v>
      </c>
      <c r="D77" s="6" t="s">
        <v>63</v>
      </c>
      <c r="E77" s="9">
        <f>IF(D76 &lt;&gt; "",LEFT(D76,SUM(LEN(D76)-LEN(SUBSTITUTE(D76,{"0","1","2","3","4","5","6","7","8","9"},""))))+0,"")</f>
        <v>10</v>
      </c>
    </row>
    <row r="78" spans="2:5" x14ac:dyDescent="0.25">
      <c r="B78" s="7">
        <v>44048.636111111111</v>
      </c>
      <c r="C78" s="4" t="s">
        <v>301</v>
      </c>
      <c r="D78" s="6" t="s">
        <v>67</v>
      </c>
      <c r="E78" s="9">
        <f>IF(D77 &lt;&gt; "",LEFT(D77,SUM(LEN(D77)-LEN(SUBSTITUTE(D77,{"0","1","2","3","4","5","6","7","8","9"},""))))+0,"")</f>
        <v>5</v>
      </c>
    </row>
    <row r="79" spans="2:5" x14ac:dyDescent="0.25">
      <c r="B79" s="7">
        <v>44054.586111111108</v>
      </c>
      <c r="C79" s="4" t="s">
        <v>302</v>
      </c>
      <c r="D79" s="6" t="s">
        <v>63</v>
      </c>
      <c r="E79" s="9">
        <f>IF(D78 &lt;&gt; "",LEFT(D78,SUM(LEN(D78)-LEN(SUBSTITUTE(D78,{"0","1","2","3","4","5","6","7","8","9"},""))))+0,"")</f>
        <v>2</v>
      </c>
    </row>
    <row r="80" spans="2:5" x14ac:dyDescent="0.25">
      <c r="B80" s="7">
        <v>44055.55972222222</v>
      </c>
      <c r="C80" s="4" t="s">
        <v>303</v>
      </c>
      <c r="D80" s="6" t="s">
        <v>63</v>
      </c>
      <c r="E80" s="9">
        <f>IF(D79 &lt;&gt; "",LEFT(D79,SUM(LEN(D79)-LEN(SUBSTITUTE(D79,{"0","1","2","3","4","5","6","7","8","9"},""))))+0,"")</f>
        <v>5</v>
      </c>
    </row>
    <row r="81" spans="2:5" ht="45" x14ac:dyDescent="0.25">
      <c r="B81" s="7">
        <v>44055.602777777778</v>
      </c>
      <c r="C81" s="4" t="s">
        <v>304</v>
      </c>
      <c r="D81" s="6" t="s">
        <v>60</v>
      </c>
      <c r="E81" s="9">
        <f>IF(D80 &lt;&gt; "",LEFT(D80,SUM(LEN(D80)-LEN(SUBSTITUTE(D80,{"0","1","2","3","4","5","6","7","8","9"},""))))+0,"")</f>
        <v>5</v>
      </c>
    </row>
    <row r="82" spans="2:5" ht="30" x14ac:dyDescent="0.25">
      <c r="B82" s="7">
        <v>44091.365972222222</v>
      </c>
      <c r="C82" s="4" t="s">
        <v>306</v>
      </c>
      <c r="D82" s="6" t="s">
        <v>63</v>
      </c>
      <c r="E82" s="9">
        <f>IF(D81 &lt;&gt; "",LEFT(D81,SUM(LEN(D81)-LEN(SUBSTITUTE(D81,{"0","1","2","3","4","5","6","7","8","9"},""))))+0,"")</f>
        <v>30</v>
      </c>
    </row>
    <row r="83" spans="2:5" x14ac:dyDescent="0.25">
      <c r="B83" s="7">
        <v>44091.492361111108</v>
      </c>
      <c r="C83" s="4" t="s">
        <v>307</v>
      </c>
      <c r="D83" s="6" t="s">
        <v>58</v>
      </c>
      <c r="E83" s="9">
        <f>IF(D82 &lt;&gt; "",LEFT(D82,SUM(LEN(D82)-LEN(SUBSTITUTE(D82,{"0","1","2","3","4","5","6","7","8","9"},""))))+0,"")</f>
        <v>5</v>
      </c>
    </row>
    <row r="84" spans="2:5" x14ac:dyDescent="0.25">
      <c r="B84" s="7">
        <v>44096.431250000001</v>
      </c>
      <c r="C84" s="4" t="s">
        <v>348</v>
      </c>
      <c r="D84" s="6" t="s">
        <v>58</v>
      </c>
      <c r="E84" s="9">
        <f>IF(D83 &lt;&gt; "",LEFT(D83,SUM(LEN(D83)-LEN(SUBSTITUTE(D83,{"0","1","2","3","4","5","6","7","8","9"},""))))+0,"")</f>
        <v>15</v>
      </c>
    </row>
    <row r="85" spans="2:5" x14ac:dyDescent="0.25">
      <c r="B85" s="7">
        <v>44097.201388888891</v>
      </c>
      <c r="C85" s="4" t="s">
        <v>351</v>
      </c>
      <c r="D85" s="6" t="s">
        <v>64</v>
      </c>
      <c r="E85" s="9">
        <f>IF(D84 &lt;&gt; "",LEFT(D84,SUM(LEN(D84)-LEN(SUBSTITUTE(D84,{"0","1","2","3","4","5","6","7","8","9"},""))))+0,"")</f>
        <v>15</v>
      </c>
    </row>
    <row r="86" spans="2:5" ht="30" x14ac:dyDescent="0.25">
      <c r="B86" s="7">
        <v>44097.505555555559</v>
      </c>
      <c r="C86" s="4" t="s">
        <v>381</v>
      </c>
      <c r="D86" s="6" t="s">
        <v>64</v>
      </c>
      <c r="E86" s="9">
        <f>IF(D85 &lt;&gt; "",LEFT(D85,SUM(LEN(D85)-LEN(SUBSTITUTE(D85,{"0","1","2","3","4","5","6","7","8","9"},""))))+0,"")</f>
        <v>10</v>
      </c>
    </row>
    <row r="87" spans="2:5" ht="30" x14ac:dyDescent="0.25">
      <c r="B87" s="7">
        <v>44097.534722222219</v>
      </c>
      <c r="C87" s="4" t="s">
        <v>382</v>
      </c>
      <c r="D87" s="6" t="s">
        <v>97</v>
      </c>
      <c r="E87" s="9">
        <f>IF(D86 &lt;&gt; "",LEFT(D86,SUM(LEN(D86)-LEN(SUBSTITUTE(D86,{"0","1","2","3","4","5","6","7","8","9"},""))))+0,"")</f>
        <v>10</v>
      </c>
    </row>
    <row r="88" spans="2:5" ht="30" x14ac:dyDescent="0.25">
      <c r="B88" s="7">
        <v>44097.620138888888</v>
      </c>
      <c r="C88" s="4" t="s">
        <v>383</v>
      </c>
      <c r="D88" s="6" t="s">
        <v>64</v>
      </c>
      <c r="E88" s="9">
        <f>IF(D87 &lt;&gt; "",LEFT(D87,SUM(LEN(D87)-LEN(SUBSTITUTE(D87,{"0","1","2","3","4","5","6","7","8","9"},""))))+0,"")</f>
        <v>60</v>
      </c>
    </row>
    <row r="89" spans="2:5" ht="30" x14ac:dyDescent="0.25">
      <c r="B89" s="7">
        <v>44144.195138888892</v>
      </c>
      <c r="C89" s="4" t="s">
        <v>384</v>
      </c>
      <c r="D89" s="6" t="s">
        <v>64</v>
      </c>
      <c r="E89" s="9">
        <f>IF(D88 &lt;&gt; "",LEFT(D88,SUM(LEN(D88)-LEN(SUBSTITUTE(D88,{"0","1","2","3","4","5","6","7","8","9"},""))))+0,"")</f>
        <v>10</v>
      </c>
    </row>
    <row r="90" spans="2:5" ht="30" x14ac:dyDescent="0.25">
      <c r="B90" s="7">
        <v>44144.197222222225</v>
      </c>
      <c r="C90" s="4" t="s">
        <v>385</v>
      </c>
      <c r="D90" s="6" t="s">
        <v>63</v>
      </c>
      <c r="E90" s="9">
        <f>IF(D89 &lt;&gt; "",LEFT(D89,SUM(LEN(D89)-LEN(SUBSTITUTE(D89,{"0","1","2","3","4","5","6","7","8","9"},""))))+0,"")</f>
        <v>10</v>
      </c>
    </row>
    <row r="91" spans="2:5" x14ac:dyDescent="0.25">
      <c r="B91" s="7">
        <v>44144.203472222223</v>
      </c>
      <c r="C91" s="4" t="s">
        <v>386</v>
      </c>
      <c r="D91" s="6" t="s">
        <v>97</v>
      </c>
      <c r="E91" s="9">
        <f>IF(D90 &lt;&gt; "",LEFT(D90,SUM(LEN(D90)-LEN(SUBSTITUTE(D90,{"0","1","2","3","4","5","6","7","8","9"},""))))+0,"")</f>
        <v>5</v>
      </c>
    </row>
    <row r="92" spans="2:5" x14ac:dyDescent="0.25">
      <c r="B92" s="7">
        <v>44144.368750000001</v>
      </c>
      <c r="C92" s="4" t="s">
        <v>387</v>
      </c>
      <c r="D92" s="6" t="s">
        <v>64</v>
      </c>
      <c r="E92" s="9">
        <f>IF(D91 &lt;&gt; "",LEFT(D91,SUM(LEN(D91)-LEN(SUBSTITUTE(D91,{"0","1","2","3","4","5","6","7","8","9"},""))))+0,"")</f>
        <v>60</v>
      </c>
    </row>
    <row r="93" spans="2:5" ht="30" x14ac:dyDescent="0.25">
      <c r="B93" s="7">
        <v>44144.395833333336</v>
      </c>
      <c r="C93" s="4" t="s">
        <v>388</v>
      </c>
      <c r="D93" s="6" t="s">
        <v>64</v>
      </c>
      <c r="E93" s="9">
        <f>IF(D92 &lt;&gt; "",LEFT(D92,SUM(LEN(D92)-LEN(SUBSTITUTE(D92,{"0","1","2","3","4","5","6","7","8","9"},""))))+0,"")</f>
        <v>10</v>
      </c>
    </row>
    <row r="94" spans="2:5" x14ac:dyDescent="0.25">
      <c r="B94" s="7">
        <v>44144.4</v>
      </c>
      <c r="C94" s="4" t="s">
        <v>389</v>
      </c>
      <c r="D94" s="6" t="s">
        <v>63</v>
      </c>
      <c r="E94" s="9">
        <f>IF(D93 &lt;&gt; "",LEFT(D93,SUM(LEN(D93)-LEN(SUBSTITUTE(D93,{"0","1","2","3","4","5","6","7","8","9"},""))))+0,"")</f>
        <v>10</v>
      </c>
    </row>
    <row r="95" spans="2:5" x14ac:dyDescent="0.25">
      <c r="B95" s="7">
        <v>44146.59375</v>
      </c>
      <c r="C95" s="4" t="s">
        <v>390</v>
      </c>
      <c r="D95" s="6" t="s">
        <v>63</v>
      </c>
      <c r="E95" s="9">
        <f>IF(D94 &lt;&gt; "",LEFT(D94,SUM(LEN(D94)-LEN(SUBSTITUTE(D94,{"0","1","2","3","4","5","6","7","8","9"},""))))+0,"")</f>
        <v>5</v>
      </c>
    </row>
    <row r="96" spans="2:5" x14ac:dyDescent="0.25">
      <c r="B96" s="7">
        <v>44146.605555555558</v>
      </c>
      <c r="C96" s="4" t="s">
        <v>391</v>
      </c>
      <c r="D96" s="6" t="s">
        <v>64</v>
      </c>
      <c r="E96" s="9">
        <f>IF(D95 &lt;&gt; "",LEFT(D95,SUM(LEN(D95)-LEN(SUBSTITUTE(D95,{"0","1","2","3","4","5","6","7","8","9"},""))))+0,"")</f>
        <v>5</v>
      </c>
    </row>
    <row r="97" spans="2:5" x14ac:dyDescent="0.25">
      <c r="B97" s="7">
        <v>44146.614583333336</v>
      </c>
      <c r="C97" s="4" t="s">
        <v>392</v>
      </c>
      <c r="D97" s="6" t="s">
        <v>64</v>
      </c>
      <c r="E97" s="9">
        <f>IF(D96 &lt;&gt; "",LEFT(D96,SUM(LEN(D96)-LEN(SUBSTITUTE(D96,{"0","1","2","3","4","5","6","7","8","9"},""))))+0,"")</f>
        <v>10</v>
      </c>
    </row>
    <row r="98" spans="2:5" x14ac:dyDescent="0.25">
      <c r="B98" s="7">
        <v>44152.377083333333</v>
      </c>
      <c r="C98" s="4" t="s">
        <v>393</v>
      </c>
      <c r="D98" s="6" t="s">
        <v>67</v>
      </c>
      <c r="E98" s="9">
        <f>IF(D97 &lt;&gt; "",LEFT(D97,SUM(LEN(D97)-LEN(SUBSTITUTE(D97,{"0","1","2","3","4","5","6","7","8","9"},""))))+0,"")</f>
        <v>10</v>
      </c>
    </row>
    <row r="99" spans="2:5" ht="45" x14ac:dyDescent="0.25">
      <c r="B99" s="7">
        <v>44152.379861111112</v>
      </c>
      <c r="C99" s="4" t="s">
        <v>399</v>
      </c>
      <c r="D99" s="6" t="s">
        <v>63</v>
      </c>
      <c r="E99" s="9">
        <f>IF(D98 &lt;&gt; "",LEFT(D98,SUM(LEN(D98)-LEN(SUBSTITUTE(D98,{"0","1","2","3","4","5","6","7","8","9"},""))))+0,"")</f>
        <v>2</v>
      </c>
    </row>
    <row r="100" spans="2:5" x14ac:dyDescent="0.25">
      <c r="B100" s="7">
        <v>44152.388888888891</v>
      </c>
      <c r="C100" s="4" t="s">
        <v>400</v>
      </c>
      <c r="D100" s="6" t="s">
        <v>63</v>
      </c>
      <c r="E100" s="9">
        <f>IF(D99 &lt;&gt; "",LEFT(D99,SUM(LEN(D99)-LEN(SUBSTITUTE(D99,{"0","1","2","3","4","5","6","7","8","9"},""))))+0,"")</f>
        <v>5</v>
      </c>
    </row>
    <row r="101" spans="2:5" ht="30" x14ac:dyDescent="0.25">
      <c r="B101" s="7">
        <v>44152.438888888886</v>
      </c>
      <c r="C101" s="4" t="s">
        <v>401</v>
      </c>
      <c r="D101" s="6" t="s">
        <v>60</v>
      </c>
      <c r="E101" s="9">
        <f>IF(D100 &lt;&gt; "",LEFT(D100,SUM(LEN(D100)-LEN(SUBSTITUTE(D100,{"0","1","2","3","4","5","6","7","8","9"},""))))+0,"")</f>
        <v>5</v>
      </c>
    </row>
    <row r="102" spans="2:5" x14ac:dyDescent="0.25">
      <c r="B102" s="7">
        <v>44152.456944444442</v>
      </c>
      <c r="C102" s="4" t="s">
        <v>402</v>
      </c>
      <c r="D102" s="6" t="s">
        <v>67</v>
      </c>
      <c r="E102" s="9">
        <f>IF(D101 &lt;&gt; "",LEFT(D101,SUM(LEN(D101)-LEN(SUBSTITUTE(D101,{"0","1","2","3","4","5","6","7","8","9"},""))))+0,"")</f>
        <v>30</v>
      </c>
    </row>
    <row r="103" spans="2:5" ht="30" x14ac:dyDescent="0.25">
      <c r="B103" s="7">
        <v>44152.49722222222</v>
      </c>
      <c r="C103" s="4" t="s">
        <v>403</v>
      </c>
      <c r="D103" s="6" t="s">
        <v>60</v>
      </c>
      <c r="E103" s="9">
        <f>IF(D102 &lt;&gt; "",LEFT(D102,SUM(LEN(D102)-LEN(SUBSTITUTE(D102,{"0","1","2","3","4","5","6","7","8","9"},""))))+0,"")</f>
        <v>2</v>
      </c>
    </row>
    <row r="104" spans="2:5" x14ac:dyDescent="0.25">
      <c r="B104" s="7">
        <v>44153.348611111112</v>
      </c>
      <c r="C104" s="4" t="s">
        <v>404</v>
      </c>
      <c r="D104" s="6" t="s">
        <v>64</v>
      </c>
      <c r="E104" s="9">
        <f>IF(D103 &lt;&gt; "",LEFT(D103,SUM(LEN(D103)-LEN(SUBSTITUTE(D103,{"0","1","2","3","4","5","6","7","8","9"},""))))+0,"")</f>
        <v>30</v>
      </c>
    </row>
    <row r="105" spans="2:5" x14ac:dyDescent="0.25">
      <c r="B105" s="7">
        <v>44153.522916666669</v>
      </c>
      <c r="C105" s="4" t="s">
        <v>408</v>
      </c>
      <c r="D105" s="6" t="s">
        <v>60</v>
      </c>
      <c r="E105" s="9">
        <f>IF(D104 &lt;&gt; "",LEFT(D104,SUM(LEN(D104)-LEN(SUBSTITUTE(D104,{"0","1","2","3","4","5","6","7","8","9"},""))))+0,"")</f>
        <v>10</v>
      </c>
    </row>
    <row r="106" spans="2:5" x14ac:dyDescent="0.25">
      <c r="B106" s="7">
        <v>44153.643750000003</v>
      </c>
      <c r="C106" s="4" t="s">
        <v>409</v>
      </c>
      <c r="D106" s="6" t="s">
        <v>67</v>
      </c>
      <c r="E106" s="9">
        <f>IF(D105 &lt;&gt; "",LEFT(D105,SUM(LEN(D105)-LEN(SUBSTITUTE(D105,{"0","1","2","3","4","5","6","7","8","9"},""))))+0,"")</f>
        <v>30</v>
      </c>
    </row>
    <row r="107" spans="2:5" x14ac:dyDescent="0.25">
      <c r="B107" s="7">
        <v>44155.494444444441</v>
      </c>
      <c r="C107" s="4" t="s">
        <v>410</v>
      </c>
      <c r="D107" s="6" t="s">
        <v>411</v>
      </c>
      <c r="E107" s="9">
        <f>IF(D106 &lt;&gt; "",LEFT(D106,SUM(LEN(D106)-LEN(SUBSTITUTE(D106,{"0","1","2","3","4","5","6","7","8","9"},""))))+0,"")</f>
        <v>2</v>
      </c>
    </row>
    <row r="108" spans="2:5" ht="30" x14ac:dyDescent="0.25">
      <c r="B108" s="7">
        <v>44155.531944444447</v>
      </c>
      <c r="C108" s="4" t="s">
        <v>412</v>
      </c>
      <c r="D108" s="6" t="s">
        <v>97</v>
      </c>
      <c r="E108" s="9">
        <f>IF(D107 &lt;&gt; "",LEFT(D107,SUM(LEN(D107)-LEN(SUBSTITUTE(D107,{"0","1","2","3","4","5","6","7","8","9"},""))))+0,"")</f>
        <v>90</v>
      </c>
    </row>
    <row r="109" spans="2:5" x14ac:dyDescent="0.25">
      <c r="B109" s="7">
        <v>44155.540277777778</v>
      </c>
      <c r="C109" s="4" t="s">
        <v>413</v>
      </c>
      <c r="D109" s="6" t="s">
        <v>63</v>
      </c>
      <c r="E109" s="9">
        <f>IF(D108 &lt;&gt; "",LEFT(D108,SUM(LEN(D108)-LEN(SUBSTITUTE(D108,{"0","1","2","3","4","5","6","7","8","9"},""))))+0,"")</f>
        <v>60</v>
      </c>
    </row>
    <row r="110" spans="2:5" ht="45" x14ac:dyDescent="0.25">
      <c r="B110" s="7">
        <v>44158.372916666667</v>
      </c>
      <c r="C110" s="4" t="s">
        <v>414</v>
      </c>
      <c r="D110" s="6" t="s">
        <v>64</v>
      </c>
      <c r="E110" s="9">
        <f>IF(D109 &lt;&gt; "",LEFT(D109,SUM(LEN(D109)-LEN(SUBSTITUTE(D109,{"0","1","2","3","4","5","6","7","8","9"},""))))+0,"")</f>
        <v>5</v>
      </c>
    </row>
    <row r="111" spans="2:5" x14ac:dyDescent="0.25">
      <c r="B111" s="7">
        <v>44160.581944444442</v>
      </c>
      <c r="C111" s="4" t="s">
        <v>415</v>
      </c>
      <c r="D111" s="6" t="s">
        <v>64</v>
      </c>
      <c r="E111" s="9">
        <f>IF(D110 &lt;&gt; "",LEFT(D110,SUM(LEN(D110)-LEN(SUBSTITUTE(D110,{"0","1","2","3","4","5","6","7","8","9"},""))))+0,"")</f>
        <v>10</v>
      </c>
    </row>
    <row r="112" spans="2:5" ht="30" x14ac:dyDescent="0.25">
      <c r="B112" s="7">
        <v>44162.927777777775</v>
      </c>
      <c r="C112" s="4" t="s">
        <v>419</v>
      </c>
      <c r="D112" s="6" t="s">
        <v>64</v>
      </c>
      <c r="E112" s="9">
        <f>IF(D111 &lt;&gt; "",LEFT(D111,SUM(LEN(D111)-LEN(SUBSTITUTE(D111,{"0","1","2","3","4","5","6","7","8","9"},""))))+0,"")</f>
        <v>10</v>
      </c>
    </row>
    <row r="113" spans="2:5" x14ac:dyDescent="0.25">
      <c r="B113" s="7">
        <v>44164.974999999999</v>
      </c>
      <c r="C113" s="4" t="s">
        <v>420</v>
      </c>
      <c r="D113" s="6" t="s">
        <v>64</v>
      </c>
      <c r="E113" s="9">
        <f>IF(D112 &lt;&gt; "",LEFT(D112,SUM(LEN(D112)-LEN(SUBSTITUTE(D112,{"0","1","2","3","4","5","6","7","8","9"},""))))+0,"")</f>
        <v>10</v>
      </c>
    </row>
    <row r="114" spans="2:5" x14ac:dyDescent="0.25">
      <c r="B114" s="7">
        <v>44166.477083333331</v>
      </c>
      <c r="C114" s="4" t="s">
        <v>422</v>
      </c>
      <c r="D114" s="6" t="s">
        <v>64</v>
      </c>
      <c r="E114" s="9">
        <f>IF(D113 &lt;&gt; "",LEFT(D113,SUM(LEN(D113)-LEN(SUBSTITUTE(D113,{"0","1","2","3","4","5","6","7","8","9"},""))))+0,"")</f>
        <v>10</v>
      </c>
    </row>
    <row r="115" spans="2:5" x14ac:dyDescent="0.25">
      <c r="B115" s="7">
        <v>44167.529861111114</v>
      </c>
      <c r="C115" s="4" t="s">
        <v>423</v>
      </c>
      <c r="D115" s="6" t="s">
        <v>64</v>
      </c>
      <c r="E115" s="9">
        <f>IF(D114 &lt;&gt; "",LEFT(D114,SUM(LEN(D114)-LEN(SUBSTITUTE(D114,{"0","1","2","3","4","5","6","7","8","9"},""))))+0,"")</f>
        <v>10</v>
      </c>
    </row>
    <row r="116" spans="2:5" x14ac:dyDescent="0.25">
      <c r="B116" s="7">
        <v>44170.945833333331</v>
      </c>
      <c r="C116" s="4" t="s">
        <v>424</v>
      </c>
      <c r="D116" s="6" t="s">
        <v>64</v>
      </c>
      <c r="E116" s="9">
        <f>IF(D115 &lt;&gt; "",LEFT(D115,SUM(LEN(D115)-LEN(SUBSTITUTE(D115,{"0","1","2","3","4","5","6","7","8","9"},""))))+0,"")</f>
        <v>10</v>
      </c>
    </row>
    <row r="117" spans="2:5" ht="60" x14ac:dyDescent="0.25">
      <c r="B117" s="7">
        <v>44172.590277777781</v>
      </c>
      <c r="C117" s="4" t="s">
        <v>425</v>
      </c>
      <c r="D117" s="6" t="s">
        <v>60</v>
      </c>
      <c r="E117" s="9">
        <f>IF(D116 &lt;&gt; "",LEFT(D116,SUM(LEN(D116)-LEN(SUBSTITUTE(D116,{"0","1","2","3","4","5","6","7","8","9"},""))))+0,"")</f>
        <v>10</v>
      </c>
    </row>
    <row r="118" spans="2:5" x14ac:dyDescent="0.25">
      <c r="B118" s="7">
        <v>44173.50277777778</v>
      </c>
      <c r="C118" s="4" t="s">
        <v>426</v>
      </c>
      <c r="D118" s="6" t="s">
        <v>60</v>
      </c>
      <c r="E118" s="9">
        <f>IF(D117 &lt;&gt; "",LEFT(D117,SUM(LEN(D117)-LEN(SUBSTITUTE(D117,{"0","1","2","3","4","5","6","7","8","9"},""))))+0,"")</f>
        <v>30</v>
      </c>
    </row>
    <row r="119" spans="2:5" ht="30" x14ac:dyDescent="0.25">
      <c r="B119" s="7">
        <v>44173.520833333336</v>
      </c>
      <c r="C119" s="4" t="s">
        <v>427</v>
      </c>
      <c r="D119" s="6" t="s">
        <v>58</v>
      </c>
      <c r="E119" s="9">
        <f>IF(D118 &lt;&gt; "",LEFT(D118,SUM(LEN(D118)-LEN(SUBSTITUTE(D118,{"0","1","2","3","4","5","6","7","8","9"},""))))+0,"")</f>
        <v>30</v>
      </c>
    </row>
    <row r="120" spans="2:5" x14ac:dyDescent="0.25">
      <c r="B120" s="7">
        <v>44173.527777777781</v>
      </c>
      <c r="C120" s="4" t="s">
        <v>428</v>
      </c>
      <c r="D120" s="6" t="s">
        <v>58</v>
      </c>
      <c r="E120" s="9">
        <f>IF(D119 &lt;&gt; "",LEFT(D119,SUM(LEN(D119)-LEN(SUBSTITUTE(D119,{"0","1","2","3","4","5","6","7","8","9"},""))))+0,"")</f>
        <v>15</v>
      </c>
    </row>
    <row r="121" spans="2:5" x14ac:dyDescent="0.25">
      <c r="B121" s="7">
        <v>44173.599305555559</v>
      </c>
      <c r="C121" s="4" t="s">
        <v>429</v>
      </c>
      <c r="D121" s="6" t="s">
        <v>61</v>
      </c>
      <c r="E121" s="9">
        <f>IF(D120 &lt;&gt; "",LEFT(D120,SUM(LEN(D120)-LEN(SUBSTITUTE(D120,{"0","1","2","3","4","5","6","7","8","9"},""))))+0,"")</f>
        <v>15</v>
      </c>
    </row>
    <row r="122" spans="2:5" ht="30" x14ac:dyDescent="0.25">
      <c r="B122" s="7">
        <v>44174.503472222219</v>
      </c>
      <c r="C122" s="4" t="s">
        <v>430</v>
      </c>
      <c r="D122" s="6" t="s">
        <v>203</v>
      </c>
      <c r="E122" s="9">
        <f>IF(D121 &lt;&gt; "",LEFT(D121,SUM(LEN(D121)-LEN(SUBSTITUTE(D121,{"0","1","2","3","4","5","6","7","8","9"},""))))+0,"")</f>
        <v>20</v>
      </c>
    </row>
    <row r="123" spans="2:5" ht="45" x14ac:dyDescent="0.25">
      <c r="B123" s="7">
        <v>44174.629166666666</v>
      </c>
      <c r="C123" s="4" t="s">
        <v>431</v>
      </c>
      <c r="D123" s="6" t="s">
        <v>58</v>
      </c>
      <c r="E123" s="9">
        <f>IF(D122 &lt;&gt; "",LEFT(D122,SUM(LEN(D122)-LEN(SUBSTITUTE(D122,{"0","1","2","3","4","5","6","7","8","9"},""))))+0,"")</f>
        <v>300</v>
      </c>
    </row>
    <row r="124" spans="2:5" x14ac:dyDescent="0.25">
      <c r="B124" s="7">
        <v>44175.571527777778</v>
      </c>
      <c r="C124" s="4" t="s">
        <v>432</v>
      </c>
      <c r="D124" s="6" t="s">
        <v>64</v>
      </c>
      <c r="E124" s="9">
        <f>IF(D123 &lt;&gt; "",LEFT(D123,SUM(LEN(D123)-LEN(SUBSTITUTE(D123,{"0","1","2","3","4","5","6","7","8","9"},""))))+0,"")</f>
        <v>15</v>
      </c>
    </row>
    <row r="125" spans="2:5" ht="60" x14ac:dyDescent="0.25">
      <c r="B125" s="7">
        <v>44180.631944444445</v>
      </c>
      <c r="C125" s="4" t="s">
        <v>433</v>
      </c>
      <c r="D125" s="6" t="s">
        <v>58</v>
      </c>
      <c r="E125" s="9">
        <f>IF(D124 &lt;&gt; "",LEFT(D124,SUM(LEN(D124)-LEN(SUBSTITUTE(D124,{"0","1","2","3","4","5","6","7","8","9"},""))))+0,"")</f>
        <v>10</v>
      </c>
    </row>
    <row r="126" spans="2:5" ht="30" x14ac:dyDescent="0.25">
      <c r="B126" s="7">
        <v>44180.656944444447</v>
      </c>
      <c r="C126" s="4" t="s">
        <v>434</v>
      </c>
      <c r="D126" s="6" t="s">
        <v>61</v>
      </c>
      <c r="E126" s="9" t="str">
        <f>LEFT(D125,SUM(LEN(D125)-LEN(SUBSTITUTE(D125,{"0","1","2","3","4","5","6","7","8","9"},""))))</f>
        <v>15</v>
      </c>
    </row>
    <row r="127" spans="2:5" x14ac:dyDescent="0.25">
      <c r="B127" s="7">
        <v>44180.666666666664</v>
      </c>
      <c r="C127" s="4" t="s">
        <v>435</v>
      </c>
      <c r="D127" s="6" t="s">
        <v>58</v>
      </c>
      <c r="E127" s="9" t="str">
        <f>LEFT(D126,SUM(LEN(D126)-LEN(SUBSTITUTE(D126,{"0","1","2","3","4","5","6","7","8","9"},""))))</f>
        <v>20</v>
      </c>
    </row>
    <row r="128" spans="2:5" ht="30" x14ac:dyDescent="0.25">
      <c r="B128" s="7">
        <v>44180.679861111108</v>
      </c>
      <c r="C128" s="4" t="s">
        <v>436</v>
      </c>
      <c r="D128" s="6" t="s">
        <v>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56</vt:i4>
      </vt:variant>
    </vt:vector>
  </HeadingPairs>
  <TitlesOfParts>
    <vt:vector size="66"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DifferentDay</vt:lpstr>
      <vt:lpstr>Height</vt:lpstr>
      <vt:lpstr>HtCm</vt:lpstr>
      <vt:lpstr>Location</vt:lpstr>
      <vt:lpstr>mfABW</vt:lpstr>
      <vt:lpstr>mfAdjBW</vt:lpstr>
      <vt:lpstr>mfAge</vt:lpstr>
      <vt:lpstr>MonitoringForm!mfBMI</vt:lpstr>
      <vt:lpstr>mfCLVanco</vt:lpstr>
      <vt:lpstr>mfCrCl</vt:lpstr>
      <vt:lpstr>mfFIN</vt:lpstr>
      <vt:lpstr>mfFirstName</vt:lpstr>
      <vt:lpstr>mfGender</vt:lpstr>
      <vt:lpstr>mfHt</vt:lpstr>
      <vt:lpstr>mfIBW</vt:lpstr>
      <vt:lpstr>MonitoringForm!mfIndication</vt:lpstr>
      <vt:lpstr>mfInfRate</vt:lpstr>
      <vt:lpstr>mfKe</vt:lpstr>
      <vt:lpstr>mfLastName</vt:lpstr>
      <vt:lpstr>mfLDDose</vt:lpstr>
      <vt:lpstr>mfLDScheduledAt</vt:lpstr>
      <vt:lpstr>mfManualCrCl</vt:lpstr>
      <vt:lpstr>mfManualSCr</vt:lpstr>
      <vt:lpstr>mfMDDose</vt:lpstr>
      <vt:lpstr>mfMDScheduledAt</vt:lpstr>
      <vt:lpstr>mfMDTau</vt:lpstr>
      <vt:lpstr>mfMIC</vt:lpstr>
      <vt:lpstr>mfMRN</vt:lpstr>
      <vt:lpstr>mfPeak</vt:lpstr>
      <vt:lpstr>mfPKEqn</vt:lpstr>
      <vt:lpstr>mfPopAUC</vt:lpstr>
      <vt:lpstr>MonitoringForm!mfProvider</vt:lpstr>
      <vt:lpstr>mfSCr</vt:lpstr>
      <vt:lpstr>mfSCr2</vt:lpstr>
      <vt:lpstr>mfT1_2</vt:lpstr>
      <vt:lpstr>mfTarget</vt:lpstr>
      <vt:lpstr>mfTBW_IBW</vt:lpstr>
      <vt:lpstr>mfTrough</vt:lpstr>
      <vt:lpstr>mfUsing</vt:lpstr>
      <vt:lpstr>mfVd</vt:lpstr>
      <vt:lpstr>mfVd_Lkg</vt:lpstr>
      <vt:lpstr>mfWt</vt:lpstr>
      <vt:lpstr>mfWtUsed</vt:lpstr>
      <vt:lpstr>MRN</vt:lpstr>
      <vt:lpstr>Name</vt:lpstr>
      <vt:lpstr>OneLiner</vt:lpstr>
      <vt:lpstr>OtherNephrotoxicDrugs</vt:lpstr>
      <vt:lpstr>SCr</vt:lpstr>
      <vt:lpstr>StartDate</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2020-12-16T01:28:23Z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aa7499eb-f267-481c-a161-ff042b8f683b</vt:lpwstr>
  </property>
</Properties>
</file>