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pess\Dropbox\WRMC\Vancomycin Empiric Calculator\"/>
    </mc:Choice>
  </mc:AlternateContent>
  <xr:revisionPtr revIDLastSave="0" documentId="8_{681CADD1-F586-47EB-979D-4FA7FF30CDCD}" xr6:coauthVersionLast="45" xr6:coauthVersionMax="45" xr10:uidLastSave="{00000000-0000-0000-0000-000000000000}"/>
  <bookViews>
    <workbookView showSheetTabs="0" xWindow="2850" yWindow="9705" windowWidth="19590" windowHeight="11310" tabRatio="911" activeTab="3"/>
  </bookViews>
  <sheets>
    <sheet name="Main" sheetId="14" r:id="rId1"/>
    <sheet name="EmpiricVANCOMYCINdosing" sheetId="12" r:id="rId2"/>
    <sheet name="EmpiricVANCOMYCINtouch" sheetId="15" r:id="rId3"/>
    <sheet name="VANCOMYCINtlk" sheetId="13" r:id="rId4"/>
    <sheet name="VANCOMYCINolk" sheetId="24" r:id="rId5"/>
    <sheet name="AMGEmpiricDosing" sheetId="18" r:id="rId6"/>
    <sheet name="AMGEmpiricTouch" sheetId="20" r:id="rId7"/>
    <sheet name="AMGtlk" sheetId="25" r:id="rId8"/>
    <sheet name="AMG one level kinetics" sheetId="23" r:id="rId9"/>
    <sheet name="Variables" sheetId="1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13" l="1"/>
  <c r="I58" i="13" s="1"/>
  <c r="C6" i="13"/>
  <c r="C18" i="13" s="1"/>
  <c r="D35" i="18"/>
  <c r="D39" i="18" s="1"/>
  <c r="D40" i="18"/>
  <c r="C19" i="13"/>
  <c r="R52" i="13" s="1"/>
  <c r="U52" i="13" s="1"/>
  <c r="C15" i="13"/>
  <c r="N52" i="13"/>
  <c r="T52" i="13"/>
  <c r="W52" i="13"/>
  <c r="D12" i="13"/>
  <c r="D10" i="13"/>
  <c r="D7" i="13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E8" i="13"/>
  <c r="C17" i="13"/>
  <c r="E19" i="13" s="1"/>
  <c r="R53" i="13"/>
  <c r="U53" i="13" s="1"/>
  <c r="N53" i="13"/>
  <c r="S53" i="13"/>
  <c r="V53" i="13" s="1"/>
  <c r="N54" i="13"/>
  <c r="T54" i="13"/>
  <c r="W54" i="13" s="1"/>
  <c r="R55" i="13"/>
  <c r="N55" i="13"/>
  <c r="R56" i="13"/>
  <c r="U56" i="13" s="1"/>
  <c r="N56" i="13"/>
  <c r="R57" i="13"/>
  <c r="U57" i="13" s="1"/>
  <c r="N57" i="13"/>
  <c r="S57" i="13"/>
  <c r="V57" i="13" s="1"/>
  <c r="X57" i="13" s="1"/>
  <c r="T57" i="13"/>
  <c r="W57" i="13" s="1"/>
  <c r="R58" i="13"/>
  <c r="U58" i="13" s="1"/>
  <c r="N58" i="13"/>
  <c r="S58" i="13"/>
  <c r="V58" i="13" s="1"/>
  <c r="T58" i="13"/>
  <c r="W58" i="13" s="1"/>
  <c r="R59" i="13"/>
  <c r="U59" i="13" s="1"/>
  <c r="N59" i="13"/>
  <c r="S59" i="13"/>
  <c r="V59" i="13"/>
  <c r="R60" i="13"/>
  <c r="S60" i="13" s="1"/>
  <c r="V60" i="13" s="1"/>
  <c r="N60" i="13"/>
  <c r="T60" i="13"/>
  <c r="W60" i="13" s="1"/>
  <c r="R61" i="13"/>
  <c r="N61" i="13"/>
  <c r="T61" i="13"/>
  <c r="W61" i="13"/>
  <c r="N62" i="13"/>
  <c r="R63" i="13"/>
  <c r="U63" i="13"/>
  <c r="N63" i="13"/>
  <c r="S63" i="13" s="1"/>
  <c r="V63" i="13" s="1"/>
  <c r="N64" i="13"/>
  <c r="T64" i="13"/>
  <c r="W64" i="13"/>
  <c r="R65" i="13"/>
  <c r="S65" i="13" s="1"/>
  <c r="U65" i="13"/>
  <c r="N65" i="13"/>
  <c r="V65" i="13"/>
  <c r="R66" i="13"/>
  <c r="U66" i="13"/>
  <c r="N66" i="13"/>
  <c r="S66" i="13"/>
  <c r="V66" i="13" s="1"/>
  <c r="T66" i="13"/>
  <c r="W66" i="13" s="1"/>
  <c r="N67" i="13"/>
  <c r="T67" i="13"/>
  <c r="W67" i="13" s="1"/>
  <c r="R68" i="13"/>
  <c r="U68" i="13" s="1"/>
  <c r="N68" i="13"/>
  <c r="S68" i="13"/>
  <c r="V68" i="13" s="1"/>
  <c r="N69" i="13"/>
  <c r="T69" i="13"/>
  <c r="W69" i="13"/>
  <c r="R70" i="13"/>
  <c r="N70" i="13"/>
  <c r="T70" i="13"/>
  <c r="W70" i="13"/>
  <c r="R71" i="13"/>
  <c r="U71" i="13" s="1"/>
  <c r="N71" i="13"/>
  <c r="N72" i="13"/>
  <c r="T72" i="13"/>
  <c r="W72" i="13" s="1"/>
  <c r="R73" i="13"/>
  <c r="N73" i="13"/>
  <c r="R74" i="13"/>
  <c r="U74" i="13"/>
  <c r="N74" i="13"/>
  <c r="R75" i="13"/>
  <c r="U75" i="13" s="1"/>
  <c r="N75" i="13"/>
  <c r="S75" i="13"/>
  <c r="V75" i="13" s="1"/>
  <c r="X75" i="13" s="1"/>
  <c r="T75" i="13"/>
  <c r="W75" i="13" s="1"/>
  <c r="R76" i="13"/>
  <c r="U76" i="13" s="1"/>
  <c r="N76" i="13"/>
  <c r="S76" i="13" s="1"/>
  <c r="V76" i="13" s="1"/>
  <c r="T76" i="13"/>
  <c r="W76" i="13" s="1"/>
  <c r="R77" i="13"/>
  <c r="U77" i="13" s="1"/>
  <c r="N77" i="13"/>
  <c r="S77" i="13"/>
  <c r="V77" i="13" s="1"/>
  <c r="R78" i="13"/>
  <c r="S78" i="13" s="1"/>
  <c r="V78" i="13" s="1"/>
  <c r="N78" i="13"/>
  <c r="T78" i="13"/>
  <c r="W78" i="13" s="1"/>
  <c r="R79" i="13"/>
  <c r="N79" i="13"/>
  <c r="T79" i="13"/>
  <c r="W79" i="13"/>
  <c r="R80" i="13"/>
  <c r="U80" i="13" s="1"/>
  <c r="N80" i="13"/>
  <c r="S80" i="13" s="1"/>
  <c r="V80" i="13" s="1"/>
  <c r="R81" i="13"/>
  <c r="U81" i="13"/>
  <c r="N81" i="13"/>
  <c r="S81" i="13" s="1"/>
  <c r="V81" i="13" s="1"/>
  <c r="X81" i="13" s="1"/>
  <c r="T81" i="13"/>
  <c r="W81" i="13" s="1"/>
  <c r="R82" i="13"/>
  <c r="U82" i="13" s="1"/>
  <c r="N82" i="13"/>
  <c r="S82" i="13" s="1"/>
  <c r="V82" i="13" s="1"/>
  <c r="T82" i="13"/>
  <c r="W82" i="13"/>
  <c r="R83" i="13"/>
  <c r="S83" i="13" s="1"/>
  <c r="N83" i="13"/>
  <c r="V83" i="13"/>
  <c r="R84" i="13"/>
  <c r="U84" i="13" s="1"/>
  <c r="N84" i="13"/>
  <c r="T84" i="13"/>
  <c r="W84" i="13" s="1"/>
  <c r="N85" i="13"/>
  <c r="T85" i="13"/>
  <c r="W85" i="13"/>
  <c r="R86" i="13"/>
  <c r="N86" i="13"/>
  <c r="R87" i="13"/>
  <c r="U87" i="13"/>
  <c r="X87" i="13" s="1"/>
  <c r="N87" i="13"/>
  <c r="S87" i="13" s="1"/>
  <c r="V87" i="13" s="1"/>
  <c r="T87" i="13"/>
  <c r="W87" i="13"/>
  <c r="R88" i="13"/>
  <c r="N88" i="13"/>
  <c r="T88" i="13"/>
  <c r="W88" i="13"/>
  <c r="R89" i="13"/>
  <c r="S89" i="13" s="1"/>
  <c r="V89" i="13" s="1"/>
  <c r="N89" i="13"/>
  <c r="N90" i="13"/>
  <c r="T90" i="13"/>
  <c r="W90" i="13" s="1"/>
  <c r="R91" i="13"/>
  <c r="U91" i="13" s="1"/>
  <c r="N91" i="13"/>
  <c r="R92" i="13"/>
  <c r="N92" i="13"/>
  <c r="R93" i="13"/>
  <c r="U93" i="13" s="1"/>
  <c r="N93" i="13"/>
  <c r="T93" i="13"/>
  <c r="W93" i="13"/>
  <c r="R94" i="13"/>
  <c r="U94" i="13" s="1"/>
  <c r="N94" i="13"/>
  <c r="T94" i="13"/>
  <c r="W94" i="13" s="1"/>
  <c r="R95" i="13"/>
  <c r="N95" i="13"/>
  <c r="R96" i="13"/>
  <c r="S96" i="13" s="1"/>
  <c r="V96" i="13" s="1"/>
  <c r="N96" i="13"/>
  <c r="T96" i="13"/>
  <c r="W96" i="13" s="1"/>
  <c r="C21" i="13"/>
  <c r="C20" i="13"/>
  <c r="E20" i="13"/>
  <c r="D13" i="25"/>
  <c r="B45" i="20"/>
  <c r="B51" i="20"/>
  <c r="B50" i="20"/>
  <c r="B14" i="20"/>
  <c r="D27" i="20" s="1"/>
  <c r="B32" i="20" s="1"/>
  <c r="D26" i="20"/>
  <c r="B26" i="20"/>
  <c r="D25" i="20"/>
  <c r="B25" i="20"/>
  <c r="D13" i="18"/>
  <c r="I8" i="18" s="1"/>
  <c r="G13" i="18" s="1"/>
  <c r="H14" i="18" s="1"/>
  <c r="B18" i="18"/>
  <c r="I4" i="18"/>
  <c r="G7" i="18" s="1"/>
  <c r="I3" i="18"/>
  <c r="G4" i="18" s="1"/>
  <c r="M48" i="13"/>
  <c r="I50" i="13"/>
  <c r="I51" i="13"/>
  <c r="M52" i="13"/>
  <c r="I52" i="13"/>
  <c r="M53" i="13"/>
  <c r="I53" i="13"/>
  <c r="J50" i="13"/>
  <c r="I54" i="13"/>
  <c r="J51" i="13"/>
  <c r="I55" i="13"/>
  <c r="J52" i="13"/>
  <c r="J53" i="13" s="1"/>
  <c r="M57" i="13" s="1"/>
  <c r="M56" i="13"/>
  <c r="I56" i="13"/>
  <c r="I57" i="13"/>
  <c r="I59" i="13"/>
  <c r="I60" i="13"/>
  <c r="I61" i="13"/>
  <c r="I62" i="13"/>
  <c r="I63" i="13"/>
  <c r="I64" i="13"/>
  <c r="I65" i="13"/>
  <c r="I66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1" i="13"/>
  <c r="I49" i="13"/>
  <c r="D13" i="15"/>
  <c r="C37" i="15"/>
  <c r="C42" i="15" s="1"/>
  <c r="B51" i="15"/>
  <c r="N106" i="15" s="1"/>
  <c r="Q106" i="15" s="1"/>
  <c r="H94" i="15"/>
  <c r="H95" i="15"/>
  <c r="H96" i="15"/>
  <c r="H97" i="15"/>
  <c r="H98" i="15"/>
  <c r="H99" i="15"/>
  <c r="H100" i="15"/>
  <c r="L101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93" i="15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61" i="13"/>
  <c r="O60" i="13"/>
  <c r="O59" i="13"/>
  <c r="O58" i="13"/>
  <c r="O57" i="13"/>
  <c r="O56" i="13"/>
  <c r="O55" i="13"/>
  <c r="O54" i="13"/>
  <c r="O53" i="13"/>
  <c r="O52" i="13"/>
  <c r="D32" i="12"/>
  <c r="D31" i="12"/>
  <c r="C28" i="20"/>
  <c r="C39" i="20" s="1"/>
  <c r="B46" i="20"/>
  <c r="C33" i="20"/>
  <c r="B44" i="20"/>
  <c r="H9" i="18"/>
  <c r="H21" i="18" s="1"/>
  <c r="D34" i="18"/>
  <c r="D37" i="18"/>
  <c r="F42" i="18"/>
  <c r="D33" i="18"/>
  <c r="D36" i="18"/>
  <c r="G42" i="18" s="1"/>
  <c r="B24" i="18"/>
  <c r="C28" i="13"/>
  <c r="C30" i="13"/>
  <c r="E38" i="13"/>
  <c r="E39" i="13" s="1"/>
  <c r="E42" i="13" s="1"/>
  <c r="B24" i="15"/>
  <c r="C32" i="15"/>
  <c r="C44" i="15"/>
  <c r="N99" i="15"/>
  <c r="Q99" i="15" s="1"/>
  <c r="N119" i="15"/>
  <c r="Q119" i="15" s="1"/>
  <c r="N126" i="15"/>
  <c r="Q126" i="15" s="1"/>
  <c r="N136" i="15"/>
  <c r="Q136" i="15" s="1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B53" i="15"/>
  <c r="B55" i="15"/>
  <c r="B50" i="15"/>
  <c r="A97" i="15"/>
  <c r="A98" i="15"/>
  <c r="A99" i="15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B18" i="12"/>
  <c r="B20" i="12"/>
  <c r="B25" i="12" s="1"/>
  <c r="H9" i="12"/>
  <c r="H21" i="12"/>
  <c r="D13" i="12"/>
  <c r="H14" i="12" s="1"/>
  <c r="M76" i="12"/>
  <c r="P76" i="12" s="1"/>
  <c r="M77" i="12"/>
  <c r="P77" i="12" s="1"/>
  <c r="M78" i="12"/>
  <c r="P78" i="12" s="1"/>
  <c r="K79" i="12"/>
  <c r="M79" i="12"/>
  <c r="P79" i="12" s="1"/>
  <c r="M80" i="12"/>
  <c r="P80" i="12" s="1"/>
  <c r="K81" i="12"/>
  <c r="M81" i="12"/>
  <c r="P81" i="12" s="1"/>
  <c r="M82" i="12"/>
  <c r="P82" i="12" s="1"/>
  <c r="K83" i="12"/>
  <c r="K84" i="12"/>
  <c r="M84" i="12"/>
  <c r="P84" i="12"/>
  <c r="K85" i="12"/>
  <c r="K86" i="12"/>
  <c r="M86" i="12"/>
  <c r="P86" i="12"/>
  <c r="K87" i="12"/>
  <c r="K88" i="12"/>
  <c r="M88" i="12"/>
  <c r="P88" i="12"/>
  <c r="M89" i="12"/>
  <c r="P89" i="12"/>
  <c r="K90" i="12"/>
  <c r="M90" i="12"/>
  <c r="P90" i="12" s="1"/>
  <c r="K91" i="12"/>
  <c r="M91" i="12"/>
  <c r="P91" i="12"/>
  <c r="M92" i="12"/>
  <c r="P92" i="12"/>
  <c r="M93" i="12"/>
  <c r="P93" i="12"/>
  <c r="M94" i="12"/>
  <c r="P94" i="12"/>
  <c r="M95" i="12"/>
  <c r="P95" i="12" s="1"/>
  <c r="M96" i="12"/>
  <c r="P96" i="12" s="1"/>
  <c r="K97" i="12"/>
  <c r="N97" i="12" s="1"/>
  <c r="L97" i="12"/>
  <c r="O97" i="12"/>
  <c r="K98" i="12"/>
  <c r="N98" i="12"/>
  <c r="L98" i="12"/>
  <c r="O98" i="12" s="1"/>
  <c r="K99" i="12"/>
  <c r="L99" i="12" s="1"/>
  <c r="O99" i="12"/>
  <c r="K100" i="12"/>
  <c r="N100" i="12"/>
  <c r="L100" i="12"/>
  <c r="O100" i="12" s="1"/>
  <c r="K102" i="12"/>
  <c r="L102" i="12" s="1"/>
  <c r="O102" i="12" s="1"/>
  <c r="N102" i="12"/>
  <c r="Q102" i="12" s="1"/>
  <c r="M102" i="12"/>
  <c r="P102" i="12" s="1"/>
  <c r="K103" i="12"/>
  <c r="L103" i="12" s="1"/>
  <c r="O103" i="12" s="1"/>
  <c r="N103" i="12"/>
  <c r="Q103" i="12" s="1"/>
  <c r="M103" i="12"/>
  <c r="P103" i="12"/>
  <c r="K104" i="12"/>
  <c r="M104" i="12"/>
  <c r="P104" i="12"/>
  <c r="K105" i="12"/>
  <c r="M105" i="12"/>
  <c r="P105" i="12"/>
  <c r="M106" i="12"/>
  <c r="P106" i="12"/>
  <c r="M107" i="12"/>
  <c r="P107" i="12"/>
  <c r="M108" i="12"/>
  <c r="P108" i="12"/>
  <c r="M110" i="12"/>
  <c r="P110" i="12" s="1"/>
  <c r="K111" i="12"/>
  <c r="L111" i="12" s="1"/>
  <c r="O111" i="12"/>
  <c r="M111" i="12"/>
  <c r="P111" i="12" s="1"/>
  <c r="K112" i="12"/>
  <c r="N112" i="12"/>
  <c r="L112" i="12"/>
  <c r="O112" i="12" s="1"/>
  <c r="K114" i="12"/>
  <c r="N114" i="12"/>
  <c r="L114" i="12"/>
  <c r="O114" i="12" s="1"/>
  <c r="K115" i="12"/>
  <c r="L115" i="12" s="1"/>
  <c r="O115" i="12" s="1"/>
  <c r="N115" i="12"/>
  <c r="K116" i="12"/>
  <c r="L116" i="12" s="1"/>
  <c r="O116" i="12" s="1"/>
  <c r="N116" i="12"/>
  <c r="K117" i="12"/>
  <c r="L117" i="12" s="1"/>
  <c r="O117" i="12" s="1"/>
  <c r="N117" i="12"/>
  <c r="Q117" i="12" s="1"/>
  <c r="M117" i="12"/>
  <c r="P117" i="12"/>
  <c r="K118" i="12"/>
  <c r="M118" i="12"/>
  <c r="P118" i="12"/>
  <c r="K119" i="12"/>
  <c r="M119" i="12"/>
  <c r="P119" i="12"/>
  <c r="D8" i="12"/>
  <c r="B24" i="12"/>
  <c r="A78" i="12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H19" i="12"/>
  <c r="D34" i="12"/>
  <c r="D36" i="12"/>
  <c r="H87" i="12"/>
  <c r="H78" i="12"/>
  <c r="H76" i="12"/>
  <c r="H75" i="12"/>
  <c r="H104" i="12"/>
  <c r="H97" i="12"/>
  <c r="H83" i="12"/>
  <c r="H79" i="12"/>
  <c r="H77" i="12"/>
  <c r="H108" i="12"/>
  <c r="H102" i="12"/>
  <c r="H88" i="12"/>
  <c r="H82" i="12"/>
  <c r="H80" i="12"/>
  <c r="H111" i="12"/>
  <c r="H106" i="12"/>
  <c r="H93" i="12"/>
  <c r="H85" i="12"/>
  <c r="H81" i="12"/>
  <c r="H113" i="12"/>
  <c r="H109" i="12"/>
  <c r="H98" i="12"/>
  <c r="H89" i="12"/>
  <c r="H84" i="12"/>
  <c r="H116" i="12"/>
  <c r="H110" i="12"/>
  <c r="H101" i="12"/>
  <c r="H92" i="12"/>
  <c r="H86" i="12"/>
  <c r="H117" i="12"/>
  <c r="H112" i="12"/>
  <c r="H103" i="12"/>
  <c r="H95" i="12"/>
  <c r="H90" i="12"/>
  <c r="H118" i="12"/>
  <c r="H114" i="12"/>
  <c r="H105" i="12"/>
  <c r="H99" i="12"/>
  <c r="H91" i="12"/>
  <c r="H119" i="12"/>
  <c r="H115" i="12"/>
  <c r="H107" i="12"/>
  <c r="H100" i="12"/>
  <c r="H94" i="12"/>
  <c r="H96" i="12"/>
  <c r="D8" i="20"/>
  <c r="E36" i="13"/>
  <c r="E35" i="13" s="1"/>
  <c r="D8" i="15"/>
  <c r="B18" i="15"/>
  <c r="D11" i="20"/>
  <c r="B15" i="20"/>
  <c r="B17" i="20"/>
  <c r="D11" i="25"/>
  <c r="E13" i="25" s="1"/>
  <c r="C16" i="25"/>
  <c r="F25" i="25"/>
  <c r="F35" i="25"/>
  <c r="F26" i="25"/>
  <c r="F36" i="25"/>
  <c r="F27" i="25"/>
  <c r="F37" i="25" s="1"/>
  <c r="F28" i="25"/>
  <c r="F38" i="25"/>
  <c r="F29" i="25"/>
  <c r="F39" i="25" s="1"/>
  <c r="F30" i="25"/>
  <c r="F40" i="25" s="1"/>
  <c r="F24" i="25"/>
  <c r="F34" i="25"/>
  <c r="D8" i="25"/>
  <c r="E14" i="25" s="1"/>
  <c r="E9" i="25"/>
  <c r="C18" i="25"/>
  <c r="C20" i="25"/>
  <c r="E30" i="25" s="1"/>
  <c r="E40" i="25" s="1"/>
  <c r="D30" i="25" s="1"/>
  <c r="E27" i="25"/>
  <c r="E25" i="25"/>
  <c r="E35" i="25" s="1"/>
  <c r="G35" i="25" s="1"/>
  <c r="E28" i="25"/>
  <c r="E38" i="25"/>
  <c r="D28" i="25" s="1"/>
  <c r="E29" i="25"/>
  <c r="E39" i="25" s="1"/>
  <c r="E24" i="25"/>
  <c r="E34" i="25" s="1"/>
  <c r="D8" i="18"/>
  <c r="B20" i="18"/>
  <c r="C17" i="25"/>
  <c r="G40" i="25"/>
  <c r="H40" i="25" s="1"/>
  <c r="I30" i="25" s="1"/>
  <c r="B16" i="20"/>
  <c r="A56" i="20"/>
  <c r="B25" i="18"/>
  <c r="I7" i="18"/>
  <c r="I13" i="12"/>
  <c r="A45" i="12"/>
  <c r="I8" i="12"/>
  <c r="D35" i="12"/>
  <c r="F9" i="13"/>
  <c r="F8" i="13"/>
  <c r="C16" i="13"/>
  <c r="I9" i="25"/>
  <c r="I10" i="25"/>
  <c r="C19" i="25"/>
  <c r="C36" i="25"/>
  <c r="C37" i="25" s="1"/>
  <c r="C24" i="25"/>
  <c r="D25" i="25"/>
  <c r="B26" i="18"/>
  <c r="B52" i="18"/>
  <c r="B51" i="18"/>
  <c r="C28" i="25"/>
  <c r="C30" i="25"/>
  <c r="A89" i="20"/>
  <c r="A90" i="20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/>
  <c r="A102" i="20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B53" i="20"/>
  <c r="B54" i="20" s="1"/>
  <c r="H8" i="18"/>
  <c r="A78" i="18"/>
  <c r="A79" i="18" s="1"/>
  <c r="A80" i="18"/>
  <c r="F34" i="18"/>
  <c r="E10" i="25"/>
  <c r="E12" i="25"/>
  <c r="K56" i="25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L56" i="25"/>
  <c r="N56" i="25"/>
  <c r="O56" i="25"/>
  <c r="P56" i="25"/>
  <c r="L57" i="25"/>
  <c r="O57" i="25"/>
  <c r="L58" i="25"/>
  <c r="M58" i="25"/>
  <c r="M59" i="25" s="1"/>
  <c r="N58" i="25"/>
  <c r="L59" i="25"/>
  <c r="N59" i="25"/>
  <c r="O59" i="25"/>
  <c r="L60" i="25"/>
  <c r="N60" i="25"/>
  <c r="O60" i="25"/>
  <c r="P60" i="25"/>
  <c r="L61" i="25"/>
  <c r="O61" i="25"/>
  <c r="P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A69" i="25"/>
  <c r="L81" i="25"/>
  <c r="L82" i="25"/>
  <c r="L83" i="25"/>
  <c r="L84" i="25"/>
  <c r="L85" i="25"/>
  <c r="L86" i="25"/>
  <c r="L87" i="25"/>
  <c r="L88" i="25"/>
  <c r="L89" i="25"/>
  <c r="D31" i="15"/>
  <c r="C15" i="24"/>
  <c r="E12" i="24"/>
  <c r="C30" i="24"/>
  <c r="D10" i="24"/>
  <c r="C8" i="24"/>
  <c r="E8" i="24" s="1"/>
  <c r="D7" i="24"/>
  <c r="H48" i="24" s="1"/>
  <c r="H49" i="24" s="1"/>
  <c r="H50" i="24" s="1"/>
  <c r="H51" i="24" s="1"/>
  <c r="H52" i="24" s="1"/>
  <c r="H53" i="24" s="1"/>
  <c r="H54" i="24" s="1"/>
  <c r="H55" i="24" s="1"/>
  <c r="H56" i="24" s="1"/>
  <c r="H57" i="24" s="1"/>
  <c r="H58" i="24" s="1"/>
  <c r="H59" i="24" s="1"/>
  <c r="H60" i="24" s="1"/>
  <c r="H61" i="24" s="1"/>
  <c r="H62" i="24" s="1"/>
  <c r="H63" i="24" s="1"/>
  <c r="H64" i="24" s="1"/>
  <c r="H65" i="24" s="1"/>
  <c r="H66" i="24" s="1"/>
  <c r="H67" i="24" s="1"/>
  <c r="H68" i="24" s="1"/>
  <c r="H69" i="24" s="1"/>
  <c r="H70" i="24" s="1"/>
  <c r="H71" i="24" s="1"/>
  <c r="H72" i="24" s="1"/>
  <c r="H73" i="24" s="1"/>
  <c r="H74" i="24" s="1"/>
  <c r="H75" i="24" s="1"/>
  <c r="H76" i="24" s="1"/>
  <c r="H77" i="24" s="1"/>
  <c r="H78" i="24" s="1"/>
  <c r="H79" i="24" s="1"/>
  <c r="H80" i="24" s="1"/>
  <c r="H81" i="24" s="1"/>
  <c r="D51" i="24"/>
  <c r="D52" i="24"/>
  <c r="D53" i="24"/>
  <c r="C20" i="24"/>
  <c r="B52" i="24"/>
  <c r="B51" i="24"/>
  <c r="B50" i="24"/>
  <c r="E9" i="24"/>
  <c r="E11" i="24"/>
  <c r="C16" i="24"/>
  <c r="C17" i="24"/>
  <c r="K50" i="24" s="1"/>
  <c r="C18" i="24"/>
  <c r="C21" i="24"/>
  <c r="E36" i="24"/>
  <c r="E35" i="24" s="1"/>
  <c r="I48" i="24"/>
  <c r="K48" i="24"/>
  <c r="L48" i="24"/>
  <c r="M48" i="24"/>
  <c r="K49" i="24" s="1"/>
  <c r="M49" i="24"/>
  <c r="L49" i="24"/>
  <c r="I49" i="24"/>
  <c r="M50" i="24"/>
  <c r="I50" i="24"/>
  <c r="J50" i="24"/>
  <c r="K52" i="24" s="1"/>
  <c r="L51" i="24"/>
  <c r="I51" i="24"/>
  <c r="J51" i="24"/>
  <c r="J52" i="24" s="1"/>
  <c r="K51" i="24"/>
  <c r="M52" i="24"/>
  <c r="L52" i="24"/>
  <c r="I52" i="24"/>
  <c r="M53" i="24"/>
  <c r="I53" i="24"/>
  <c r="M54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F34" i="12"/>
  <c r="F33" i="12"/>
  <c r="H8" i="12"/>
  <c r="F32" i="12"/>
  <c r="H13" i="12"/>
  <c r="F31" i="12" s="1"/>
  <c r="B20" i="15"/>
  <c r="B25" i="15" s="1"/>
  <c r="C36" i="15"/>
  <c r="D50" i="15" s="1"/>
  <c r="D53" i="15"/>
  <c r="D52" i="15"/>
  <c r="C31" i="15"/>
  <c r="D51" i="15" s="1"/>
  <c r="B54" i="15"/>
  <c r="C27" i="20"/>
  <c r="C38" i="20"/>
  <c r="C32" i="20"/>
  <c r="C20" i="23"/>
  <c r="C17" i="23"/>
  <c r="C15" i="23"/>
  <c r="C33" i="23" s="1"/>
  <c r="C34" i="23" s="1"/>
  <c r="C35" i="23" s="1"/>
  <c r="C19" i="23"/>
  <c r="E26" i="23"/>
  <c r="E9" i="23"/>
  <c r="E8" i="23"/>
  <c r="E10" i="23"/>
  <c r="E16" i="23" s="1"/>
  <c r="E12" i="23"/>
  <c r="D48" i="23"/>
  <c r="C48" i="23" s="1"/>
  <c r="D49" i="23"/>
  <c r="D50" i="23" s="1"/>
  <c r="C47" i="23"/>
  <c r="E17" i="23"/>
  <c r="E18" i="23"/>
  <c r="C18" i="23"/>
  <c r="H2" i="23"/>
  <c r="H5" i="23" s="1"/>
  <c r="I2" i="23"/>
  <c r="H3" i="23"/>
  <c r="H4" i="23" s="1"/>
  <c r="H7" i="23" s="1"/>
  <c r="H8" i="23" s="1"/>
  <c r="H9" i="23" s="1"/>
  <c r="H10" i="23" s="1"/>
  <c r="H11" i="23" s="1"/>
  <c r="H12" i="23" s="1"/>
  <c r="H13" i="23" s="1"/>
  <c r="H14" i="23" s="1"/>
  <c r="H15" i="23" s="1"/>
  <c r="H16" i="23" s="1"/>
  <c r="H17" i="23" s="1"/>
  <c r="H18" i="23" s="1"/>
  <c r="H19" i="23" s="1"/>
  <c r="H20" i="23" s="1"/>
  <c r="I3" i="23"/>
  <c r="I5" i="23"/>
  <c r="H6" i="23"/>
  <c r="I8" i="23"/>
  <c r="I11" i="23"/>
  <c r="I14" i="23"/>
  <c r="B17" i="23"/>
  <c r="I17" i="23"/>
  <c r="B18" i="23"/>
  <c r="I19" i="23"/>
  <c r="H21" i="23"/>
  <c r="H22" i="23"/>
  <c r="I22" i="23"/>
  <c r="H23" i="23"/>
  <c r="H24" i="23" s="1"/>
  <c r="H25" i="23" s="1"/>
  <c r="I26" i="23"/>
  <c r="B47" i="23"/>
  <c r="D43" i="15"/>
  <c r="B52" i="15"/>
  <c r="B18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E9" i="13"/>
  <c r="E11" i="13"/>
  <c r="C9" i="14"/>
  <c r="D33" i="12"/>
  <c r="H19" i="18"/>
  <c r="H13" i="18"/>
  <c r="H40" i="16"/>
  <c r="H41" i="16" s="1"/>
  <c r="H38" i="16" s="1"/>
  <c r="H37" i="16" s="1"/>
  <c r="H36" i="16" s="1"/>
  <c r="H35" i="16" s="1"/>
  <c r="H34" i="16" s="1"/>
  <c r="H33" i="16" s="1"/>
  <c r="H32" i="16" s="1"/>
  <c r="H31" i="16" s="1"/>
  <c r="H30" i="16" s="1"/>
  <c r="H29" i="16" s="1"/>
  <c r="H28" i="16" s="1"/>
  <c r="H27" i="16" s="1"/>
  <c r="H26" i="16" s="1"/>
  <c r="H25" i="16" s="1"/>
  <c r="H24" i="16" s="1"/>
  <c r="H23" i="16" s="1"/>
  <c r="H22" i="16" s="1"/>
  <c r="H21" i="16" s="1"/>
  <c r="H20" i="16" s="1"/>
  <c r="H19" i="16" s="1"/>
  <c r="H18" i="16" s="1"/>
  <c r="H17" i="16" s="1"/>
  <c r="H16" i="16" s="1"/>
  <c r="H15" i="16" s="1"/>
  <c r="H14" i="16" s="1"/>
  <c r="H13" i="16" s="1"/>
  <c r="H12" i="16" s="1"/>
  <c r="H11" i="16" s="1"/>
  <c r="H10" i="16" s="1"/>
  <c r="H9" i="16" s="1"/>
  <c r="H8" i="16" s="1"/>
  <c r="H7" i="16" s="1"/>
  <c r="H6" i="16" s="1"/>
  <c r="H5" i="16" s="1"/>
  <c r="H4" i="16" s="1"/>
  <c r="H3" i="16" s="1"/>
  <c r="H2" i="16" s="1"/>
  <c r="H1" i="16" s="1"/>
  <c r="C43" i="15"/>
  <c r="B26" i="15"/>
  <c r="A64" i="15"/>
  <c r="E34" i="13"/>
  <c r="B26" i="12"/>
  <c r="I20" i="12"/>
  <c r="H20" i="12"/>
  <c r="K52" i="13"/>
  <c r="K53" i="13"/>
  <c r="K54" i="13"/>
  <c r="K55" i="13"/>
  <c r="K51" i="13"/>
  <c r="K50" i="13"/>
  <c r="K49" i="13"/>
  <c r="L53" i="13"/>
  <c r="L54" i="13"/>
  <c r="L55" i="13"/>
  <c r="L56" i="13"/>
  <c r="L52" i="13"/>
  <c r="L51" i="13"/>
  <c r="L50" i="13"/>
  <c r="L49" i="13"/>
  <c r="K48" i="13"/>
  <c r="I48" i="13"/>
  <c r="L48" i="13"/>
  <c r="C29" i="13"/>
  <c r="E33" i="13" s="1"/>
  <c r="D42" i="18"/>
  <c r="C79" i="18"/>
  <c r="E78" i="18"/>
  <c r="D78" i="18"/>
  <c r="C78" i="18"/>
  <c r="E77" i="18"/>
  <c r="D77" i="18"/>
  <c r="C77" i="18"/>
  <c r="E76" i="18"/>
  <c r="D76" i="18"/>
  <c r="C76" i="18"/>
  <c r="A39" i="18"/>
  <c r="F35" i="18"/>
  <c r="D43" i="18"/>
  <c r="G72" i="18"/>
  <c r="H20" i="18"/>
  <c r="A45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E11" i="25" l="1"/>
  <c r="E12" i="13"/>
  <c r="C36" i="13"/>
  <c r="E10" i="13"/>
  <c r="K54" i="24"/>
  <c r="M56" i="24"/>
  <c r="J53" i="24"/>
  <c r="L55" i="24"/>
  <c r="D51" i="23"/>
  <c r="B50" i="23"/>
  <c r="C50" i="23"/>
  <c r="A81" i="18"/>
  <c r="D80" i="18"/>
  <c r="B48" i="23"/>
  <c r="E10" i="24"/>
  <c r="C36" i="24"/>
  <c r="E79" i="18"/>
  <c r="D79" i="18"/>
  <c r="I4" i="23"/>
  <c r="I10" i="23"/>
  <c r="I16" i="23"/>
  <c r="I21" i="23"/>
  <c r="I6" i="23"/>
  <c r="I12" i="23"/>
  <c r="I23" i="23"/>
  <c r="I7" i="23"/>
  <c r="I13" i="23"/>
  <c r="I18" i="23"/>
  <c r="I24" i="23"/>
  <c r="I25" i="23"/>
  <c r="I15" i="23"/>
  <c r="K53" i="24"/>
  <c r="L54" i="24"/>
  <c r="M55" i="24"/>
  <c r="H35" i="25"/>
  <c r="I25" i="25" s="1"/>
  <c r="C80" i="18"/>
  <c r="C49" i="23"/>
  <c r="B49" i="23"/>
  <c r="D54" i="24"/>
  <c r="B53" i="24"/>
  <c r="E80" i="18"/>
  <c r="I20" i="23"/>
  <c r="I9" i="23"/>
  <c r="N57" i="25"/>
  <c r="P57" i="25"/>
  <c r="P59" i="25"/>
  <c r="O58" i="25"/>
  <c r="P58" i="25"/>
  <c r="D29" i="25"/>
  <c r="G39" i="25"/>
  <c r="L53" i="24"/>
  <c r="E38" i="24"/>
  <c r="C34" i="24" s="1"/>
  <c r="E34" i="24"/>
  <c r="C36" i="23"/>
  <c r="N61" i="25"/>
  <c r="P63" i="25"/>
  <c r="M60" i="25"/>
  <c r="O62" i="25"/>
  <c r="G38" i="25"/>
  <c r="E27" i="23"/>
  <c r="C16" i="23"/>
  <c r="G34" i="25"/>
  <c r="D24" i="25"/>
  <c r="C19" i="24"/>
  <c r="C28" i="24" s="1"/>
  <c r="P62" i="25"/>
  <c r="M51" i="24"/>
  <c r="C27" i="25"/>
  <c r="E37" i="25"/>
  <c r="E17" i="25"/>
  <c r="E18" i="25"/>
  <c r="L50" i="24"/>
  <c r="C29" i="25"/>
  <c r="M101" i="15"/>
  <c r="P101" i="15" s="1"/>
  <c r="O101" i="15"/>
  <c r="N111" i="12"/>
  <c r="Q111" i="12" s="1"/>
  <c r="N85" i="12"/>
  <c r="L85" i="12"/>
  <c r="O85" i="12" s="1"/>
  <c r="N119" i="12"/>
  <c r="L119" i="12"/>
  <c r="O119" i="12" s="1"/>
  <c r="N105" i="12"/>
  <c r="L105" i="12"/>
  <c r="O105" i="12" s="1"/>
  <c r="N91" i="12"/>
  <c r="Q91" i="12" s="1"/>
  <c r="L91" i="12"/>
  <c r="O91" i="12" s="1"/>
  <c r="N88" i="12"/>
  <c r="Q88" i="12" s="1"/>
  <c r="L88" i="12"/>
  <c r="O88" i="12" s="1"/>
  <c r="N81" i="12"/>
  <c r="L81" i="12"/>
  <c r="O81" i="12" s="1"/>
  <c r="M51" i="13"/>
  <c r="M49" i="13"/>
  <c r="N99" i="12"/>
  <c r="L108" i="15"/>
  <c r="E26" i="25"/>
  <c r="N84" i="12"/>
  <c r="L84" i="12"/>
  <c r="O84" i="12" s="1"/>
  <c r="L118" i="15"/>
  <c r="C25" i="25"/>
  <c r="L87" i="12"/>
  <c r="O87" i="12" s="1"/>
  <c r="N87" i="12"/>
  <c r="N118" i="12"/>
  <c r="Q118" i="12" s="1"/>
  <c r="L118" i="12"/>
  <c r="O118" i="12" s="1"/>
  <c r="N104" i="12"/>
  <c r="L104" i="12"/>
  <c r="O104" i="12" s="1"/>
  <c r="N90" i="12"/>
  <c r="L90" i="12"/>
  <c r="O90" i="12" s="1"/>
  <c r="N83" i="12"/>
  <c r="L83" i="12"/>
  <c r="O83" i="12" s="1"/>
  <c r="M85" i="12"/>
  <c r="P85" i="12" s="1"/>
  <c r="M97" i="12"/>
  <c r="P97" i="12" s="1"/>
  <c r="Q97" i="12" s="1"/>
  <c r="M109" i="12"/>
  <c r="P109" i="12" s="1"/>
  <c r="K78" i="12"/>
  <c r="M83" i="12"/>
  <c r="P83" i="12" s="1"/>
  <c r="M75" i="12"/>
  <c r="P75" i="12" s="1"/>
  <c r="K93" i="12"/>
  <c r="M98" i="12"/>
  <c r="P98" i="12" s="1"/>
  <c r="Q98" i="12" s="1"/>
  <c r="K106" i="12"/>
  <c r="K108" i="12"/>
  <c r="M113" i="12"/>
  <c r="P113" i="12" s="1"/>
  <c r="M87" i="12"/>
  <c r="P87" i="12" s="1"/>
  <c r="K95" i="12"/>
  <c r="M100" i="12"/>
  <c r="P100" i="12" s="1"/>
  <c r="Q100" i="12" s="1"/>
  <c r="K110" i="12"/>
  <c r="M115" i="12"/>
  <c r="P115" i="12" s="1"/>
  <c r="Q115" i="12" s="1"/>
  <c r="K80" i="12"/>
  <c r="K82" i="12"/>
  <c r="K76" i="12"/>
  <c r="K92" i="12"/>
  <c r="M99" i="12"/>
  <c r="P99" i="12" s="1"/>
  <c r="K107" i="12"/>
  <c r="M112" i="12"/>
  <c r="P112" i="12" s="1"/>
  <c r="Q112" i="12" s="1"/>
  <c r="K94" i="12"/>
  <c r="K96" i="12"/>
  <c r="M101" i="12"/>
  <c r="P101" i="12" s="1"/>
  <c r="K109" i="12"/>
  <c r="M114" i="12"/>
  <c r="P114" i="12" s="1"/>
  <c r="Q114" i="12" s="1"/>
  <c r="M116" i="12"/>
  <c r="P116" i="12" s="1"/>
  <c r="Q116" i="12" s="1"/>
  <c r="N104" i="15"/>
  <c r="Q104" i="15" s="1"/>
  <c r="N116" i="15"/>
  <c r="Q116" i="15" s="1"/>
  <c r="N128" i="15"/>
  <c r="Q128" i="15" s="1"/>
  <c r="N96" i="15"/>
  <c r="Q96" i="15" s="1"/>
  <c r="N117" i="15"/>
  <c r="Q117" i="15" s="1"/>
  <c r="N130" i="15"/>
  <c r="Q130" i="15" s="1"/>
  <c r="N98" i="15"/>
  <c r="Q98" i="15" s="1"/>
  <c r="N118" i="15"/>
  <c r="Q118" i="15" s="1"/>
  <c r="N121" i="15"/>
  <c r="Q121" i="15" s="1"/>
  <c r="N135" i="15"/>
  <c r="Q135" i="15" s="1"/>
  <c r="N101" i="15"/>
  <c r="Q101" i="15" s="1"/>
  <c r="N107" i="15"/>
  <c r="Q107" i="15" s="1"/>
  <c r="N124" i="15"/>
  <c r="Q124" i="15" s="1"/>
  <c r="N93" i="15"/>
  <c r="Q93" i="15" s="1"/>
  <c r="N108" i="15"/>
  <c r="Q108" i="15" s="1"/>
  <c r="N131" i="15"/>
  <c r="Q131" i="15" s="1"/>
  <c r="N94" i="15"/>
  <c r="Q94" i="15" s="1"/>
  <c r="N97" i="15"/>
  <c r="Q97" i="15" s="1"/>
  <c r="N111" i="15"/>
  <c r="Q111" i="15" s="1"/>
  <c r="N114" i="15"/>
  <c r="Q114" i="15" s="1"/>
  <c r="N134" i="15"/>
  <c r="Q134" i="15" s="1"/>
  <c r="N95" i="15"/>
  <c r="Q95" i="15" s="1"/>
  <c r="N115" i="15"/>
  <c r="Q115" i="15" s="1"/>
  <c r="N132" i="15"/>
  <c r="Q132" i="15" s="1"/>
  <c r="N125" i="15"/>
  <c r="Q125" i="15" s="1"/>
  <c r="L122" i="15"/>
  <c r="N102" i="15"/>
  <c r="Q102" i="15" s="1"/>
  <c r="L116" i="15"/>
  <c r="L129" i="15"/>
  <c r="N112" i="15"/>
  <c r="Q112" i="15" s="1"/>
  <c r="N127" i="15"/>
  <c r="Q127" i="15" s="1"/>
  <c r="N122" i="15"/>
  <c r="Q122" i="15" s="1"/>
  <c r="N137" i="15"/>
  <c r="Q137" i="15" s="1"/>
  <c r="N103" i="15"/>
  <c r="Q103" i="15" s="1"/>
  <c r="N113" i="15"/>
  <c r="Q113" i="15" s="1"/>
  <c r="N133" i="15"/>
  <c r="Q133" i="15" s="1"/>
  <c r="L104" i="15"/>
  <c r="N123" i="15"/>
  <c r="Q123" i="15" s="1"/>
  <c r="L98" i="15"/>
  <c r="L125" i="15"/>
  <c r="L93" i="15"/>
  <c r="N109" i="15"/>
  <c r="Q109" i="15" s="1"/>
  <c r="N100" i="15"/>
  <c r="Q100" i="15" s="1"/>
  <c r="N110" i="15"/>
  <c r="Q110" i="15" s="1"/>
  <c r="N129" i="15"/>
  <c r="Q129" i="15" s="1"/>
  <c r="N105" i="15"/>
  <c r="Q105" i="15" s="1"/>
  <c r="N120" i="15"/>
  <c r="Q120" i="15" s="1"/>
  <c r="L96" i="15"/>
  <c r="N86" i="12"/>
  <c r="L86" i="12"/>
  <c r="O86" i="12" s="1"/>
  <c r="N79" i="12"/>
  <c r="L79" i="12"/>
  <c r="O79" i="12" s="1"/>
  <c r="L133" i="15"/>
  <c r="L120" i="15"/>
  <c r="L113" i="15"/>
  <c r="L106" i="15"/>
  <c r="J54" i="13"/>
  <c r="U96" i="13"/>
  <c r="X96" i="13" s="1"/>
  <c r="B33" i="20"/>
  <c r="U55" i="13"/>
  <c r="S55" i="13"/>
  <c r="V55" i="13" s="1"/>
  <c r="K75" i="12"/>
  <c r="U61" i="13"/>
  <c r="S61" i="13"/>
  <c r="V61" i="13" s="1"/>
  <c r="U86" i="13"/>
  <c r="S86" i="13"/>
  <c r="V86" i="13" s="1"/>
  <c r="U95" i="13"/>
  <c r="S95" i="13"/>
  <c r="V95" i="13" s="1"/>
  <c r="U92" i="13"/>
  <c r="S92" i="13"/>
  <c r="V92" i="13" s="1"/>
  <c r="U73" i="13"/>
  <c r="S73" i="13"/>
  <c r="V73" i="13" s="1"/>
  <c r="L110" i="15"/>
  <c r="X82" i="13"/>
  <c r="B47" i="20"/>
  <c r="L136" i="15"/>
  <c r="X94" i="13"/>
  <c r="L95" i="15"/>
  <c r="L99" i="15"/>
  <c r="L103" i="15"/>
  <c r="L107" i="15"/>
  <c r="L111" i="15"/>
  <c r="L115" i="15"/>
  <c r="L119" i="15"/>
  <c r="L123" i="15"/>
  <c r="L127" i="15"/>
  <c r="L131" i="15"/>
  <c r="L135" i="15"/>
  <c r="L100" i="15"/>
  <c r="L114" i="15"/>
  <c r="L128" i="15"/>
  <c r="L105" i="15"/>
  <c r="L124" i="15"/>
  <c r="L137" i="15"/>
  <c r="L97" i="15"/>
  <c r="L121" i="15"/>
  <c r="L134" i="15"/>
  <c r="L102" i="15"/>
  <c r="L112" i="15"/>
  <c r="L130" i="15"/>
  <c r="L117" i="15"/>
  <c r="L126" i="15"/>
  <c r="L94" i="15"/>
  <c r="L109" i="15"/>
  <c r="L132" i="15"/>
  <c r="X65" i="13"/>
  <c r="U89" i="13"/>
  <c r="U79" i="13"/>
  <c r="S79" i="13"/>
  <c r="V79" i="13" s="1"/>
  <c r="U70" i="13"/>
  <c r="X70" i="13" s="1"/>
  <c r="S70" i="13"/>
  <c r="V70" i="13" s="1"/>
  <c r="B48" i="20"/>
  <c r="D53" i="20" s="1"/>
  <c r="S84" i="13"/>
  <c r="V84" i="13" s="1"/>
  <c r="X84" i="13" s="1"/>
  <c r="X76" i="13"/>
  <c r="S74" i="13"/>
  <c r="V74" i="13" s="1"/>
  <c r="X74" i="13" s="1"/>
  <c r="S94" i="13"/>
  <c r="V94" i="13" s="1"/>
  <c r="U78" i="13"/>
  <c r="X78" i="13" s="1"/>
  <c r="S71" i="13"/>
  <c r="V71" i="13" s="1"/>
  <c r="X71" i="13" s="1"/>
  <c r="X58" i="13"/>
  <c r="S56" i="13"/>
  <c r="V56" i="13" s="1"/>
  <c r="X56" i="13" s="1"/>
  <c r="X53" i="13"/>
  <c r="K77" i="12"/>
  <c r="K89" i="12"/>
  <c r="K101" i="12"/>
  <c r="K113" i="12"/>
  <c r="U60" i="13"/>
  <c r="X60" i="13" s="1"/>
  <c r="U88" i="13"/>
  <c r="S88" i="13"/>
  <c r="V88" i="13" s="1"/>
  <c r="M50" i="13"/>
  <c r="M55" i="13"/>
  <c r="M58" i="13"/>
  <c r="M54" i="13"/>
  <c r="S91" i="13"/>
  <c r="V91" i="13" s="1"/>
  <c r="X91" i="13" s="1"/>
  <c r="X66" i="13"/>
  <c r="S93" i="13"/>
  <c r="V93" i="13" s="1"/>
  <c r="X93" i="13" s="1"/>
  <c r="U83" i="13"/>
  <c r="X83" i="13" s="1"/>
  <c r="T53" i="13"/>
  <c r="W53" i="13" s="1"/>
  <c r="T56" i="13"/>
  <c r="W56" i="13" s="1"/>
  <c r="T59" i="13"/>
  <c r="W59" i="13" s="1"/>
  <c r="X59" i="13" s="1"/>
  <c r="T62" i="13"/>
  <c r="W62" i="13" s="1"/>
  <c r="T65" i="13"/>
  <c r="W65" i="13" s="1"/>
  <c r="T68" i="13"/>
  <c r="W68" i="13" s="1"/>
  <c r="X68" i="13" s="1"/>
  <c r="T71" i="13"/>
  <c r="W71" i="13" s="1"/>
  <c r="T74" i="13"/>
  <c r="W74" i="13" s="1"/>
  <c r="T77" i="13"/>
  <c r="W77" i="13" s="1"/>
  <c r="X77" i="13" s="1"/>
  <c r="T80" i="13"/>
  <c r="W80" i="13" s="1"/>
  <c r="X80" i="13" s="1"/>
  <c r="T83" i="13"/>
  <c r="W83" i="13" s="1"/>
  <c r="T86" i="13"/>
  <c r="W86" i="13" s="1"/>
  <c r="T89" i="13"/>
  <c r="W89" i="13" s="1"/>
  <c r="T92" i="13"/>
  <c r="W92" i="13" s="1"/>
  <c r="T95" i="13"/>
  <c r="W95" i="13" s="1"/>
  <c r="R69" i="13"/>
  <c r="R64" i="13"/>
  <c r="S52" i="13"/>
  <c r="V52" i="13" s="1"/>
  <c r="X52" i="13" s="1"/>
  <c r="I80" i="13"/>
  <c r="I67" i="13"/>
  <c r="T91" i="13"/>
  <c r="W91" i="13" s="1"/>
  <c r="R90" i="13"/>
  <c r="R85" i="13"/>
  <c r="T73" i="13"/>
  <c r="W73" i="13" s="1"/>
  <c r="R72" i="13"/>
  <c r="R67" i="13"/>
  <c r="T55" i="13"/>
  <c r="W55" i="13" s="1"/>
  <c r="R54" i="13"/>
  <c r="T63" i="13"/>
  <c r="W63" i="13" s="1"/>
  <c r="X63" i="13" s="1"/>
  <c r="R62" i="13"/>
  <c r="N96" i="12" l="1"/>
  <c r="L96" i="12"/>
  <c r="O96" i="12" s="1"/>
  <c r="X79" i="13"/>
  <c r="O112" i="15"/>
  <c r="M112" i="15"/>
  <c r="P112" i="15" s="1"/>
  <c r="O131" i="15"/>
  <c r="M131" i="15"/>
  <c r="P131" i="15" s="1"/>
  <c r="M136" i="15"/>
  <c r="P136" i="15" s="1"/>
  <c r="O136" i="15"/>
  <c r="X86" i="13"/>
  <c r="O120" i="15"/>
  <c r="M120" i="15"/>
  <c r="P120" i="15" s="1"/>
  <c r="N94" i="12"/>
  <c r="L94" i="12"/>
  <c r="O94" i="12" s="1"/>
  <c r="M118" i="15"/>
  <c r="P118" i="15" s="1"/>
  <c r="O118" i="15"/>
  <c r="M61" i="25"/>
  <c r="N62" i="25"/>
  <c r="P64" i="25"/>
  <c r="O63" i="25"/>
  <c r="O113" i="15"/>
  <c r="M113" i="15"/>
  <c r="P113" i="15" s="1"/>
  <c r="U85" i="13"/>
  <c r="S85" i="13"/>
  <c r="V85" i="13" s="1"/>
  <c r="U90" i="13"/>
  <c r="S90" i="13"/>
  <c r="V90" i="13" s="1"/>
  <c r="X89" i="13"/>
  <c r="O102" i="15"/>
  <c r="M102" i="15"/>
  <c r="P102" i="15" s="1"/>
  <c r="O127" i="15"/>
  <c r="M127" i="15"/>
  <c r="P127" i="15" s="1"/>
  <c r="E53" i="20"/>
  <c r="D54" i="20" s="1"/>
  <c r="G83" i="20"/>
  <c r="O133" i="15"/>
  <c r="M133" i="15"/>
  <c r="P133" i="15" s="1"/>
  <c r="Q83" i="12"/>
  <c r="M134" i="15"/>
  <c r="P134" i="15" s="1"/>
  <c r="O134" i="15"/>
  <c r="R134" i="15" s="1"/>
  <c r="M123" i="15"/>
  <c r="P123" i="15" s="1"/>
  <c r="O123" i="15"/>
  <c r="X61" i="13"/>
  <c r="O93" i="15"/>
  <c r="M93" i="15"/>
  <c r="P93" i="15" s="1"/>
  <c r="M129" i="15"/>
  <c r="P129" i="15" s="1"/>
  <c r="O129" i="15"/>
  <c r="N107" i="12"/>
  <c r="L107" i="12"/>
  <c r="O107" i="12" s="1"/>
  <c r="N108" i="12"/>
  <c r="Q108" i="12" s="1"/>
  <c r="L108" i="12"/>
  <c r="O108" i="12" s="1"/>
  <c r="Q84" i="12"/>
  <c r="O135" i="15"/>
  <c r="M135" i="15"/>
  <c r="P135" i="15" s="1"/>
  <c r="M121" i="15"/>
  <c r="P121" i="15" s="1"/>
  <c r="O121" i="15"/>
  <c r="M119" i="15"/>
  <c r="P119" i="15" s="1"/>
  <c r="O119" i="15"/>
  <c r="R119" i="15" s="1"/>
  <c r="N75" i="12"/>
  <c r="L75" i="12"/>
  <c r="O75" i="12" s="1"/>
  <c r="Q79" i="12"/>
  <c r="M125" i="15"/>
  <c r="P125" i="15" s="1"/>
  <c r="O125" i="15"/>
  <c r="M116" i="15"/>
  <c r="P116" i="15" s="1"/>
  <c r="O116" i="15"/>
  <c r="N106" i="12"/>
  <c r="L106" i="12"/>
  <c r="O106" i="12" s="1"/>
  <c r="Q90" i="12"/>
  <c r="E36" i="25"/>
  <c r="C26" i="25"/>
  <c r="Q105" i="12"/>
  <c r="A82" i="18"/>
  <c r="C81" i="18"/>
  <c r="D81" i="18"/>
  <c r="E81" i="18"/>
  <c r="O130" i="15"/>
  <c r="M130" i="15"/>
  <c r="P130" i="15" s="1"/>
  <c r="O97" i="15"/>
  <c r="M97" i="15"/>
  <c r="P97" i="15" s="1"/>
  <c r="M115" i="15"/>
  <c r="P115" i="15" s="1"/>
  <c r="O115" i="15"/>
  <c r="R115" i="15" s="1"/>
  <c r="M110" i="15"/>
  <c r="P110" i="15" s="1"/>
  <c r="O110" i="15"/>
  <c r="M98" i="15"/>
  <c r="P98" i="15" s="1"/>
  <c r="O98" i="15"/>
  <c r="R98" i="15" s="1"/>
  <c r="N92" i="12"/>
  <c r="Q92" i="12" s="1"/>
  <c r="L92" i="12"/>
  <c r="O92" i="12" s="1"/>
  <c r="M108" i="15"/>
  <c r="P108" i="15" s="1"/>
  <c r="O108" i="15"/>
  <c r="E39" i="24"/>
  <c r="E42" i="24" s="1"/>
  <c r="C33" i="24" s="1"/>
  <c r="C29" i="24"/>
  <c r="U62" i="13"/>
  <c r="S62" i="13"/>
  <c r="V62" i="13" s="1"/>
  <c r="Y51" i="13"/>
  <c r="X51" i="13"/>
  <c r="X88" i="13"/>
  <c r="O137" i="15"/>
  <c r="M137" i="15"/>
  <c r="P137" i="15" s="1"/>
  <c r="M111" i="15"/>
  <c r="P111" i="15" s="1"/>
  <c r="O111" i="15"/>
  <c r="R111" i="15" s="1"/>
  <c r="X55" i="13"/>
  <c r="Q86" i="12"/>
  <c r="O122" i="15"/>
  <c r="R122" i="15" s="1"/>
  <c r="M122" i="15"/>
  <c r="P122" i="15" s="1"/>
  <c r="N76" i="12"/>
  <c r="L76" i="12"/>
  <c r="O76" i="12" s="1"/>
  <c r="N93" i="12"/>
  <c r="Q93" i="12" s="1"/>
  <c r="L93" i="12"/>
  <c r="O93" i="12" s="1"/>
  <c r="Q104" i="12"/>
  <c r="Q99" i="12"/>
  <c r="Q119" i="12"/>
  <c r="C50" i="24"/>
  <c r="C51" i="24"/>
  <c r="E16" i="24"/>
  <c r="C52" i="24"/>
  <c r="U64" i="13"/>
  <c r="S64" i="13"/>
  <c r="V64" i="13" s="1"/>
  <c r="M132" i="15"/>
  <c r="P132" i="15" s="1"/>
  <c r="O132" i="15"/>
  <c r="O124" i="15"/>
  <c r="M124" i="15"/>
  <c r="P124" i="15" s="1"/>
  <c r="O107" i="15"/>
  <c r="R107" i="15" s="1"/>
  <c r="M107" i="15"/>
  <c r="P107" i="15" s="1"/>
  <c r="X73" i="13"/>
  <c r="M104" i="15"/>
  <c r="P104" i="15" s="1"/>
  <c r="O104" i="15"/>
  <c r="N82" i="12"/>
  <c r="Q82" i="12" s="1"/>
  <c r="L82" i="12"/>
  <c r="O82" i="12" s="1"/>
  <c r="H34" i="25"/>
  <c r="I24" i="25" s="1"/>
  <c r="C53" i="24"/>
  <c r="D52" i="23"/>
  <c r="B51" i="23"/>
  <c r="C51" i="23"/>
  <c r="M109" i="15"/>
  <c r="P109" i="15" s="1"/>
  <c r="O109" i="15"/>
  <c r="R109" i="15" s="1"/>
  <c r="O105" i="15"/>
  <c r="R105" i="15" s="1"/>
  <c r="M105" i="15"/>
  <c r="P105" i="15" s="1"/>
  <c r="O103" i="15"/>
  <c r="R103" i="15" s="1"/>
  <c r="M103" i="15"/>
  <c r="P103" i="15" s="1"/>
  <c r="M96" i="15"/>
  <c r="P96" i="15" s="1"/>
  <c r="O96" i="15"/>
  <c r="R96" i="15" s="1"/>
  <c r="N80" i="12"/>
  <c r="Q80" i="12" s="1"/>
  <c r="L80" i="12"/>
  <c r="O80" i="12" s="1"/>
  <c r="Q85" i="12"/>
  <c r="H39" i="25"/>
  <c r="I29" i="25" s="1"/>
  <c r="U69" i="13"/>
  <c r="S69" i="13"/>
  <c r="V69" i="13" s="1"/>
  <c r="N101" i="12"/>
  <c r="L101" i="12"/>
  <c r="O101" i="12" s="1"/>
  <c r="M94" i="15"/>
  <c r="P94" i="15" s="1"/>
  <c r="O94" i="15"/>
  <c r="R94" i="15" s="1"/>
  <c r="M128" i="15"/>
  <c r="P128" i="15" s="1"/>
  <c r="O128" i="15"/>
  <c r="R128" i="15" s="1"/>
  <c r="O99" i="15"/>
  <c r="M99" i="15"/>
  <c r="P99" i="15" s="1"/>
  <c r="X92" i="13"/>
  <c r="N78" i="12"/>
  <c r="L78" i="12"/>
  <c r="O78" i="12" s="1"/>
  <c r="C27" i="23"/>
  <c r="E31" i="23" s="1"/>
  <c r="F31" i="23" s="1"/>
  <c r="E30" i="23"/>
  <c r="F30" i="23"/>
  <c r="C26" i="23"/>
  <c r="C54" i="24"/>
  <c r="D55" i="24"/>
  <c r="B54" i="24"/>
  <c r="K55" i="24"/>
  <c r="L56" i="24"/>
  <c r="M57" i="24"/>
  <c r="J54" i="24"/>
  <c r="N95" i="12"/>
  <c r="L95" i="12"/>
  <c r="O95" i="12" s="1"/>
  <c r="S54" i="13"/>
  <c r="V54" i="13" s="1"/>
  <c r="U54" i="13"/>
  <c r="X54" i="13" s="1"/>
  <c r="N113" i="12"/>
  <c r="L113" i="12"/>
  <c r="O113" i="12" s="1"/>
  <c r="U67" i="13"/>
  <c r="S67" i="13"/>
  <c r="V67" i="13" s="1"/>
  <c r="L89" i="12"/>
  <c r="O89" i="12" s="1"/>
  <c r="N89" i="12"/>
  <c r="Q89" i="12" s="1"/>
  <c r="O126" i="15"/>
  <c r="R126" i="15" s="1"/>
  <c r="M126" i="15"/>
  <c r="P126" i="15" s="1"/>
  <c r="O114" i="15"/>
  <c r="M114" i="15"/>
  <c r="P114" i="15" s="1"/>
  <c r="M95" i="15"/>
  <c r="P95" i="15" s="1"/>
  <c r="O95" i="15"/>
  <c r="R95" i="15" s="1"/>
  <c r="J55" i="13"/>
  <c r="K56" i="13"/>
  <c r="L57" i="13"/>
  <c r="N109" i="12"/>
  <c r="Q109" i="12" s="1"/>
  <c r="L109" i="12"/>
  <c r="O109" i="12" s="1"/>
  <c r="N110" i="12"/>
  <c r="L110" i="12"/>
  <c r="O110" i="12" s="1"/>
  <c r="Q87" i="12"/>
  <c r="Q81" i="12"/>
  <c r="S72" i="13"/>
  <c r="V72" i="13" s="1"/>
  <c r="U72" i="13"/>
  <c r="X72" i="13" s="1"/>
  <c r="N77" i="12"/>
  <c r="Q77" i="12" s="1"/>
  <c r="L77" i="12"/>
  <c r="O77" i="12" s="1"/>
  <c r="O117" i="15"/>
  <c r="M117" i="15"/>
  <c r="P117" i="15" s="1"/>
  <c r="O100" i="15"/>
  <c r="R100" i="15" s="1"/>
  <c r="M100" i="15"/>
  <c r="P100" i="15" s="1"/>
  <c r="X95" i="13"/>
  <c r="M106" i="15"/>
  <c r="P106" i="15" s="1"/>
  <c r="O106" i="15"/>
  <c r="R101" i="15"/>
  <c r="G37" i="25"/>
  <c r="D27" i="25"/>
  <c r="I28" i="25"/>
  <c r="H38" i="25"/>
  <c r="R137" i="15" l="1"/>
  <c r="X85" i="13"/>
  <c r="R120" i="15"/>
  <c r="Q110" i="12"/>
  <c r="R99" i="15"/>
  <c r="B52" i="23"/>
  <c r="D53" i="23"/>
  <c r="C52" i="23"/>
  <c r="R124" i="15"/>
  <c r="A83" i="18"/>
  <c r="D82" i="18"/>
  <c r="E82" i="18"/>
  <c r="C82" i="18"/>
  <c r="Q107" i="12"/>
  <c r="R133" i="15"/>
  <c r="R132" i="15"/>
  <c r="X49" i="13"/>
  <c r="C33" i="13" s="1"/>
  <c r="Y49" i="13"/>
  <c r="C34" i="13" s="1"/>
  <c r="R110" i="15"/>
  <c r="Q75" i="12"/>
  <c r="R129" i="15"/>
  <c r="R113" i="15"/>
  <c r="R136" i="15"/>
  <c r="X48" i="13"/>
  <c r="F33" i="13" s="1"/>
  <c r="Y48" i="13"/>
  <c r="E93" i="20"/>
  <c r="E105" i="20"/>
  <c r="E117" i="20"/>
  <c r="E129" i="20"/>
  <c r="D90" i="20"/>
  <c r="D102" i="20"/>
  <c r="C91" i="20"/>
  <c r="C88" i="20"/>
  <c r="E97" i="20"/>
  <c r="E109" i="20"/>
  <c r="E121" i="20"/>
  <c r="E133" i="20"/>
  <c r="D94" i="20"/>
  <c r="D106" i="20"/>
  <c r="C95" i="20"/>
  <c r="E98" i="20"/>
  <c r="E110" i="20"/>
  <c r="E122" i="20"/>
  <c r="E134" i="20"/>
  <c r="D95" i="20"/>
  <c r="D107" i="20"/>
  <c r="C96" i="20"/>
  <c r="E135" i="20"/>
  <c r="E136" i="20" s="1"/>
  <c r="E99" i="20"/>
  <c r="E111" i="20"/>
  <c r="E123" i="20"/>
  <c r="E88" i="20"/>
  <c r="D96" i="20"/>
  <c r="D108" i="20"/>
  <c r="C97" i="20"/>
  <c r="E90" i="20"/>
  <c r="E107" i="20"/>
  <c r="E126" i="20"/>
  <c r="D92" i="20"/>
  <c r="D88" i="20"/>
  <c r="C100" i="20"/>
  <c r="E91" i="20"/>
  <c r="E108" i="20"/>
  <c r="E127" i="20"/>
  <c r="D93" i="20"/>
  <c r="C103" i="20"/>
  <c r="C101" i="20"/>
  <c r="E92" i="20"/>
  <c r="E112" i="20"/>
  <c r="E128" i="20"/>
  <c r="D97" i="20"/>
  <c r="C104" i="20"/>
  <c r="C102" i="20"/>
  <c r="E94" i="20"/>
  <c r="E113" i="20"/>
  <c r="E130" i="20"/>
  <c r="D98" i="20"/>
  <c r="E87" i="20"/>
  <c r="E95" i="20"/>
  <c r="E114" i="20"/>
  <c r="E131" i="20"/>
  <c r="D99" i="20"/>
  <c r="D87" i="20"/>
  <c r="E96" i="20"/>
  <c r="E115" i="20"/>
  <c r="E132" i="20"/>
  <c r="D100" i="20"/>
  <c r="C89" i="20"/>
  <c r="C87" i="20"/>
  <c r="E100" i="20"/>
  <c r="E116" i="20"/>
  <c r="D111" i="20"/>
  <c r="D112" i="20" s="1"/>
  <c r="D101" i="20"/>
  <c r="C90" i="20"/>
  <c r="E101" i="20"/>
  <c r="E118" i="20"/>
  <c r="D103" i="20"/>
  <c r="C92" i="20"/>
  <c r="E102" i="20"/>
  <c r="E119" i="20"/>
  <c r="D104" i="20"/>
  <c r="C93" i="20"/>
  <c r="E103" i="20"/>
  <c r="E120" i="20"/>
  <c r="D105" i="20"/>
  <c r="C94" i="20"/>
  <c r="E104" i="20"/>
  <c r="E106" i="20"/>
  <c r="D89" i="20"/>
  <c r="D91" i="20"/>
  <c r="D109" i="20"/>
  <c r="C98" i="20"/>
  <c r="E89" i="20"/>
  <c r="C99" i="20"/>
  <c r="E124" i="20"/>
  <c r="E125" i="20"/>
  <c r="D110" i="20"/>
  <c r="R117" i="15"/>
  <c r="Q76" i="12"/>
  <c r="G36" i="25"/>
  <c r="D26" i="25"/>
  <c r="J56" i="13"/>
  <c r="K57" i="13"/>
  <c r="L58" i="13"/>
  <c r="M59" i="13"/>
  <c r="Q113" i="12"/>
  <c r="A71" i="23"/>
  <c r="G30" i="23" s="1"/>
  <c r="X64" i="13"/>
  <c r="X62" i="13"/>
  <c r="R121" i="15"/>
  <c r="R93" i="15"/>
  <c r="R127" i="15"/>
  <c r="R131" i="15"/>
  <c r="E33" i="24"/>
  <c r="N63" i="25"/>
  <c r="P65" i="25"/>
  <c r="M62" i="25"/>
  <c r="O64" i="25"/>
  <c r="X67" i="13"/>
  <c r="Q101" i="12"/>
  <c r="R104" i="15"/>
  <c r="C35" i="24"/>
  <c r="C38" i="24" s="1"/>
  <c r="R97" i="15"/>
  <c r="Q106" i="12"/>
  <c r="R123" i="15"/>
  <c r="R102" i="15"/>
  <c r="R118" i="15"/>
  <c r="R112" i="15"/>
  <c r="R108" i="15"/>
  <c r="R116" i="15"/>
  <c r="R135" i="15"/>
  <c r="C55" i="24"/>
  <c r="D56" i="24"/>
  <c r="B55" i="24"/>
  <c r="H37" i="25"/>
  <c r="I27" i="25" s="1"/>
  <c r="R114" i="15"/>
  <c r="Q95" i="12"/>
  <c r="X69" i="13"/>
  <c r="R130" i="15"/>
  <c r="R106" i="15"/>
  <c r="K56" i="24"/>
  <c r="M58" i="24"/>
  <c r="J55" i="24"/>
  <c r="L57" i="24"/>
  <c r="Q78" i="12"/>
  <c r="R125" i="15"/>
  <c r="X90" i="13"/>
  <c r="Q94" i="12"/>
  <c r="Q96" i="12"/>
  <c r="E139" i="20" l="1"/>
  <c r="E142" i="20"/>
  <c r="E145" i="20"/>
  <c r="E148" i="20"/>
  <c r="E151" i="20"/>
  <c r="E137" i="20"/>
  <c r="E140" i="20"/>
  <c r="E143" i="20"/>
  <c r="E146" i="20"/>
  <c r="E149" i="20"/>
  <c r="E152" i="20"/>
  <c r="E157" i="20"/>
  <c r="E155" i="20"/>
  <c r="E158" i="20"/>
  <c r="E156" i="20"/>
  <c r="E141" i="20"/>
  <c r="E147" i="20"/>
  <c r="E153" i="20"/>
  <c r="E138" i="20"/>
  <c r="E154" i="20"/>
  <c r="E144" i="20"/>
  <c r="E159" i="20"/>
  <c r="E150" i="20"/>
  <c r="D135" i="20"/>
  <c r="D136" i="20" s="1"/>
  <c r="D114" i="20"/>
  <c r="D118" i="20"/>
  <c r="D124" i="20"/>
  <c r="D128" i="20"/>
  <c r="D132" i="20"/>
  <c r="D120" i="20"/>
  <c r="D116" i="20"/>
  <c r="D113" i="20"/>
  <c r="D117" i="20"/>
  <c r="D122" i="20"/>
  <c r="D126" i="20"/>
  <c r="D130" i="20"/>
  <c r="D134" i="20"/>
  <c r="D123" i="20"/>
  <c r="D129" i="20"/>
  <c r="D115" i="20"/>
  <c r="D125" i="20"/>
  <c r="D131" i="20"/>
  <c r="D119" i="20"/>
  <c r="D121" i="20"/>
  <c r="D133" i="20"/>
  <c r="D127" i="20"/>
  <c r="C40" i="24"/>
  <c r="C41" i="24"/>
  <c r="C39" i="24"/>
  <c r="A73" i="24"/>
  <c r="C119" i="20"/>
  <c r="C120" i="20" s="1"/>
  <c r="C156" i="20"/>
  <c r="C115" i="20"/>
  <c r="C105" i="20"/>
  <c r="C111" i="20"/>
  <c r="C157" i="20"/>
  <c r="C107" i="20"/>
  <c r="C153" i="20"/>
  <c r="C113" i="20"/>
  <c r="C117" i="20"/>
  <c r="C158" i="20"/>
  <c r="C108" i="20"/>
  <c r="C159" i="20"/>
  <c r="C109" i="20"/>
  <c r="C116" i="20"/>
  <c r="C110" i="20"/>
  <c r="C118" i="20"/>
  <c r="C114" i="20"/>
  <c r="C112" i="20"/>
  <c r="C106" i="20"/>
  <c r="C154" i="20"/>
  <c r="C155" i="20"/>
  <c r="A84" i="18"/>
  <c r="E83" i="18"/>
  <c r="C83" i="18"/>
  <c r="D83" i="18"/>
  <c r="Q74" i="12"/>
  <c r="R74" i="12"/>
  <c r="M63" i="25"/>
  <c r="N64" i="25"/>
  <c r="P66" i="25"/>
  <c r="O65" i="25"/>
  <c r="M60" i="13"/>
  <c r="J57" i="13"/>
  <c r="K58" i="13"/>
  <c r="L59" i="13"/>
  <c r="D54" i="23"/>
  <c r="C53" i="23"/>
  <c r="B53" i="23"/>
  <c r="H36" i="25"/>
  <c r="I26" i="25" s="1"/>
  <c r="C35" i="13"/>
  <c r="C38" i="13" s="1"/>
  <c r="C56" i="24"/>
  <c r="B56" i="24"/>
  <c r="D57" i="24"/>
  <c r="S92" i="15"/>
  <c r="R92" i="15"/>
  <c r="K57" i="24"/>
  <c r="L58" i="24"/>
  <c r="J56" i="24"/>
  <c r="M59" i="24"/>
  <c r="C39" i="13" l="1"/>
  <c r="C41" i="13"/>
  <c r="C40" i="13"/>
  <c r="C37" i="13" s="1"/>
  <c r="A73" i="13"/>
  <c r="C37" i="24"/>
  <c r="J58" i="13"/>
  <c r="M61" i="13"/>
  <c r="L60" i="13"/>
  <c r="K59" i="13"/>
  <c r="D154" i="20"/>
  <c r="D155" i="20"/>
  <c r="D156" i="20"/>
  <c r="D139" i="20"/>
  <c r="D142" i="20"/>
  <c r="D145" i="20"/>
  <c r="D148" i="20"/>
  <c r="D151" i="20"/>
  <c r="D141" i="20"/>
  <c r="D146" i="20"/>
  <c r="D147" i="20"/>
  <c r="D152" i="20"/>
  <c r="D157" i="20"/>
  <c r="D137" i="20"/>
  <c r="D153" i="20"/>
  <c r="D138" i="20"/>
  <c r="D143" i="20"/>
  <c r="D158" i="20"/>
  <c r="D150" i="20"/>
  <c r="D144" i="20"/>
  <c r="D149" i="20"/>
  <c r="D159" i="20"/>
  <c r="D140" i="20"/>
  <c r="N65" i="25"/>
  <c r="P67" i="25"/>
  <c r="M64" i="25"/>
  <c r="O66" i="25"/>
  <c r="H40" i="12"/>
  <c r="F38" i="12" s="1"/>
  <c r="I40" i="12"/>
  <c r="F40" i="12"/>
  <c r="D38" i="12" s="1"/>
  <c r="G40" i="12"/>
  <c r="D39" i="12" s="1"/>
  <c r="R90" i="15"/>
  <c r="B57" i="15" s="1"/>
  <c r="S90" i="15"/>
  <c r="B58" i="15" s="1"/>
  <c r="D55" i="23"/>
  <c r="B54" i="23"/>
  <c r="C54" i="23"/>
  <c r="C135" i="20"/>
  <c r="C136" i="20" s="1"/>
  <c r="C124" i="20"/>
  <c r="C128" i="20"/>
  <c r="C132" i="20"/>
  <c r="C122" i="20"/>
  <c r="C126" i="20"/>
  <c r="C130" i="20"/>
  <c r="C134" i="20"/>
  <c r="C123" i="20"/>
  <c r="C129" i="20"/>
  <c r="C125" i="20"/>
  <c r="C131" i="20"/>
  <c r="C121" i="20"/>
  <c r="C127" i="20"/>
  <c r="C133" i="20"/>
  <c r="K58" i="24"/>
  <c r="L59" i="24"/>
  <c r="J57" i="24"/>
  <c r="M60" i="24"/>
  <c r="S89" i="15"/>
  <c r="R89" i="15"/>
  <c r="D57" i="15" s="1"/>
  <c r="D58" i="24"/>
  <c r="B57" i="24"/>
  <c r="C57" i="24"/>
  <c r="A85" i="18"/>
  <c r="D84" i="18"/>
  <c r="E84" i="18"/>
  <c r="C84" i="18"/>
  <c r="M65" i="25" l="1"/>
  <c r="N66" i="25"/>
  <c r="P68" i="25"/>
  <c r="O67" i="25"/>
  <c r="A86" i="18"/>
  <c r="E85" i="18"/>
  <c r="D85" i="18"/>
  <c r="C85" i="18"/>
  <c r="B58" i="24"/>
  <c r="D59" i="24"/>
  <c r="C58" i="24"/>
  <c r="C55" i="23"/>
  <c r="B55" i="23"/>
  <c r="D56" i="23"/>
  <c r="B103" i="15"/>
  <c r="B115" i="15"/>
  <c r="B127" i="15"/>
  <c r="B102" i="15"/>
  <c r="B117" i="15"/>
  <c r="B130" i="15"/>
  <c r="B146" i="15"/>
  <c r="B158" i="15"/>
  <c r="B143" i="15"/>
  <c r="B156" i="15"/>
  <c r="B105" i="15"/>
  <c r="B107" i="15"/>
  <c r="B109" i="15"/>
  <c r="B111" i="15"/>
  <c r="B113" i="15"/>
  <c r="B145" i="15"/>
  <c r="B110" i="15"/>
  <c r="B112" i="15"/>
  <c r="B114" i="15"/>
  <c r="B116" i="15"/>
  <c r="B118" i="15"/>
  <c r="B120" i="15"/>
  <c r="B104" i="15"/>
  <c r="B106" i="15"/>
  <c r="B108" i="15"/>
  <c r="B144" i="15"/>
  <c r="B119" i="15"/>
  <c r="B121" i="15"/>
  <c r="B123" i="15"/>
  <c r="B125" i="15"/>
  <c r="B139" i="15"/>
  <c r="B141" i="15"/>
  <c r="B96" i="15"/>
  <c r="B160" i="15"/>
  <c r="B162" i="15"/>
  <c r="B164" i="15"/>
  <c r="B166" i="15"/>
  <c r="B124" i="15"/>
  <c r="B131" i="15"/>
  <c r="B138" i="15"/>
  <c r="B149" i="15"/>
  <c r="B101" i="15"/>
  <c r="B136" i="15"/>
  <c r="B142" i="15"/>
  <c r="B122" i="15"/>
  <c r="B129" i="15"/>
  <c r="B150" i="15"/>
  <c r="B165" i="15"/>
  <c r="B167" i="15"/>
  <c r="B98" i="15"/>
  <c r="B155" i="15"/>
  <c r="B157" i="15"/>
  <c r="B159" i="15"/>
  <c r="B161" i="15"/>
  <c r="B163" i="15"/>
  <c r="B99" i="15"/>
  <c r="B137" i="15"/>
  <c r="B147" i="15"/>
  <c r="B151" i="15"/>
  <c r="B126" i="15"/>
  <c r="B132" i="15"/>
  <c r="B148" i="15"/>
  <c r="B133" i="15"/>
  <c r="B152" i="15"/>
  <c r="B153" i="15"/>
  <c r="B97" i="15"/>
  <c r="B134" i="15"/>
  <c r="B128" i="15"/>
  <c r="B140" i="15"/>
  <c r="B135" i="15"/>
  <c r="B95" i="15"/>
  <c r="B154" i="15"/>
  <c r="B100" i="15"/>
  <c r="B94" i="15"/>
  <c r="E60" i="15"/>
  <c r="J59" i="13"/>
  <c r="M62" i="13"/>
  <c r="K60" i="13"/>
  <c r="L61" i="13"/>
  <c r="B59" i="15"/>
  <c r="D61" i="15"/>
  <c r="B60" i="15"/>
  <c r="D40" i="12"/>
  <c r="F42" i="12"/>
  <c r="D41" i="12"/>
  <c r="C151" i="20"/>
  <c r="C152" i="20" s="1"/>
  <c r="C137" i="20"/>
  <c r="C140" i="20"/>
  <c r="C143" i="20"/>
  <c r="C146" i="20"/>
  <c r="C149" i="20"/>
  <c r="C138" i="20"/>
  <c r="C141" i="20"/>
  <c r="C144" i="20"/>
  <c r="C147" i="20"/>
  <c r="C150" i="20"/>
  <c r="C142" i="20"/>
  <c r="C148" i="20"/>
  <c r="C139" i="20"/>
  <c r="C145" i="20"/>
  <c r="B77" i="12"/>
  <c r="B90" i="12"/>
  <c r="B101" i="12"/>
  <c r="B114" i="12"/>
  <c r="B125" i="12"/>
  <c r="B138" i="12"/>
  <c r="B78" i="12"/>
  <c r="B89" i="12"/>
  <c r="B102" i="12"/>
  <c r="B81" i="12"/>
  <c r="B94" i="12"/>
  <c r="B107" i="12"/>
  <c r="B119" i="12"/>
  <c r="B126" i="12"/>
  <c r="B76" i="12"/>
  <c r="B97" i="12"/>
  <c r="B112" i="12"/>
  <c r="B131" i="12"/>
  <c r="B84" i="12"/>
  <c r="B105" i="12"/>
  <c r="B117" i="12"/>
  <c r="B79" i="12"/>
  <c r="B87" i="12"/>
  <c r="B92" i="12"/>
  <c r="B100" i="12"/>
  <c r="B110" i="12"/>
  <c r="B129" i="12"/>
  <c r="B95" i="12"/>
  <c r="B115" i="12"/>
  <c r="B122" i="12"/>
  <c r="B134" i="12"/>
  <c r="B147" i="12"/>
  <c r="B82" i="12"/>
  <c r="B103" i="12"/>
  <c r="B108" i="12"/>
  <c r="B127" i="12"/>
  <c r="B139" i="12"/>
  <c r="B141" i="12"/>
  <c r="B143" i="12"/>
  <c r="B145" i="12"/>
  <c r="B85" i="12"/>
  <c r="B98" i="12"/>
  <c r="B113" i="12"/>
  <c r="B120" i="12"/>
  <c r="B132" i="12"/>
  <c r="B93" i="12"/>
  <c r="B106" i="12"/>
  <c r="B137" i="12"/>
  <c r="G41" i="12"/>
  <c r="B80" i="12"/>
  <c r="B88" i="12"/>
  <c r="B111" i="12"/>
  <c r="B118" i="12"/>
  <c r="B123" i="12"/>
  <c r="B130" i="12"/>
  <c r="B83" i="12"/>
  <c r="B96" i="12"/>
  <c r="B91" i="12"/>
  <c r="B99" i="12"/>
  <c r="B104" i="12"/>
  <c r="B109" i="12"/>
  <c r="B116" i="12"/>
  <c r="B86" i="12"/>
  <c r="B135" i="12"/>
  <c r="B128" i="12"/>
  <c r="B148" i="12"/>
  <c r="B142" i="12"/>
  <c r="B75" i="12"/>
  <c r="B121" i="12"/>
  <c r="B136" i="12"/>
  <c r="B144" i="12"/>
  <c r="B124" i="12"/>
  <c r="B140" i="12"/>
  <c r="B146" i="12"/>
  <c r="B133" i="12"/>
  <c r="K59" i="24"/>
  <c r="L60" i="24"/>
  <c r="M61" i="24"/>
  <c r="J58" i="24"/>
  <c r="G98" i="15" l="1"/>
  <c r="C100" i="15"/>
  <c r="E102" i="15"/>
  <c r="D105" i="15"/>
  <c r="F107" i="15"/>
  <c r="G110" i="15"/>
  <c r="E114" i="15"/>
  <c r="D117" i="15"/>
  <c r="F119" i="15"/>
  <c r="G122" i="15"/>
  <c r="E126" i="15"/>
  <c r="F131" i="15"/>
  <c r="G134" i="15"/>
  <c r="F97" i="15"/>
  <c r="E99" i="15"/>
  <c r="G104" i="15"/>
  <c r="D106" i="15"/>
  <c r="C108" i="15"/>
  <c r="F110" i="15"/>
  <c r="E112" i="15"/>
  <c r="G119" i="15"/>
  <c r="F125" i="15"/>
  <c r="E127" i="15"/>
  <c r="G132" i="15"/>
  <c r="F138" i="15"/>
  <c r="G141" i="15"/>
  <c r="F150" i="15"/>
  <c r="G153" i="15"/>
  <c r="F162" i="15"/>
  <c r="G165" i="15"/>
  <c r="D97" i="15"/>
  <c r="D99" i="15"/>
  <c r="D101" i="15"/>
  <c r="D103" i="15"/>
  <c r="G105" i="15"/>
  <c r="G107" i="15"/>
  <c r="G109" i="15"/>
  <c r="G111" i="15"/>
  <c r="G113" i="15"/>
  <c r="G115" i="15"/>
  <c r="E128" i="15"/>
  <c r="E130" i="15"/>
  <c r="E132" i="15"/>
  <c r="E134" i="15"/>
  <c r="E136" i="15"/>
  <c r="E138" i="15"/>
  <c r="E140" i="15"/>
  <c r="G145" i="15"/>
  <c r="F151" i="15"/>
  <c r="G158" i="15"/>
  <c r="G160" i="15"/>
  <c r="F166" i="15"/>
  <c r="F167" i="15" s="1"/>
  <c r="F95" i="15"/>
  <c r="G97" i="15"/>
  <c r="G99" i="15"/>
  <c r="G101" i="15"/>
  <c r="G103" i="15"/>
  <c r="E116" i="15"/>
  <c r="E118" i="15"/>
  <c r="E120" i="15"/>
  <c r="E122" i="15"/>
  <c r="E124" i="15"/>
  <c r="F126" i="15"/>
  <c r="F128" i="15"/>
  <c r="F130" i="15"/>
  <c r="F132" i="15"/>
  <c r="F134" i="15"/>
  <c r="F136" i="15"/>
  <c r="F140" i="15"/>
  <c r="E142" i="15"/>
  <c r="E144" i="15"/>
  <c r="G147" i="15"/>
  <c r="F153" i="15"/>
  <c r="D96" i="15"/>
  <c r="C98" i="15"/>
  <c r="D100" i="15"/>
  <c r="D102" i="15"/>
  <c r="D104" i="15"/>
  <c r="G106" i="15"/>
  <c r="G108" i="15"/>
  <c r="E129" i="15"/>
  <c r="E131" i="15"/>
  <c r="F133" i="15"/>
  <c r="F135" i="15"/>
  <c r="F137" i="15"/>
  <c r="E139" i="15"/>
  <c r="G96" i="15"/>
  <c r="D98" i="15"/>
  <c r="G100" i="15"/>
  <c r="G102" i="15"/>
  <c r="E121" i="15"/>
  <c r="E123" i="15"/>
  <c r="E125" i="15"/>
  <c r="F127" i="15"/>
  <c r="F129" i="15"/>
  <c r="F139" i="15"/>
  <c r="E141" i="15"/>
  <c r="G146" i="15"/>
  <c r="G148" i="15"/>
  <c r="C97" i="15"/>
  <c r="C99" i="15"/>
  <c r="C101" i="15"/>
  <c r="C103" i="15"/>
  <c r="C105" i="15"/>
  <c r="D107" i="15"/>
  <c r="D109" i="15"/>
  <c r="D111" i="15"/>
  <c r="D113" i="15"/>
  <c r="D115" i="15"/>
  <c r="G117" i="15"/>
  <c r="G143" i="15"/>
  <c r="E100" i="15"/>
  <c r="E107" i="15"/>
  <c r="D110" i="15"/>
  <c r="F121" i="15"/>
  <c r="G124" i="15"/>
  <c r="G131" i="15"/>
  <c r="E135" i="15"/>
  <c r="G138" i="15"/>
  <c r="G149" i="15"/>
  <c r="F100" i="15"/>
  <c r="E104" i="15"/>
  <c r="C107" i="15"/>
  <c r="E111" i="15"/>
  <c r="D114" i="15"/>
  <c r="F118" i="15"/>
  <c r="F142" i="15"/>
  <c r="G144" i="15"/>
  <c r="F147" i="15"/>
  <c r="F152" i="15"/>
  <c r="G156" i="15"/>
  <c r="F101" i="15"/>
  <c r="F108" i="15"/>
  <c r="F115" i="15"/>
  <c r="G118" i="15"/>
  <c r="E98" i="15"/>
  <c r="E105" i="15"/>
  <c r="D108" i="15"/>
  <c r="F112" i="15"/>
  <c r="E119" i="15"/>
  <c r="G129" i="15"/>
  <c r="E133" i="15"/>
  <c r="G139" i="15"/>
  <c r="G150" i="15"/>
  <c r="G167" i="15"/>
  <c r="F98" i="15"/>
  <c r="F105" i="15"/>
  <c r="E109" i="15"/>
  <c r="D112" i="15"/>
  <c r="F116" i="15"/>
  <c r="E143" i="15"/>
  <c r="F148" i="15"/>
  <c r="G155" i="15"/>
  <c r="G157" i="15"/>
  <c r="G159" i="15"/>
  <c r="G161" i="15"/>
  <c r="G163" i="15"/>
  <c r="F102" i="15"/>
  <c r="F109" i="15"/>
  <c r="G112" i="15"/>
  <c r="D119" i="15"/>
  <c r="F123" i="15"/>
  <c r="G126" i="15"/>
  <c r="G133" i="15"/>
  <c r="E137" i="15"/>
  <c r="F143" i="15"/>
  <c r="E95" i="15"/>
  <c r="F96" i="15"/>
  <c r="E103" i="15"/>
  <c r="C106" i="15"/>
  <c r="E110" i="15"/>
  <c r="E117" i="15"/>
  <c r="D120" i="15"/>
  <c r="C102" i="15"/>
  <c r="C110" i="15"/>
  <c r="D118" i="15"/>
  <c r="G125" i="15"/>
  <c r="E96" i="15"/>
  <c r="F111" i="15"/>
  <c r="F120" i="15"/>
  <c r="F156" i="15"/>
  <c r="F163" i="15"/>
  <c r="G166" i="15"/>
  <c r="C96" i="15"/>
  <c r="F103" i="15"/>
  <c r="C111" i="15"/>
  <c r="C112" i="15" s="1"/>
  <c r="F144" i="15"/>
  <c r="G152" i="15"/>
  <c r="F104" i="15"/>
  <c r="E113" i="15"/>
  <c r="G120" i="15"/>
  <c r="F160" i="15"/>
  <c r="E97" i="15"/>
  <c r="C104" i="15"/>
  <c r="F113" i="15"/>
  <c r="G121" i="15"/>
  <c r="G127" i="15"/>
  <c r="F157" i="15"/>
  <c r="F164" i="15"/>
  <c r="E106" i="15"/>
  <c r="F114" i="15"/>
  <c r="F122" i="15"/>
  <c r="G128" i="15"/>
  <c r="G140" i="15"/>
  <c r="F145" i="15"/>
  <c r="F149" i="15"/>
  <c r="C95" i="15"/>
  <c r="F106" i="15"/>
  <c r="G114" i="15"/>
  <c r="F161" i="15"/>
  <c r="G164" i="15"/>
  <c r="D95" i="15"/>
  <c r="E115" i="15"/>
  <c r="G123" i="15"/>
  <c r="G135" i="15"/>
  <c r="F141" i="15"/>
  <c r="F146" i="15"/>
  <c r="F154" i="15"/>
  <c r="G95" i="15"/>
  <c r="F99" i="15"/>
  <c r="D116" i="15"/>
  <c r="F124" i="15"/>
  <c r="G154" i="15"/>
  <c r="F158" i="15"/>
  <c r="F165" i="15"/>
  <c r="E108" i="15"/>
  <c r="G116" i="15"/>
  <c r="G130" i="15"/>
  <c r="G136" i="15"/>
  <c r="C109" i="15"/>
  <c r="F117" i="15"/>
  <c r="F155" i="15"/>
  <c r="G137" i="15"/>
  <c r="G142" i="15"/>
  <c r="G151" i="15"/>
  <c r="F159" i="15"/>
  <c r="G162" i="15"/>
  <c r="E101" i="15"/>
  <c r="B61" i="15"/>
  <c r="B59" i="24"/>
  <c r="C59" i="24"/>
  <c r="D60" i="24"/>
  <c r="J60" i="13"/>
  <c r="L62" i="13"/>
  <c r="K61" i="13"/>
  <c r="M63" i="13"/>
  <c r="A87" i="18"/>
  <c r="D86" i="18"/>
  <c r="E86" i="18"/>
  <c r="C86" i="18"/>
  <c r="F77" i="12"/>
  <c r="F79" i="12"/>
  <c r="F81" i="12"/>
  <c r="F83" i="12"/>
  <c r="F85" i="12"/>
  <c r="F87" i="12"/>
  <c r="F89" i="12"/>
  <c r="F91" i="12"/>
  <c r="F93" i="12"/>
  <c r="F95" i="12"/>
  <c r="F97" i="12"/>
  <c r="F99" i="12"/>
  <c r="F101" i="12"/>
  <c r="F103" i="12"/>
  <c r="F105" i="12"/>
  <c r="F107" i="12"/>
  <c r="F109" i="12"/>
  <c r="F111" i="12"/>
  <c r="F113" i="12"/>
  <c r="F115" i="12"/>
  <c r="F117" i="12"/>
  <c r="F119" i="12"/>
  <c r="F121" i="12"/>
  <c r="F123" i="12"/>
  <c r="F125" i="12"/>
  <c r="F127" i="12"/>
  <c r="F129" i="12"/>
  <c r="F131" i="12"/>
  <c r="F133" i="12"/>
  <c r="F135" i="12"/>
  <c r="F137" i="12"/>
  <c r="F139" i="12"/>
  <c r="F147" i="12"/>
  <c r="G80" i="12"/>
  <c r="E82" i="12"/>
  <c r="F84" i="12"/>
  <c r="D86" i="12"/>
  <c r="C88" i="12"/>
  <c r="G93" i="12"/>
  <c r="E95" i="12"/>
  <c r="D97" i="12"/>
  <c r="G104" i="12"/>
  <c r="E106" i="12"/>
  <c r="F108" i="12"/>
  <c r="G117" i="12"/>
  <c r="E119" i="12"/>
  <c r="G128" i="12"/>
  <c r="F132" i="12"/>
  <c r="C76" i="12"/>
  <c r="G81" i="12"/>
  <c r="E83" i="12"/>
  <c r="D85" i="12"/>
  <c r="C87" i="12"/>
  <c r="G92" i="12"/>
  <c r="E94" i="12"/>
  <c r="F96" i="12"/>
  <c r="D98" i="12"/>
  <c r="G105" i="12"/>
  <c r="D76" i="12"/>
  <c r="E79" i="12"/>
  <c r="D84" i="12"/>
  <c r="G87" i="12"/>
  <c r="C89" i="12"/>
  <c r="F92" i="12"/>
  <c r="E100" i="12"/>
  <c r="E110" i="12"/>
  <c r="G115" i="12"/>
  <c r="E122" i="12"/>
  <c r="G134" i="12"/>
  <c r="F136" i="12"/>
  <c r="G141" i="12"/>
  <c r="G143" i="12"/>
  <c r="G145" i="12"/>
  <c r="G147" i="12"/>
  <c r="D79" i="12"/>
  <c r="G82" i="12"/>
  <c r="C84" i="12"/>
  <c r="E87" i="12"/>
  <c r="G90" i="12"/>
  <c r="D92" i="12"/>
  <c r="G95" i="12"/>
  <c r="F100" i="12"/>
  <c r="G103" i="12"/>
  <c r="G108" i="12"/>
  <c r="F110" i="12"/>
  <c r="E115" i="12"/>
  <c r="G120" i="12"/>
  <c r="F122" i="12"/>
  <c r="G127" i="12"/>
  <c r="G139" i="12"/>
  <c r="G77" i="12"/>
  <c r="C79" i="12"/>
  <c r="F82" i="12"/>
  <c r="D87" i="12"/>
  <c r="E90" i="12"/>
  <c r="C92" i="12"/>
  <c r="D95" i="12"/>
  <c r="G98" i="12"/>
  <c r="D100" i="12"/>
  <c r="E103" i="12"/>
  <c r="E108" i="12"/>
  <c r="G113" i="12"/>
  <c r="E77" i="12"/>
  <c r="D82" i="12"/>
  <c r="G85" i="12"/>
  <c r="F90" i="12"/>
  <c r="E98" i="12"/>
  <c r="G106" i="12"/>
  <c r="E113" i="12"/>
  <c r="G118" i="12"/>
  <c r="F120" i="12"/>
  <c r="G125" i="12"/>
  <c r="G137" i="12"/>
  <c r="D77" i="12"/>
  <c r="E80" i="12"/>
  <c r="C82" i="12"/>
  <c r="E85" i="12"/>
  <c r="G88" i="12"/>
  <c r="D90" i="12"/>
  <c r="E93" i="12"/>
  <c r="F98" i="12"/>
  <c r="G101" i="12"/>
  <c r="F106" i="12"/>
  <c r="G111" i="12"/>
  <c r="E118" i="12"/>
  <c r="G130" i="12"/>
  <c r="C77" i="12"/>
  <c r="F80" i="12"/>
  <c r="C85" i="12"/>
  <c r="E88" i="12"/>
  <c r="C90" i="12"/>
  <c r="D93" i="12"/>
  <c r="G96" i="12"/>
  <c r="E101" i="12"/>
  <c r="E111" i="12"/>
  <c r="G116" i="12"/>
  <c r="F118" i="12"/>
  <c r="G123" i="12"/>
  <c r="F130" i="12"/>
  <c r="G135" i="12"/>
  <c r="G78" i="12"/>
  <c r="D80" i="12"/>
  <c r="G83" i="12"/>
  <c r="F88" i="12"/>
  <c r="G91" i="12"/>
  <c r="C93" i="12"/>
  <c r="E96" i="12"/>
  <c r="D101" i="12"/>
  <c r="E104" i="12"/>
  <c r="G109" i="12"/>
  <c r="E116" i="12"/>
  <c r="E123" i="12"/>
  <c r="G140" i="12"/>
  <c r="G142" i="12"/>
  <c r="G144" i="12"/>
  <c r="G146" i="12"/>
  <c r="G148" i="12"/>
  <c r="E78" i="12"/>
  <c r="C80" i="12"/>
  <c r="D83" i="12"/>
  <c r="G86" i="12"/>
  <c r="D88" i="12"/>
  <c r="E91" i="12"/>
  <c r="D96" i="12"/>
  <c r="G99" i="12"/>
  <c r="F104" i="12"/>
  <c r="E109" i="12"/>
  <c r="G114" i="12"/>
  <c r="F116" i="12"/>
  <c r="G121" i="12"/>
  <c r="G126" i="12"/>
  <c r="F128" i="12"/>
  <c r="G133" i="12"/>
  <c r="F76" i="12"/>
  <c r="F78" i="12"/>
  <c r="C83" i="12"/>
  <c r="E86" i="12"/>
  <c r="D91" i="12"/>
  <c r="G94" i="12"/>
  <c r="E99" i="12"/>
  <c r="G102" i="12"/>
  <c r="G107" i="12"/>
  <c r="E114" i="12"/>
  <c r="E121" i="12"/>
  <c r="G138" i="12"/>
  <c r="F140" i="12"/>
  <c r="F142" i="12"/>
  <c r="F144" i="12"/>
  <c r="F146" i="12"/>
  <c r="D78" i="12"/>
  <c r="E81" i="12"/>
  <c r="F86" i="12"/>
  <c r="G89" i="12"/>
  <c r="C91" i="12"/>
  <c r="F94" i="12"/>
  <c r="D99" i="12"/>
  <c r="E102" i="12"/>
  <c r="E107" i="12"/>
  <c r="G112" i="12"/>
  <c r="F114" i="12"/>
  <c r="G119" i="12"/>
  <c r="G124" i="12"/>
  <c r="F126" i="12"/>
  <c r="G76" i="12"/>
  <c r="C78" i="12"/>
  <c r="D81" i="12"/>
  <c r="G84" i="12"/>
  <c r="C86" i="12"/>
  <c r="E89" i="12"/>
  <c r="D94" i="12"/>
  <c r="G97" i="12"/>
  <c r="F102" i="12"/>
  <c r="E112" i="12"/>
  <c r="E117" i="12"/>
  <c r="F134" i="12"/>
  <c r="F141" i="12"/>
  <c r="D89" i="12"/>
  <c r="E92" i="12"/>
  <c r="G136" i="12"/>
  <c r="E120" i="12"/>
  <c r="G129" i="12"/>
  <c r="E97" i="12"/>
  <c r="F143" i="12"/>
  <c r="G100" i="12"/>
  <c r="G122" i="12"/>
  <c r="G131" i="12"/>
  <c r="D42" i="12"/>
  <c r="F138" i="12"/>
  <c r="E105" i="12"/>
  <c r="E124" i="12"/>
  <c r="E125" i="12" s="1"/>
  <c r="E76" i="12"/>
  <c r="F124" i="12"/>
  <c r="G132" i="12"/>
  <c r="F145" i="12"/>
  <c r="G79" i="12"/>
  <c r="G110" i="12"/>
  <c r="C81" i="12"/>
  <c r="F112" i="12"/>
  <c r="E84" i="12"/>
  <c r="C56" i="23"/>
  <c r="B56" i="23"/>
  <c r="D57" i="23"/>
  <c r="K60" i="24"/>
  <c r="J59" i="24"/>
  <c r="L61" i="24"/>
  <c r="M62" i="24"/>
  <c r="N67" i="25"/>
  <c r="P69" i="25"/>
  <c r="M66" i="25"/>
  <c r="O68" i="25"/>
  <c r="E130" i="12" l="1"/>
  <c r="E129" i="12"/>
  <c r="E134" i="12"/>
  <c r="E141" i="12"/>
  <c r="E143" i="12"/>
  <c r="E145" i="12"/>
  <c r="E147" i="12"/>
  <c r="E132" i="12"/>
  <c r="E137" i="12"/>
  <c r="E128" i="12"/>
  <c r="E135" i="12"/>
  <c r="E140" i="12"/>
  <c r="E142" i="12"/>
  <c r="E144" i="12"/>
  <c r="E146" i="12"/>
  <c r="E148" i="12"/>
  <c r="E126" i="12"/>
  <c r="E133" i="12"/>
  <c r="E127" i="12"/>
  <c r="E136" i="12"/>
  <c r="E138" i="12"/>
  <c r="E131" i="12"/>
  <c r="E139" i="12"/>
  <c r="C124" i="15"/>
  <c r="C123" i="15"/>
  <c r="C114" i="15"/>
  <c r="C117" i="15"/>
  <c r="C121" i="15"/>
  <c r="C122" i="15"/>
  <c r="C115" i="15"/>
  <c r="C126" i="15"/>
  <c r="C119" i="15"/>
  <c r="C116" i="15"/>
  <c r="C113" i="15"/>
  <c r="C120" i="15"/>
  <c r="C127" i="15"/>
  <c r="C128" i="15" s="1"/>
  <c r="C125" i="15"/>
  <c r="C118" i="15"/>
  <c r="F148" i="12"/>
  <c r="A88" i="18"/>
  <c r="D87" i="18"/>
  <c r="E87" i="18"/>
  <c r="C87" i="18"/>
  <c r="K61" i="24"/>
  <c r="L62" i="24"/>
  <c r="M63" i="24"/>
  <c r="J60" i="24"/>
  <c r="D110" i="12"/>
  <c r="D121" i="12"/>
  <c r="D105" i="12"/>
  <c r="D112" i="12"/>
  <c r="D117" i="12"/>
  <c r="D124" i="12"/>
  <c r="D125" i="12" s="1"/>
  <c r="D115" i="12"/>
  <c r="D103" i="12"/>
  <c r="D108" i="12"/>
  <c r="D113" i="12"/>
  <c r="D120" i="12"/>
  <c r="D106" i="12"/>
  <c r="D111" i="12"/>
  <c r="D118" i="12"/>
  <c r="D123" i="12"/>
  <c r="D104" i="12"/>
  <c r="D109" i="12"/>
  <c r="D116" i="12"/>
  <c r="D107" i="12"/>
  <c r="D114" i="12"/>
  <c r="D119" i="12"/>
  <c r="D102" i="12"/>
  <c r="D122" i="12"/>
  <c r="E145" i="15"/>
  <c r="E157" i="15"/>
  <c r="E153" i="15"/>
  <c r="E155" i="15"/>
  <c r="E147" i="15"/>
  <c r="E152" i="15"/>
  <c r="E148" i="15"/>
  <c r="E146" i="15"/>
  <c r="E156" i="15"/>
  <c r="E163" i="15"/>
  <c r="E160" i="15"/>
  <c r="E167" i="15"/>
  <c r="E164" i="15"/>
  <c r="E149" i="15"/>
  <c r="E161" i="15"/>
  <c r="E154" i="15"/>
  <c r="E150" i="15"/>
  <c r="E158" i="15"/>
  <c r="E165" i="15"/>
  <c r="E151" i="15"/>
  <c r="E162" i="15"/>
  <c r="E159" i="15"/>
  <c r="E166" i="15"/>
  <c r="D58" i="23"/>
  <c r="C57" i="23"/>
  <c r="B57" i="23"/>
  <c r="C99" i="12"/>
  <c r="C100" i="12"/>
  <c r="C97" i="12"/>
  <c r="C102" i="12"/>
  <c r="C105" i="12"/>
  <c r="C95" i="12"/>
  <c r="C103" i="12"/>
  <c r="C108" i="12"/>
  <c r="C109" i="12" s="1"/>
  <c r="C98" i="12"/>
  <c r="C106" i="12"/>
  <c r="C101" i="12"/>
  <c r="C96" i="12"/>
  <c r="C104" i="12"/>
  <c r="C94" i="12"/>
  <c r="C107" i="12"/>
  <c r="J61" i="13"/>
  <c r="M64" i="13"/>
  <c r="K62" i="13"/>
  <c r="L63" i="13"/>
  <c r="D129" i="15"/>
  <c r="D121" i="15"/>
  <c r="D134" i="15"/>
  <c r="D136" i="15"/>
  <c r="D141" i="15"/>
  <c r="D128" i="15"/>
  <c r="D135" i="15"/>
  <c r="D122" i="15"/>
  <c r="D126" i="15"/>
  <c r="D133" i="15"/>
  <c r="D140" i="15"/>
  <c r="D143" i="15"/>
  <c r="D144" i="15" s="1"/>
  <c r="D132" i="15"/>
  <c r="D138" i="15"/>
  <c r="D127" i="15"/>
  <c r="D139" i="15"/>
  <c r="D123" i="15"/>
  <c r="D130" i="15"/>
  <c r="D124" i="15"/>
  <c r="D137" i="15"/>
  <c r="D142" i="15"/>
  <c r="D131" i="15"/>
  <c r="D125" i="15"/>
  <c r="C60" i="24"/>
  <c r="B60" i="24"/>
  <c r="D61" i="24"/>
  <c r="M67" i="25"/>
  <c r="N68" i="25"/>
  <c r="P70" i="25"/>
  <c r="O69" i="25"/>
  <c r="B62" i="15"/>
  <c r="G91" i="15"/>
  <c r="D43" i="12"/>
  <c r="I72" i="12"/>
  <c r="H39" i="12" s="1"/>
  <c r="K62" i="24" l="1"/>
  <c r="L63" i="24"/>
  <c r="M64" i="24"/>
  <c r="J61" i="24"/>
  <c r="B58" i="23"/>
  <c r="D59" i="23"/>
  <c r="C58" i="23"/>
  <c r="N69" i="25"/>
  <c r="P71" i="25"/>
  <c r="M68" i="25"/>
  <c r="O70" i="25"/>
  <c r="C112" i="12"/>
  <c r="C123" i="12"/>
  <c r="C117" i="12"/>
  <c r="C124" i="12"/>
  <c r="C125" i="12" s="1"/>
  <c r="C110" i="12"/>
  <c r="C115" i="12"/>
  <c r="C122" i="12"/>
  <c r="C113" i="12"/>
  <c r="C120" i="12"/>
  <c r="C111" i="12"/>
  <c r="C118" i="12"/>
  <c r="C116" i="12"/>
  <c r="C121" i="12"/>
  <c r="C119" i="12"/>
  <c r="C114" i="12"/>
  <c r="C136" i="15"/>
  <c r="C143" i="15"/>
  <c r="C144" i="15" s="1"/>
  <c r="C138" i="15"/>
  <c r="C131" i="15"/>
  <c r="C133" i="15"/>
  <c r="C135" i="15"/>
  <c r="C137" i="15"/>
  <c r="C140" i="15"/>
  <c r="C130" i="15"/>
  <c r="C132" i="15"/>
  <c r="C139" i="15"/>
  <c r="C134" i="15"/>
  <c r="C129" i="15"/>
  <c r="C141" i="15"/>
  <c r="C142" i="15"/>
  <c r="D148" i="15"/>
  <c r="D160" i="15"/>
  <c r="D147" i="15"/>
  <c r="D162" i="15"/>
  <c r="D149" i="15"/>
  <c r="D150" i="15"/>
  <c r="D156" i="15"/>
  <c r="D158" i="15"/>
  <c r="D154" i="15"/>
  <c r="D145" i="15"/>
  <c r="D155" i="15"/>
  <c r="D157" i="15"/>
  <c r="D159" i="15"/>
  <c r="D161" i="15"/>
  <c r="D163" i="15"/>
  <c r="D165" i="15"/>
  <c r="D153" i="15"/>
  <c r="D166" i="15"/>
  <c r="D152" i="15"/>
  <c r="D167" i="15"/>
  <c r="D164" i="15"/>
  <c r="D146" i="15"/>
  <c r="D151" i="15"/>
  <c r="D62" i="24"/>
  <c r="B61" i="24"/>
  <c r="C61" i="24"/>
  <c r="D134" i="12"/>
  <c r="D129" i="12"/>
  <c r="D136" i="12"/>
  <c r="D127" i="12"/>
  <c r="D139" i="12"/>
  <c r="D141" i="12"/>
  <c r="D143" i="12"/>
  <c r="D145" i="12"/>
  <c r="D132" i="12"/>
  <c r="D137" i="12"/>
  <c r="D130" i="12"/>
  <c r="D135" i="12"/>
  <c r="D128" i="12"/>
  <c r="D148" i="12"/>
  <c r="D147" i="12"/>
  <c r="D142" i="12"/>
  <c r="D144" i="12"/>
  <c r="D131" i="12"/>
  <c r="D138" i="12"/>
  <c r="D133" i="12"/>
  <c r="D140" i="12"/>
  <c r="D146" i="12"/>
  <c r="D126" i="12"/>
  <c r="J62" i="13"/>
  <c r="M65" i="13"/>
  <c r="K63" i="13"/>
  <c r="L64" i="13"/>
  <c r="A89" i="18"/>
  <c r="D88" i="18"/>
  <c r="E88" i="18"/>
  <c r="C88" i="18"/>
  <c r="M69" i="25" l="1"/>
  <c r="N70" i="25"/>
  <c r="P72" i="25"/>
  <c r="O71" i="25"/>
  <c r="C59" i="23"/>
  <c r="D60" i="23"/>
  <c r="B59" i="23"/>
  <c r="D63" i="24"/>
  <c r="C62" i="24"/>
  <c r="B62" i="24"/>
  <c r="C155" i="15"/>
  <c r="C149" i="15"/>
  <c r="C151" i="15"/>
  <c r="C152" i="15"/>
  <c r="C154" i="15"/>
  <c r="C153" i="15"/>
  <c r="C148" i="15"/>
  <c r="C159" i="15"/>
  <c r="C160" i="15" s="1"/>
  <c r="C156" i="15"/>
  <c r="C157" i="15"/>
  <c r="C145" i="15"/>
  <c r="C146" i="15"/>
  <c r="C150" i="15"/>
  <c r="C158" i="15"/>
  <c r="C147" i="15"/>
  <c r="K63" i="24"/>
  <c r="L64" i="24"/>
  <c r="M65" i="24"/>
  <c r="J62" i="24"/>
  <c r="C136" i="12"/>
  <c r="C131" i="12"/>
  <c r="C138" i="12"/>
  <c r="C134" i="12"/>
  <c r="C127" i="12"/>
  <c r="C139" i="12"/>
  <c r="C132" i="12"/>
  <c r="C137" i="12"/>
  <c r="C130" i="12"/>
  <c r="C135" i="12"/>
  <c r="C128" i="12"/>
  <c r="C129" i="12"/>
  <c r="C133" i="12"/>
  <c r="C140" i="12"/>
  <c r="C141" i="12" s="1"/>
  <c r="C126" i="12"/>
  <c r="A90" i="18"/>
  <c r="C89" i="18"/>
  <c r="E89" i="18"/>
  <c r="D89" i="18"/>
  <c r="J63" i="13"/>
  <c r="M66" i="13"/>
  <c r="L65" i="13"/>
  <c r="K64" i="13"/>
  <c r="D64" i="24" l="1"/>
  <c r="C63" i="24"/>
  <c r="B63" i="24"/>
  <c r="A91" i="18"/>
  <c r="E90" i="18"/>
  <c r="C90" i="18"/>
  <c r="D90" i="18"/>
  <c r="C167" i="15"/>
  <c r="C164" i="15"/>
  <c r="C163" i="15"/>
  <c r="C161" i="15"/>
  <c r="C165" i="15"/>
  <c r="C162" i="15"/>
  <c r="C166" i="15"/>
  <c r="C60" i="23"/>
  <c r="D61" i="23"/>
  <c r="B60" i="23"/>
  <c r="C147" i="12"/>
  <c r="C143" i="12"/>
  <c r="C145" i="12"/>
  <c r="C148" i="12"/>
  <c r="C142" i="12"/>
  <c r="C144" i="12"/>
  <c r="C146" i="12"/>
  <c r="K64" i="24"/>
  <c r="M66" i="24"/>
  <c r="J63" i="24"/>
  <c r="L65" i="24"/>
  <c r="J64" i="13"/>
  <c r="L66" i="13"/>
  <c r="K65" i="13"/>
  <c r="M67" i="13"/>
  <c r="N71" i="25"/>
  <c r="P73" i="25"/>
  <c r="M70" i="25"/>
  <c r="O72" i="25"/>
  <c r="J65" i="13" l="1"/>
  <c r="M68" i="13"/>
  <c r="L67" i="13"/>
  <c r="K66" i="13"/>
  <c r="M71" i="25"/>
  <c r="N72" i="25"/>
  <c r="P74" i="25"/>
  <c r="O73" i="25"/>
  <c r="D62" i="23"/>
  <c r="B61" i="23"/>
  <c r="C61" i="23"/>
  <c r="A92" i="18"/>
  <c r="E91" i="18"/>
  <c r="D91" i="18"/>
  <c r="C91" i="18"/>
  <c r="K65" i="24"/>
  <c r="L66" i="24"/>
  <c r="J64" i="24"/>
  <c r="M67" i="24"/>
  <c r="B64" i="24"/>
  <c r="C64" i="24"/>
  <c r="D65" i="24"/>
  <c r="N73" i="25" l="1"/>
  <c r="P75" i="25"/>
  <c r="M72" i="25"/>
  <c r="O74" i="25"/>
  <c r="A93" i="18"/>
  <c r="C92" i="18"/>
  <c r="C93" i="18" s="1"/>
  <c r="D92" i="18"/>
  <c r="E92" i="18"/>
  <c r="D66" i="24"/>
  <c r="B65" i="24"/>
  <c r="C65" i="24"/>
  <c r="D63" i="23"/>
  <c r="C62" i="23"/>
  <c r="B62" i="23"/>
  <c r="K66" i="24"/>
  <c r="M68" i="24"/>
  <c r="J65" i="24"/>
  <c r="L67" i="24"/>
  <c r="J66" i="13"/>
  <c r="M69" i="13"/>
  <c r="L68" i="13"/>
  <c r="K67" i="13"/>
  <c r="C66" i="24" l="1"/>
  <c r="B66" i="24"/>
  <c r="D67" i="24"/>
  <c r="K67" i="24"/>
  <c r="L68" i="24"/>
  <c r="J66" i="24"/>
  <c r="M69" i="24"/>
  <c r="A94" i="18"/>
  <c r="D93" i="18"/>
  <c r="E93" i="18"/>
  <c r="B63" i="23"/>
  <c r="D64" i="23"/>
  <c r="C63" i="23"/>
  <c r="M73" i="25"/>
  <c r="N74" i="25"/>
  <c r="P76" i="25"/>
  <c r="O75" i="25"/>
  <c r="M70" i="13"/>
  <c r="J67" i="13"/>
  <c r="L69" i="13"/>
  <c r="K68" i="13"/>
  <c r="N75" i="25" l="1"/>
  <c r="P77" i="25"/>
  <c r="M74" i="25"/>
  <c r="O76" i="25"/>
  <c r="B64" i="23"/>
  <c r="C64" i="23"/>
  <c r="D65" i="23"/>
  <c r="A95" i="18"/>
  <c r="D94" i="18"/>
  <c r="E94" i="18"/>
  <c r="J68" i="13"/>
  <c r="K69" i="13"/>
  <c r="L70" i="13"/>
  <c r="M71" i="13"/>
  <c r="K68" i="24"/>
  <c r="M70" i="24"/>
  <c r="J67" i="24"/>
  <c r="L69" i="24"/>
  <c r="C67" i="24"/>
  <c r="B67" i="24"/>
  <c r="D68" i="24"/>
  <c r="C94" i="18"/>
  <c r="M72" i="13" l="1"/>
  <c r="J69" i="13"/>
  <c r="L71" i="13"/>
  <c r="K70" i="13"/>
  <c r="D66" i="23"/>
  <c r="C65" i="23"/>
  <c r="B65" i="23"/>
  <c r="E95" i="18"/>
  <c r="A96" i="18"/>
  <c r="D95" i="18"/>
  <c r="C95" i="18"/>
  <c r="B68" i="24"/>
  <c r="D69" i="24"/>
  <c r="C68" i="24"/>
  <c r="M75" i="25"/>
  <c r="N76" i="25"/>
  <c r="P78" i="25"/>
  <c r="O77" i="25"/>
  <c r="K69" i="24"/>
  <c r="L70" i="24"/>
  <c r="M71" i="24"/>
  <c r="J68" i="24"/>
  <c r="C66" i="23" l="1"/>
  <c r="B66" i="23"/>
  <c r="D67" i="23"/>
  <c r="K70" i="24"/>
  <c r="J69" i="24"/>
  <c r="L71" i="24"/>
  <c r="M72" i="24"/>
  <c r="A97" i="18"/>
  <c r="D96" i="18"/>
  <c r="E96" i="18"/>
  <c r="C96" i="18"/>
  <c r="J70" i="13"/>
  <c r="M73" i="13"/>
  <c r="L72" i="13"/>
  <c r="K71" i="13"/>
  <c r="N77" i="25"/>
  <c r="P79" i="25"/>
  <c r="M76" i="25"/>
  <c r="O78" i="25"/>
  <c r="D70" i="24"/>
  <c r="B69" i="24"/>
  <c r="C69" i="24"/>
  <c r="K71" i="24" l="1"/>
  <c r="L72" i="24"/>
  <c r="M73" i="24"/>
  <c r="J70" i="24"/>
  <c r="M74" i="13"/>
  <c r="J71" i="13"/>
  <c r="K72" i="13"/>
  <c r="L73" i="13"/>
  <c r="B70" i="24"/>
  <c r="D71" i="24"/>
  <c r="C70" i="24"/>
  <c r="A98" i="18"/>
  <c r="E97" i="18"/>
  <c r="D97" i="18"/>
  <c r="C97" i="18"/>
  <c r="M77" i="25"/>
  <c r="N78" i="25"/>
  <c r="P80" i="25"/>
  <c r="O79" i="25"/>
  <c r="C67" i="23"/>
  <c r="D68" i="23"/>
  <c r="B67" i="23"/>
  <c r="A99" i="18" l="1"/>
  <c r="D98" i="18"/>
  <c r="E98" i="18"/>
  <c r="C98" i="18"/>
  <c r="B71" i="24"/>
  <c r="D72" i="24"/>
  <c r="C71" i="24"/>
  <c r="J72" i="13"/>
  <c r="L74" i="13"/>
  <c r="K73" i="13"/>
  <c r="M75" i="13"/>
  <c r="B68" i="23"/>
  <c r="D69" i="23"/>
  <c r="C68" i="23"/>
  <c r="N79" i="25"/>
  <c r="M78" i="25"/>
  <c r="O80" i="25"/>
  <c r="P81" i="25"/>
  <c r="M74" i="24"/>
  <c r="K72" i="24"/>
  <c r="J71" i="24"/>
  <c r="L73" i="24"/>
  <c r="C72" i="24" l="1"/>
  <c r="D73" i="24"/>
  <c r="B72" i="24"/>
  <c r="K73" i="24"/>
  <c r="M75" i="24"/>
  <c r="L74" i="24"/>
  <c r="J72" i="24"/>
  <c r="J73" i="13"/>
  <c r="K74" i="13"/>
  <c r="L75" i="13"/>
  <c r="M76" i="13"/>
  <c r="M79" i="25"/>
  <c r="O81" i="25"/>
  <c r="N80" i="25"/>
  <c r="P82" i="25"/>
  <c r="D70" i="23"/>
  <c r="B69" i="23"/>
  <c r="C69" i="23"/>
  <c r="A100" i="18"/>
  <c r="E99" i="18"/>
  <c r="D99" i="18"/>
  <c r="C99" i="18"/>
  <c r="M80" i="25" l="1"/>
  <c r="O82" i="25"/>
  <c r="P83" i="25"/>
  <c r="N81" i="25"/>
  <c r="J73" i="24"/>
  <c r="M76" i="24"/>
  <c r="K74" i="24"/>
  <c r="L75" i="24"/>
  <c r="M77" i="13"/>
  <c r="J74" i="13"/>
  <c r="K75" i="13"/>
  <c r="L76" i="13"/>
  <c r="A101" i="18"/>
  <c r="E100" i="18"/>
  <c r="D100" i="18"/>
  <c r="D101" i="18" s="1"/>
  <c r="C100" i="18"/>
  <c r="C70" i="23"/>
  <c r="B70" i="23"/>
  <c r="D71" i="23"/>
  <c r="C73" i="24"/>
  <c r="B73" i="24"/>
  <c r="D74" i="24"/>
  <c r="B74" i="24" l="1"/>
  <c r="D75" i="24"/>
  <c r="C74" i="24"/>
  <c r="K75" i="24"/>
  <c r="J74" i="24"/>
  <c r="L76" i="24"/>
  <c r="M77" i="24"/>
  <c r="J75" i="13"/>
  <c r="M78" i="13"/>
  <c r="L77" i="13"/>
  <c r="K76" i="13"/>
  <c r="D72" i="23"/>
  <c r="C71" i="23"/>
  <c r="B71" i="23"/>
  <c r="A102" i="18"/>
  <c r="D102" i="18" s="1"/>
  <c r="E101" i="18"/>
  <c r="C101" i="18"/>
  <c r="M81" i="25"/>
  <c r="O83" i="25"/>
  <c r="N82" i="25"/>
  <c r="P84" i="25"/>
  <c r="J75" i="24" l="1"/>
  <c r="M78" i="24"/>
  <c r="K76" i="24"/>
  <c r="L77" i="24"/>
  <c r="C75" i="24"/>
  <c r="D76" i="24"/>
  <c r="B75" i="24"/>
  <c r="M82" i="25"/>
  <c r="O84" i="25"/>
  <c r="P85" i="25"/>
  <c r="N83" i="25"/>
  <c r="D73" i="23"/>
  <c r="C72" i="23"/>
  <c r="B72" i="23"/>
  <c r="J76" i="13"/>
  <c r="L78" i="13"/>
  <c r="K77" i="13"/>
  <c r="M79" i="13"/>
  <c r="A103" i="18"/>
  <c r="E102" i="18"/>
  <c r="C102" i="18"/>
  <c r="K77" i="24" l="1"/>
  <c r="J76" i="24"/>
  <c r="L78" i="24"/>
  <c r="M79" i="24"/>
  <c r="A104" i="18"/>
  <c r="E103" i="18"/>
  <c r="C103" i="18"/>
  <c r="D103" i="18"/>
  <c r="C76" i="24"/>
  <c r="D77" i="24"/>
  <c r="B76" i="24"/>
  <c r="J77" i="13"/>
  <c r="L79" i="13"/>
  <c r="K78" i="13"/>
  <c r="M80" i="13"/>
  <c r="M83" i="25"/>
  <c r="O85" i="25"/>
  <c r="N84" i="25"/>
  <c r="P86" i="25"/>
  <c r="C73" i="23"/>
  <c r="D74" i="23"/>
  <c r="B73" i="23"/>
  <c r="C74" i="23" l="1"/>
  <c r="D75" i="23"/>
  <c r="B74" i="23"/>
  <c r="M81" i="13"/>
  <c r="J78" i="13"/>
  <c r="L80" i="13"/>
  <c r="K79" i="13"/>
  <c r="A105" i="18"/>
  <c r="E104" i="18"/>
  <c r="C104" i="18"/>
  <c r="D104" i="18"/>
  <c r="B77" i="24"/>
  <c r="C77" i="24"/>
  <c r="D78" i="24"/>
  <c r="M84" i="25"/>
  <c r="O86" i="25"/>
  <c r="N85" i="25"/>
  <c r="P87" i="25"/>
  <c r="J77" i="24"/>
  <c r="M80" i="24"/>
  <c r="K78" i="24"/>
  <c r="L79" i="24"/>
  <c r="K79" i="24" l="1"/>
  <c r="J78" i="24"/>
  <c r="L80" i="24"/>
  <c r="M81" i="24"/>
  <c r="A106" i="18"/>
  <c r="E105" i="18"/>
  <c r="C105" i="18"/>
  <c r="D105" i="18"/>
  <c r="J79" i="13"/>
  <c r="L81" i="13"/>
  <c r="K80" i="13"/>
  <c r="M85" i="25"/>
  <c r="O87" i="25"/>
  <c r="N86" i="25"/>
  <c r="P88" i="25"/>
  <c r="D79" i="24"/>
  <c r="C78" i="24"/>
  <c r="B78" i="24"/>
  <c r="C75" i="23"/>
  <c r="B75" i="23"/>
  <c r="D76" i="23"/>
  <c r="A107" i="18" l="1"/>
  <c r="E106" i="18"/>
  <c r="C106" i="18"/>
  <c r="D106" i="18"/>
  <c r="M86" i="25"/>
  <c r="O88" i="25"/>
  <c r="P89" i="25"/>
  <c r="N87" i="25"/>
  <c r="K81" i="13"/>
  <c r="J80" i="13"/>
  <c r="J81" i="13" s="1"/>
  <c r="C76" i="23"/>
  <c r="B76" i="23"/>
  <c r="D77" i="23"/>
  <c r="J79" i="24"/>
  <c r="K80" i="24"/>
  <c r="L81" i="24"/>
  <c r="C79" i="24"/>
  <c r="D80" i="24"/>
  <c r="B79" i="24"/>
  <c r="C80" i="24" l="1"/>
  <c r="B80" i="24"/>
  <c r="D81" i="24"/>
  <c r="M87" i="25"/>
  <c r="O89" i="25"/>
  <c r="N88" i="25"/>
  <c r="K81" i="24"/>
  <c r="J80" i="24"/>
  <c r="J81" i="24" s="1"/>
  <c r="D78" i="23"/>
  <c r="C77" i="23"/>
  <c r="B77" i="23"/>
  <c r="A108" i="18"/>
  <c r="E107" i="18"/>
  <c r="C107" i="18"/>
  <c r="D107" i="18"/>
  <c r="A109" i="18" l="1"/>
  <c r="E108" i="18"/>
  <c r="C108" i="18"/>
  <c r="C109" i="18" s="1"/>
  <c r="D108" i="18"/>
  <c r="D79" i="23"/>
  <c r="C78" i="23"/>
  <c r="B78" i="23"/>
  <c r="M88" i="25"/>
  <c r="M89" i="25" s="1"/>
  <c r="N89" i="25"/>
  <c r="D82" i="24"/>
  <c r="C81" i="24"/>
  <c r="B81" i="24"/>
  <c r="D83" i="24" l="1"/>
  <c r="B82" i="24"/>
  <c r="C82" i="24"/>
  <c r="D80" i="23"/>
  <c r="C79" i="23"/>
  <c r="B79" i="23"/>
  <c r="E109" i="18"/>
  <c r="A110" i="18"/>
  <c r="C110" i="18" s="1"/>
  <c r="D109" i="18"/>
  <c r="A111" i="18" l="1"/>
  <c r="E110" i="18"/>
  <c r="D110" i="18"/>
  <c r="C80" i="23"/>
  <c r="B80" i="23"/>
  <c r="D81" i="23"/>
  <c r="B83" i="24"/>
  <c r="C83" i="24"/>
  <c r="D84" i="24"/>
  <c r="D85" i="24" l="1"/>
  <c r="C84" i="24"/>
  <c r="B84" i="24"/>
  <c r="D82" i="23"/>
  <c r="B81" i="23"/>
  <c r="C81" i="23"/>
  <c r="A112" i="18"/>
  <c r="E111" i="18"/>
  <c r="D111" i="18"/>
  <c r="C111" i="18"/>
  <c r="A113" i="18" l="1"/>
  <c r="E112" i="18"/>
  <c r="D112" i="18"/>
  <c r="C112" i="18"/>
  <c r="D83" i="23"/>
  <c r="B82" i="23"/>
  <c r="C82" i="23"/>
  <c r="D86" i="24"/>
  <c r="C85" i="24"/>
  <c r="B85" i="24"/>
  <c r="C86" i="24" l="1"/>
  <c r="D87" i="24"/>
  <c r="B86" i="24"/>
  <c r="C83" i="23"/>
  <c r="B83" i="23"/>
  <c r="D84" i="23"/>
  <c r="A114" i="18"/>
  <c r="E113" i="18"/>
  <c r="D113" i="18"/>
  <c r="C113" i="18"/>
  <c r="C84" i="23" l="1"/>
  <c r="B84" i="23"/>
  <c r="D85" i="23"/>
  <c r="A115" i="18"/>
  <c r="E114" i="18"/>
  <c r="D114" i="18"/>
  <c r="C114" i="18"/>
  <c r="D88" i="24"/>
  <c r="B87" i="24"/>
  <c r="C87" i="24"/>
  <c r="C88" i="24" l="1"/>
  <c r="B88" i="24"/>
  <c r="D89" i="24"/>
  <c r="A116" i="18"/>
  <c r="E115" i="18"/>
  <c r="D115" i="18"/>
  <c r="C115" i="18"/>
  <c r="D86" i="23"/>
  <c r="B85" i="23"/>
  <c r="C85" i="23"/>
  <c r="D87" i="23" l="1"/>
  <c r="B86" i="23"/>
  <c r="C86" i="23"/>
  <c r="A117" i="18"/>
  <c r="E116" i="18"/>
  <c r="D116" i="18"/>
  <c r="C116" i="18"/>
  <c r="C89" i="24"/>
  <c r="B89" i="24"/>
  <c r="D90" i="24"/>
  <c r="D91" i="24" l="1"/>
  <c r="C90" i="24"/>
  <c r="B90" i="24"/>
  <c r="A118" i="18"/>
  <c r="E117" i="18"/>
  <c r="D117" i="18"/>
  <c r="C117" i="18"/>
  <c r="D88" i="23"/>
  <c r="B87" i="23"/>
  <c r="C87" i="23"/>
  <c r="B88" i="23" l="1"/>
  <c r="C88" i="23"/>
  <c r="D89" i="23"/>
  <c r="A119" i="18"/>
  <c r="E118" i="18"/>
  <c r="D118" i="18"/>
  <c r="C118" i="18"/>
  <c r="C91" i="24"/>
  <c r="D92" i="24"/>
  <c r="B91" i="24"/>
  <c r="B92" i="24" l="1"/>
  <c r="C92" i="24"/>
  <c r="D93" i="24"/>
  <c r="A120" i="18"/>
  <c r="E119" i="18"/>
  <c r="D119" i="18"/>
  <c r="C119" i="18"/>
  <c r="D90" i="23"/>
  <c r="C89" i="23"/>
  <c r="B89" i="23"/>
  <c r="C90" i="23" l="1"/>
  <c r="D91" i="23"/>
  <c r="B90" i="23"/>
  <c r="A121" i="18"/>
  <c r="E120" i="18"/>
  <c r="D120" i="18"/>
  <c r="C120" i="18"/>
  <c r="D94" i="24"/>
  <c r="B93" i="24"/>
  <c r="C93" i="24"/>
  <c r="C94" i="24" l="1"/>
  <c r="B94" i="24"/>
  <c r="D95" i="24"/>
  <c r="E121" i="18"/>
  <c r="A122" i="18"/>
  <c r="D121" i="18"/>
  <c r="C121" i="18"/>
  <c r="C91" i="23"/>
  <c r="D92" i="23"/>
  <c r="B91" i="23"/>
  <c r="C92" i="23" l="1"/>
  <c r="D93" i="23"/>
  <c r="B92" i="23"/>
  <c r="B95" i="24"/>
  <c r="C95" i="24"/>
  <c r="D96" i="24"/>
  <c r="A123" i="18"/>
  <c r="E122" i="18"/>
  <c r="D122" i="18"/>
  <c r="C122" i="18"/>
  <c r="A124" i="18" l="1"/>
  <c r="E123" i="18"/>
  <c r="D123" i="18"/>
  <c r="C123" i="18"/>
  <c r="B93" i="23"/>
  <c r="D94" i="23"/>
  <c r="C93" i="23"/>
  <c r="E15" i="23" s="1"/>
  <c r="C96" i="24"/>
  <c r="E15" i="24" s="1"/>
  <c r="D97" i="24"/>
  <c r="B96" i="24"/>
  <c r="D98" i="24" l="1"/>
  <c r="C97" i="24"/>
  <c r="B97" i="24"/>
  <c r="D95" i="23"/>
  <c r="B94" i="23"/>
  <c r="C94" i="23"/>
  <c r="A125" i="18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E124" i="18"/>
  <c r="E125" i="18" s="1"/>
  <c r="D124" i="18"/>
  <c r="D125" i="18" s="1"/>
  <c r="C124" i="18"/>
  <c r="C125" i="18" s="1"/>
  <c r="C140" i="18" l="1"/>
  <c r="C141" i="18" s="1"/>
  <c r="C128" i="18"/>
  <c r="C132" i="18"/>
  <c r="C136" i="18"/>
  <c r="C130" i="18"/>
  <c r="C134" i="18"/>
  <c r="C138" i="18"/>
  <c r="C139" i="18"/>
  <c r="C129" i="18"/>
  <c r="C135" i="18"/>
  <c r="C133" i="18"/>
  <c r="C131" i="18"/>
  <c r="C126" i="18"/>
  <c r="C137" i="18"/>
  <c r="C127" i="18"/>
  <c r="E142" i="18"/>
  <c r="E127" i="18"/>
  <c r="E131" i="18"/>
  <c r="E133" i="18"/>
  <c r="E128" i="18"/>
  <c r="E134" i="18"/>
  <c r="E139" i="18"/>
  <c r="E137" i="18"/>
  <c r="E140" i="18"/>
  <c r="E129" i="18"/>
  <c r="E135" i="18"/>
  <c r="E141" i="18"/>
  <c r="E130" i="18"/>
  <c r="E136" i="18"/>
  <c r="E143" i="18"/>
  <c r="E138" i="18"/>
  <c r="E126" i="18"/>
  <c r="E132" i="18"/>
  <c r="D140" i="18"/>
  <c r="D129" i="18"/>
  <c r="D133" i="18"/>
  <c r="D137" i="18"/>
  <c r="D126" i="18"/>
  <c r="D127" i="18"/>
  <c r="D128" i="18"/>
  <c r="D134" i="18"/>
  <c r="D139" i="18"/>
  <c r="D132" i="18"/>
  <c r="D135" i="18"/>
  <c r="D141" i="18"/>
  <c r="D130" i="18"/>
  <c r="D136" i="18"/>
  <c r="D142" i="18"/>
  <c r="D131" i="18"/>
  <c r="D143" i="18"/>
  <c r="D138" i="18"/>
  <c r="A143" i="18"/>
  <c r="C142" i="18"/>
  <c r="D96" i="23"/>
  <c r="B95" i="23"/>
  <c r="C95" i="23"/>
  <c r="D99" i="24"/>
  <c r="C98" i="24"/>
  <c r="B98" i="24"/>
  <c r="B99" i="24" l="1"/>
  <c r="D100" i="24"/>
  <c r="C99" i="24"/>
  <c r="D97" i="23"/>
  <c r="B96" i="23"/>
  <c r="C96" i="23"/>
  <c r="A144" i="18"/>
  <c r="C143" i="18"/>
  <c r="A145" i="18" l="1"/>
  <c r="C144" i="18"/>
  <c r="D144" i="18"/>
  <c r="E144" i="18"/>
  <c r="B97" i="23"/>
  <c r="C97" i="23"/>
  <c r="D98" i="23"/>
  <c r="D101" i="24"/>
  <c r="C100" i="24"/>
  <c r="B100" i="24"/>
  <c r="D99" i="23" l="1"/>
  <c r="C98" i="23"/>
  <c r="B98" i="23"/>
  <c r="C101" i="24"/>
  <c r="D102" i="24"/>
  <c r="B101" i="24"/>
  <c r="A146" i="18"/>
  <c r="C145" i="18"/>
  <c r="E145" i="18"/>
  <c r="D145" i="18"/>
  <c r="A147" i="18" l="1"/>
  <c r="C146" i="18"/>
  <c r="D146" i="18"/>
  <c r="E146" i="18"/>
  <c r="B102" i="24"/>
  <c r="C102" i="24"/>
  <c r="D103" i="24"/>
  <c r="D100" i="23"/>
  <c r="B99" i="23"/>
  <c r="C99" i="23"/>
  <c r="D104" i="24" l="1"/>
  <c r="B103" i="24"/>
  <c r="C103" i="24"/>
  <c r="B100" i="23"/>
  <c r="C100" i="23"/>
  <c r="D101" i="23"/>
  <c r="A148" i="18"/>
  <c r="C147" i="18"/>
  <c r="D147" i="18"/>
  <c r="D148" i="18" s="1"/>
  <c r="E147" i="18"/>
  <c r="C148" i="18" l="1"/>
  <c r="E148" i="18"/>
  <c r="B101" i="23"/>
  <c r="C101" i="23"/>
  <c r="D102" i="23"/>
  <c r="D105" i="24"/>
  <c r="C104" i="24"/>
  <c r="B104" i="24"/>
  <c r="D103" i="23" l="1"/>
  <c r="B102" i="23"/>
  <c r="C102" i="23"/>
  <c r="B105" i="24"/>
  <c r="D106" i="24"/>
  <c r="C105" i="24"/>
  <c r="C106" i="24" l="1"/>
  <c r="B106" i="24"/>
  <c r="D107" i="24"/>
  <c r="D104" i="23"/>
  <c r="B103" i="23"/>
  <c r="C103" i="23"/>
  <c r="B104" i="23" l="1"/>
  <c r="C104" i="23"/>
  <c r="D105" i="23"/>
  <c r="C107" i="24"/>
  <c r="B107" i="24"/>
  <c r="D108" i="24"/>
  <c r="B108" i="24" l="1"/>
  <c r="D109" i="24"/>
  <c r="C108" i="24"/>
  <c r="B105" i="23"/>
  <c r="C105" i="23"/>
  <c r="D106" i="23"/>
  <c r="D107" i="23" l="1"/>
  <c r="C106" i="23"/>
  <c r="B106" i="23"/>
  <c r="D110" i="24"/>
  <c r="C109" i="24"/>
  <c r="B109" i="24"/>
  <c r="D111" i="24" l="1"/>
  <c r="C110" i="24"/>
  <c r="B110" i="24"/>
  <c r="D108" i="23"/>
  <c r="B107" i="23"/>
  <c r="C107" i="23"/>
  <c r="D109" i="23" l="1"/>
  <c r="C108" i="23"/>
  <c r="B108" i="23"/>
  <c r="B111" i="24"/>
  <c r="D112" i="24"/>
  <c r="C111" i="24"/>
  <c r="D113" i="24" l="1"/>
  <c r="C112" i="24"/>
  <c r="B112" i="24"/>
  <c r="B109" i="23"/>
  <c r="C109" i="23"/>
  <c r="D110" i="23"/>
  <c r="D111" i="23" l="1"/>
  <c r="B110" i="23"/>
  <c r="C110" i="23"/>
  <c r="C113" i="24"/>
  <c r="B113" i="24"/>
  <c r="D114" i="24"/>
  <c r="B114" i="24" l="1"/>
  <c r="C114" i="24"/>
  <c r="D115" i="24"/>
  <c r="D112" i="23"/>
  <c r="B111" i="23"/>
  <c r="C111" i="23"/>
  <c r="B112" i="23" l="1"/>
  <c r="C112" i="23"/>
  <c r="D113" i="23"/>
  <c r="D116" i="24"/>
  <c r="B115" i="24"/>
  <c r="C115" i="24"/>
  <c r="D117" i="24" l="1"/>
  <c r="C116" i="24"/>
  <c r="B116" i="24"/>
  <c r="B113" i="23"/>
  <c r="C113" i="23"/>
  <c r="D114" i="23"/>
  <c r="D115" i="23" l="1"/>
  <c r="B114" i="23"/>
  <c r="C114" i="23"/>
  <c r="B117" i="24"/>
  <c r="D118" i="24"/>
  <c r="C117" i="24"/>
  <c r="C118" i="24" l="1"/>
  <c r="B118" i="24"/>
  <c r="D119" i="24"/>
  <c r="D116" i="23"/>
  <c r="B115" i="23"/>
  <c r="C115" i="23"/>
  <c r="C116" i="23" l="1"/>
  <c r="B116" i="23"/>
  <c r="D117" i="23"/>
  <c r="C119" i="24"/>
  <c r="B119" i="24"/>
  <c r="D120" i="24"/>
  <c r="B117" i="23" l="1"/>
  <c r="C117" i="23"/>
  <c r="D118" i="23"/>
  <c r="B120" i="24"/>
  <c r="D121" i="24"/>
  <c r="C120" i="24"/>
  <c r="D122" i="24" l="1"/>
  <c r="C121" i="24"/>
  <c r="B121" i="24"/>
  <c r="D119" i="23"/>
  <c r="C118" i="23"/>
  <c r="B118" i="23"/>
  <c r="D120" i="23" l="1"/>
  <c r="B119" i="23"/>
  <c r="C119" i="23"/>
  <c r="D123" i="24"/>
  <c r="C122" i="24"/>
  <c r="B122" i="24"/>
  <c r="B123" i="24" l="1"/>
  <c r="D124" i="24"/>
  <c r="C123" i="24"/>
  <c r="B120" i="23"/>
  <c r="C120" i="23"/>
  <c r="D121" i="23"/>
  <c r="B121" i="23" l="1"/>
  <c r="C121" i="23"/>
  <c r="D122" i="23"/>
  <c r="D125" i="24"/>
  <c r="C124" i="24"/>
  <c r="B124" i="24"/>
  <c r="D123" i="23" l="1"/>
  <c r="B122" i="23"/>
  <c r="C122" i="23"/>
  <c r="C125" i="24"/>
  <c r="D126" i="24"/>
  <c r="B125" i="24"/>
  <c r="B126" i="24" l="1"/>
  <c r="C126" i="24"/>
  <c r="D127" i="24"/>
  <c r="D124" i="23"/>
  <c r="B123" i="23"/>
  <c r="C123" i="23"/>
  <c r="B124" i="23" l="1"/>
  <c r="C124" i="23"/>
  <c r="D125" i="23"/>
  <c r="D128" i="24"/>
  <c r="B127" i="24"/>
  <c r="C127" i="24"/>
  <c r="C128" i="24" l="1"/>
  <c r="B128" i="24"/>
  <c r="B125" i="23"/>
  <c r="C125" i="23"/>
</calcChain>
</file>

<file path=xl/sharedStrings.xml><?xml version="1.0" encoding="utf-8"?>
<sst xmlns="http://schemas.openxmlformats.org/spreadsheetml/2006/main" count="756" uniqueCount="210">
  <si>
    <t>kg</t>
  </si>
  <si>
    <t>mL/min</t>
  </si>
  <si>
    <t>L/kg</t>
  </si>
  <si>
    <t>1/Hr</t>
  </si>
  <si>
    <t>mg</t>
  </si>
  <si>
    <t>L</t>
  </si>
  <si>
    <t>Ke</t>
  </si>
  <si>
    <t>Hr</t>
  </si>
  <si>
    <t>mcg/mL</t>
  </si>
  <si>
    <t>Vd coefficient</t>
  </si>
  <si>
    <t>Desired infusion time</t>
  </si>
  <si>
    <t>Level 1</t>
  </si>
  <si>
    <t>Level 2</t>
  </si>
  <si>
    <t>Desired Cmax</t>
  </si>
  <si>
    <t>Desired Cmin</t>
  </si>
  <si>
    <t>Duration of Infusion</t>
  </si>
  <si>
    <t>Lin trap</t>
  </si>
  <si>
    <t>Log trap</t>
  </si>
  <si>
    <t>mcg*h/mL</t>
  </si>
  <si>
    <t>Desired AUC</t>
  </si>
  <si>
    <t>New dose</t>
  </si>
  <si>
    <t>New infusion time</t>
  </si>
  <si>
    <t>Predicted AUC using new dosing</t>
  </si>
  <si>
    <t>Predicted Cmin using new dosing</t>
  </si>
  <si>
    <t>Predicted Cmax using new dosing</t>
  </si>
  <si>
    <t>Step 1. Enter Current Dosing and Levels</t>
  </si>
  <si>
    <t xml:space="preserve">Step 3. Calculate New Dosing Requirements </t>
  </si>
  <si>
    <t>Step 4. Calculate Predicted Cmax/Cmin Based on New Dosing</t>
  </si>
  <si>
    <t>Age</t>
  </si>
  <si>
    <t>Gender</t>
  </si>
  <si>
    <t>SCr</t>
  </si>
  <si>
    <t>Actual Weight</t>
  </si>
  <si>
    <t>years</t>
  </si>
  <si>
    <t>mg/dL</t>
  </si>
  <si>
    <t>Male</t>
  </si>
  <si>
    <t>Female</t>
  </si>
  <si>
    <t>Height</t>
  </si>
  <si>
    <t>inches</t>
  </si>
  <si>
    <t>Dose</t>
  </si>
  <si>
    <t xml:space="preserve">Max rate = 1gm/hr, round up to nearest 30 mins. </t>
  </si>
  <si>
    <t>pounds</t>
  </si>
  <si>
    <t>cm</t>
  </si>
  <si>
    <t>IBW</t>
  </si>
  <si>
    <t>M: 2.3*(inches over 60) + 50;  F: 2.3*(inches over 60) + 45.5</t>
  </si>
  <si>
    <t>(140-age)*AdjBW/[72*SCr]   (females * 0.85)</t>
  </si>
  <si>
    <t>(140-age)*IBW/[72*SCr]   (females * 0.85)</t>
  </si>
  <si>
    <t>Alternative CrCl</t>
  </si>
  <si>
    <t>Alternative Dosing Weight</t>
  </si>
  <si>
    <t>Infusion time</t>
  </si>
  <si>
    <t>AdjBW</t>
  </si>
  <si>
    <t>Alternative dosing weight</t>
  </si>
  <si>
    <t>Alternative dosing CrCl</t>
  </si>
  <si>
    <t>Usual range 400-600 mcg*h/mL</t>
  </si>
  <si>
    <t>Usual range 30-40 mcg/L</t>
  </si>
  <si>
    <t>Usual range 10-20 mcg/L</t>
  </si>
  <si>
    <t>CrCl*0.0016</t>
  </si>
  <si>
    <t>CrCl*0.00083 + 0.0044</t>
  </si>
  <si>
    <t>CrCl/Vd</t>
  </si>
  <si>
    <t>hours</t>
  </si>
  <si>
    <r>
      <t>h</t>
    </r>
    <r>
      <rPr>
        <vertAlign val="superscript"/>
        <sz val="10"/>
        <rFont val="Tahoma"/>
        <family val="2"/>
      </rPr>
      <t>-1</t>
    </r>
  </si>
  <si>
    <t>Usual range 0.6-1 L/kg</t>
  </si>
  <si>
    <t>Results in most aggressive dosing. Derived from study of younger, mostly male patients with from DRH</t>
  </si>
  <si>
    <t>Less aggressive equation. Study included patients with varying degrees of renal dysfunction. Consider in patients with significant comorbidities (e.g. long-standing DM, CHF, CKD).</t>
  </si>
  <si>
    <r>
      <t>Basic PK/PD equation, with estimated k</t>
    </r>
    <r>
      <rPr>
        <vertAlign val="subscript"/>
        <sz val="9"/>
        <rFont val="Arial"/>
        <family val="2"/>
      </rPr>
      <t>e</t>
    </r>
    <r>
      <rPr>
        <sz val="9"/>
        <rFont val="Arial"/>
        <family val="2"/>
      </rPr>
      <t xml:space="preserve"> usually falling between the two equations above. Note, this equation has NOT been validated in clinical studies. </t>
    </r>
  </si>
  <si>
    <t>Weight used to calculate CrCl</t>
  </si>
  <si>
    <t>Weight used to calculate Vd</t>
  </si>
  <si>
    <t>Calculated per selected equation</t>
  </si>
  <si>
    <t>Q8</t>
  </si>
  <si>
    <t>Q12</t>
  </si>
  <si>
    <t>Q24</t>
  </si>
  <si>
    <t>Calculated Interval</t>
  </si>
  <si>
    <t>Calculated dose</t>
  </si>
  <si>
    <t>Example note:</t>
  </si>
  <si>
    <t>Date/time of Level 1</t>
  </si>
  <si>
    <t>Date/time of Level 2</t>
  </si>
  <si>
    <t>Date/time of Dose</t>
  </si>
  <si>
    <t>MM/DD/YY 24HH:MM</t>
  </si>
  <si>
    <t>hr</t>
  </si>
  <si>
    <t>Time</t>
  </si>
  <si>
    <t>Predicted level</t>
  </si>
  <si>
    <t>Calculated interval</t>
  </si>
  <si>
    <t>New dosing interval</t>
  </si>
  <si>
    <t>hrs</t>
  </si>
  <si>
    <t>First dose or steady state</t>
  </si>
  <si>
    <t>Steady state</t>
  </si>
  <si>
    <t>First dose</t>
  </si>
  <si>
    <t>Dose * 24/[interval] / (CL*60/1000)</t>
  </si>
  <si>
    <t>Patient Vd</t>
  </si>
  <si>
    <t>Patient vancomycin CL</t>
  </si>
  <si>
    <r>
      <t>Patient t</t>
    </r>
    <r>
      <rPr>
        <vertAlign val="superscript"/>
        <sz val="10"/>
        <rFont val="Tahoma"/>
        <family val="2"/>
      </rPr>
      <t>1</t>
    </r>
    <r>
      <rPr>
        <sz val="10"/>
        <rFont val="Tahoma"/>
        <family val="2"/>
      </rPr>
      <t>/</t>
    </r>
    <r>
      <rPr>
        <vertAlign val="subscript"/>
        <sz val="10"/>
        <rFont val="Tahoma"/>
        <family val="2"/>
      </rPr>
      <t>2</t>
    </r>
  </si>
  <si>
    <r>
      <t xml:space="preserve">Calculated </t>
    </r>
    <r>
      <rPr>
        <b/>
        <sz val="12"/>
        <rFont val="Tahoma"/>
        <family val="2"/>
      </rPr>
      <t>daily</t>
    </r>
    <r>
      <rPr>
        <sz val="12"/>
        <rFont val="Tahoma"/>
        <family val="2"/>
      </rPr>
      <t xml:space="preserve"> dose</t>
    </r>
  </si>
  <si>
    <r>
      <t>K</t>
    </r>
    <r>
      <rPr>
        <vertAlign val="subscript"/>
        <sz val="12"/>
        <rFont val="Calibri"/>
        <family val="2"/>
      </rPr>
      <t>e</t>
    </r>
    <r>
      <rPr>
        <sz val="12"/>
        <rFont val="Calibri"/>
        <family val="2"/>
      </rPr>
      <t xml:space="preserve"> equation</t>
    </r>
  </si>
  <si>
    <r>
      <t>hr</t>
    </r>
    <r>
      <rPr>
        <vertAlign val="superscript"/>
        <sz val="12"/>
        <rFont val="Calibri"/>
        <family val="2"/>
      </rPr>
      <t>-1</t>
    </r>
  </si>
  <si>
    <r>
      <t>V</t>
    </r>
    <r>
      <rPr>
        <vertAlign val="subscript"/>
        <sz val="12"/>
        <rFont val="Tahoma"/>
      </rPr>
      <t>d</t>
    </r>
  </si>
  <si>
    <r>
      <t>K</t>
    </r>
    <r>
      <rPr>
        <vertAlign val="subscript"/>
        <sz val="12"/>
        <rFont val="Tahoma"/>
      </rPr>
      <t>e</t>
    </r>
  </si>
  <si>
    <r>
      <t xml:space="preserve">t </t>
    </r>
    <r>
      <rPr>
        <vertAlign val="superscript"/>
        <sz val="12"/>
        <rFont val="Tahoma"/>
      </rPr>
      <t>1</t>
    </r>
    <r>
      <rPr>
        <sz val="12"/>
        <rFont val="Tahoma"/>
      </rPr>
      <t>/</t>
    </r>
    <r>
      <rPr>
        <vertAlign val="subscript"/>
        <sz val="12"/>
        <rFont val="Tahoma"/>
      </rPr>
      <t>2</t>
    </r>
  </si>
  <si>
    <r>
      <t xml:space="preserve">Calculated </t>
    </r>
    <r>
      <rPr>
        <b/>
        <sz val="12"/>
        <rFont val="Tahoma"/>
      </rPr>
      <t xml:space="preserve">daily </t>
    </r>
    <r>
      <rPr>
        <sz val="12"/>
        <rFont val="Tahoma"/>
      </rPr>
      <t>dose</t>
    </r>
  </si>
  <si>
    <r>
      <t>Ln (</t>
    </r>
    <r>
      <rPr>
        <vertAlign val="superscript"/>
        <sz val="10"/>
        <color indexed="55"/>
        <rFont val="Tahoma"/>
        <family val="2"/>
      </rPr>
      <t>[Level 1]</t>
    </r>
    <r>
      <rPr>
        <sz val="10"/>
        <color indexed="55"/>
        <rFont val="Tahoma"/>
        <family val="2"/>
      </rPr>
      <t>/</t>
    </r>
    <r>
      <rPr>
        <vertAlign val="subscript"/>
        <sz val="10"/>
        <color indexed="55"/>
        <rFont val="Tahoma"/>
        <family val="2"/>
      </rPr>
      <t>[Level 2]</t>
    </r>
    <r>
      <rPr>
        <sz val="10"/>
        <color indexed="55"/>
        <rFont val="Tahoma"/>
        <family val="2"/>
      </rPr>
      <t>) / [time between levels]</t>
    </r>
  </si>
  <si>
    <r>
      <t>Ln (2)/K</t>
    </r>
    <r>
      <rPr>
        <vertAlign val="subscript"/>
        <sz val="10"/>
        <color indexed="55"/>
        <rFont val="Tahoma"/>
        <family val="2"/>
      </rPr>
      <t>e</t>
    </r>
  </si>
  <si>
    <r>
      <t>[Level 1] / e^</t>
    </r>
    <r>
      <rPr>
        <vertAlign val="superscript"/>
        <sz val="10"/>
        <color indexed="55"/>
        <rFont val="Tahoma"/>
        <family val="2"/>
      </rPr>
      <t>(-Ke*time between end of infusion and level 1)</t>
    </r>
  </si>
  <si>
    <r>
      <t>Cmax * e^</t>
    </r>
    <r>
      <rPr>
        <vertAlign val="superscript"/>
        <sz val="10"/>
        <color indexed="55"/>
        <rFont val="Tahoma"/>
        <family val="2"/>
      </rPr>
      <t>(-Ke*([interval] - [infusion time])</t>
    </r>
  </si>
  <si>
    <r>
      <t>(Dose/[infusion time]) * (1-e^</t>
    </r>
    <r>
      <rPr>
        <vertAlign val="superscript"/>
        <sz val="10"/>
        <color indexed="55"/>
        <rFont val="Tahoma"/>
        <family val="2"/>
      </rPr>
      <t>(-Ke * [infusion time])</t>
    </r>
    <r>
      <rPr>
        <sz val="10"/>
        <color indexed="55"/>
        <rFont val="Tahoma"/>
        <family val="2"/>
      </rPr>
      <t>) / (Ke * Cmax)</t>
    </r>
  </si>
  <si>
    <r>
      <t>V</t>
    </r>
    <r>
      <rPr>
        <vertAlign val="subscript"/>
        <sz val="10"/>
        <color indexed="55"/>
        <rFont val="Tahoma"/>
        <family val="2"/>
      </rPr>
      <t>d</t>
    </r>
    <r>
      <rPr>
        <sz val="10"/>
        <color indexed="55"/>
        <rFont val="Tahoma"/>
        <family val="2"/>
      </rPr>
      <t xml:space="preserve"> * K</t>
    </r>
    <r>
      <rPr>
        <vertAlign val="subscript"/>
        <sz val="10"/>
        <color indexed="55"/>
        <rFont val="Tahoma"/>
        <family val="2"/>
      </rPr>
      <t>e</t>
    </r>
  </si>
  <si>
    <r>
      <t>(Desired AUC)*(K</t>
    </r>
    <r>
      <rPr>
        <vertAlign val="subscript"/>
        <sz val="12"/>
        <color indexed="55"/>
        <rFont val="Tahoma"/>
        <family val="2"/>
      </rPr>
      <t>e</t>
    </r>
    <r>
      <rPr>
        <sz val="12"/>
        <color indexed="55"/>
        <rFont val="Tahoma"/>
        <family val="2"/>
      </rPr>
      <t>)*(V</t>
    </r>
    <r>
      <rPr>
        <vertAlign val="subscript"/>
        <sz val="12"/>
        <color indexed="55"/>
        <rFont val="Tahoma"/>
        <family val="2"/>
      </rPr>
      <t>d</t>
    </r>
    <r>
      <rPr>
        <sz val="12"/>
        <color indexed="55"/>
        <rFont val="Tahoma"/>
        <family val="2"/>
      </rPr>
      <t>)</t>
    </r>
  </si>
  <si>
    <r>
      <t>Total daily dose / (</t>
    </r>
    <r>
      <rPr>
        <vertAlign val="superscript"/>
        <sz val="12"/>
        <color indexed="55"/>
        <rFont val="Tahoma"/>
        <family val="2"/>
      </rPr>
      <t>24</t>
    </r>
    <r>
      <rPr>
        <sz val="12"/>
        <color indexed="55"/>
        <rFont val="Tahoma"/>
        <family val="2"/>
      </rPr>
      <t>/</t>
    </r>
    <r>
      <rPr>
        <vertAlign val="subscript"/>
        <sz val="12"/>
        <color indexed="55"/>
        <rFont val="Tahoma"/>
        <family val="2"/>
      </rPr>
      <t>[calculated interval]</t>
    </r>
    <r>
      <rPr>
        <sz val="12"/>
        <color indexed="55"/>
        <rFont val="Tahoma"/>
        <family val="2"/>
      </rPr>
      <t>)</t>
    </r>
  </si>
  <si>
    <r>
      <t>(ln([desired trough]/[desired peak]) / [-K</t>
    </r>
    <r>
      <rPr>
        <vertAlign val="subscript"/>
        <sz val="12"/>
        <color indexed="55"/>
        <rFont val="Tahoma"/>
        <family val="2"/>
      </rPr>
      <t>e</t>
    </r>
    <r>
      <rPr>
        <sz val="12"/>
        <color indexed="55"/>
        <rFont val="Tahoma"/>
        <family val="2"/>
      </rPr>
      <t>]) + infusion time</t>
    </r>
  </si>
  <si>
    <t>Calculated PK parameters</t>
  </si>
  <si>
    <r>
      <t>Selected body weight * V</t>
    </r>
    <r>
      <rPr>
        <vertAlign val="subscript"/>
        <sz val="10"/>
        <color indexed="22"/>
        <rFont val="Tahoma"/>
      </rPr>
      <t>d</t>
    </r>
    <r>
      <rPr>
        <sz val="10"/>
        <color indexed="22"/>
        <rFont val="Tahoma"/>
      </rPr>
      <t xml:space="preserve"> coefficient</t>
    </r>
  </si>
  <si>
    <r>
      <t>ln(2)/K</t>
    </r>
    <r>
      <rPr>
        <vertAlign val="subscript"/>
        <sz val="10"/>
        <color indexed="22"/>
        <rFont val="Tahoma"/>
      </rPr>
      <t>e</t>
    </r>
  </si>
  <si>
    <r>
      <t>Total daily dose / (</t>
    </r>
    <r>
      <rPr>
        <vertAlign val="superscript"/>
        <sz val="10"/>
        <color indexed="22"/>
        <rFont val="Tahoma"/>
      </rPr>
      <t>24</t>
    </r>
    <r>
      <rPr>
        <sz val="10"/>
        <color indexed="22"/>
        <rFont val="Tahoma"/>
      </rPr>
      <t>/</t>
    </r>
    <r>
      <rPr>
        <vertAlign val="subscript"/>
        <sz val="10"/>
        <color indexed="22"/>
        <rFont val="Tahoma"/>
      </rPr>
      <t>[calculated interval]</t>
    </r>
    <r>
      <rPr>
        <sz val="10"/>
        <color indexed="22"/>
        <rFont val="Tahoma"/>
      </rPr>
      <t>)</t>
    </r>
  </si>
  <si>
    <r>
      <t>(ln([desired trough]/[desired peak]) / [-K</t>
    </r>
    <r>
      <rPr>
        <vertAlign val="subscript"/>
        <sz val="10"/>
        <color indexed="22"/>
        <rFont val="Tahoma"/>
      </rPr>
      <t>e</t>
    </r>
    <r>
      <rPr>
        <sz val="10"/>
        <color indexed="22"/>
        <rFont val="Tahoma"/>
      </rPr>
      <t>]) + infusion time</t>
    </r>
  </si>
  <si>
    <t>VancInterval</t>
  </si>
  <si>
    <t>VancDoses</t>
  </si>
  <si>
    <t>First Dose</t>
  </si>
  <si>
    <t>DMC</t>
  </si>
  <si>
    <t>Detroit Medical Center</t>
  </si>
  <si>
    <t>Gent/tobra</t>
  </si>
  <si>
    <t>Amikacin</t>
  </si>
  <si>
    <t>Cystitis</t>
  </si>
  <si>
    <t>Synergy</t>
  </si>
  <si>
    <t>Treatment</t>
  </si>
  <si>
    <t>0.003*CrCl + 0.01</t>
  </si>
  <si>
    <t>ml/min</t>
  </si>
  <si>
    <t>Vancomycin Empiric Dosing Calculator</t>
  </si>
  <si>
    <r>
      <t>Weight to calculate CrCl &amp; K</t>
    </r>
    <r>
      <rPr>
        <vertAlign val="subscript"/>
        <sz val="12"/>
        <rFont val="Calibri"/>
        <family val="2"/>
      </rPr>
      <t>e</t>
    </r>
  </si>
  <si>
    <t>Weight to calculate Vd</t>
  </si>
  <si>
    <t>Aminoglycoside Empiric Dosing Calculator</t>
  </si>
  <si>
    <t>Hours</t>
  </si>
  <si>
    <t>mg/L</t>
  </si>
  <si>
    <r>
      <t>V</t>
    </r>
    <r>
      <rPr>
        <b/>
        <vertAlign val="subscript"/>
        <sz val="12"/>
        <rFont val="Tahoma"/>
        <family val="2"/>
      </rPr>
      <t>d</t>
    </r>
    <r>
      <rPr>
        <b/>
        <sz val="12"/>
        <rFont val="Tahoma"/>
        <family val="2"/>
      </rPr>
      <t xml:space="preserve"> coefficient</t>
    </r>
  </si>
  <si>
    <t>Dosing interval</t>
  </si>
  <si>
    <t>~CrCl</t>
  </si>
  <si>
    <t>ke</t>
  </si>
  <si>
    <t>level at time T</t>
  </si>
  <si>
    <t>Date/time of Level</t>
  </si>
  <si>
    <t>Level</t>
  </si>
  <si>
    <t>Dosing variables</t>
  </si>
  <si>
    <t>*</t>
  </si>
  <si>
    <r>
      <t>[Level 1] / e^</t>
    </r>
    <r>
      <rPr>
        <vertAlign val="superscript"/>
        <sz val="8"/>
        <color indexed="55"/>
        <rFont val="Tahoma"/>
        <family val="2"/>
      </rPr>
      <t xml:space="preserve">(-Ke*time between end of infusion and level 1) </t>
    </r>
    <r>
      <rPr>
        <sz val="8"/>
        <color indexed="55"/>
        <rFont val="Tahoma"/>
        <family val="2"/>
      </rPr>
      <t>for SS, Dose/Vd for first dose</t>
    </r>
  </si>
  <si>
    <t>Dosing weight</t>
  </si>
  <si>
    <r>
      <t>[V</t>
    </r>
    <r>
      <rPr>
        <vertAlign val="subscript"/>
        <sz val="10"/>
        <color indexed="55"/>
        <rFont val="Tahoma"/>
        <family val="2"/>
      </rPr>
      <t>d</t>
    </r>
    <r>
      <rPr>
        <sz val="10"/>
        <color indexed="55"/>
        <rFont val="Tahoma"/>
        <family val="2"/>
      </rPr>
      <t xml:space="preserve"> coefficient] * [dosing weight]</t>
    </r>
  </si>
  <si>
    <t>Steady state AUC at current dose/interval</t>
  </si>
  <si>
    <t>Cmax for this interval</t>
  </si>
  <si>
    <t>Cmin for this interval</t>
  </si>
  <si>
    <t>Department of Pharmacy</t>
  </si>
  <si>
    <t xml:space="preserve">Basic PK/PD equation, with estimated ke usually falling between the two equations above. Note, this equation has NOT been validated in clinical studies. </t>
  </si>
  <si>
    <t>"first dose" for high dose</t>
  </si>
  <si>
    <t>VANCOMYCIN by 1 LEVEL CALCULATOR</t>
  </si>
  <si>
    <t>AMINOGLYCOSIDES by 1 LEVEL CALCULATOR</t>
  </si>
  <si>
    <t>Usual range 0.2-0.5 L/kg</t>
  </si>
  <si>
    <t>*Ke is determined by assuming a series of Ke from 0 to 0.2 (CrCl from 0 to &gt;200mL/min) and solving the equation Ct = (((D/Vd(e^(-k[tau]) + D/Vd)(e^(-k[tau])+D/Vd)(e^(-k[tau])+D/Vd)(e^(-kt)), then determining which of the series of calculated Ct matches the level at time t, rounding to the nearest 0.0025 hr-1</t>
  </si>
  <si>
    <t>Actual Weight (TBW)</t>
  </si>
  <si>
    <t>TBW</t>
  </si>
  <si>
    <t>Next dose due (Ct = 15mg/L)</t>
  </si>
  <si>
    <t>1h</t>
  </si>
  <si>
    <t>1.5h</t>
  </si>
  <si>
    <t>2h</t>
  </si>
  <si>
    <t xml:space="preserve">Step 2. Calculate New Dosing Requirements </t>
  </si>
  <si>
    <t>Step 3. Calculate Predicted Cmax/Cmin Based on New Dosing</t>
  </si>
  <si>
    <t>Enter hour here</t>
  </si>
  <si>
    <r>
      <t>([desired peak] - [desired trough]) * V</t>
    </r>
    <r>
      <rPr>
        <vertAlign val="subscript"/>
        <sz val="10"/>
        <color indexed="22"/>
        <rFont val="Tahoma"/>
      </rPr>
      <t>d</t>
    </r>
  </si>
  <si>
    <t>Weight used to calculate CrCl and Ke</t>
  </si>
  <si>
    <t>High dose</t>
  </si>
  <si>
    <t>Traditional dose</t>
  </si>
  <si>
    <t>High dose or Trad dose</t>
  </si>
  <si>
    <t>Trad dose (Steady state)</t>
  </si>
  <si>
    <t>Trad dose (First dose)</t>
  </si>
  <si>
    <t>Step 2. Dosing Calculations Based on Patient Levels</t>
  </si>
  <si>
    <t>Gent/Tobra</t>
  </si>
  <si>
    <t>Recommended Dose</t>
  </si>
  <si>
    <t>Cmax/Cmin on Rec Dose</t>
  </si>
  <si>
    <t xml:space="preserve"> </t>
  </si>
  <si>
    <t>Calculated Dose</t>
  </si>
  <si>
    <r>
      <t>hr</t>
    </r>
    <r>
      <rPr>
        <vertAlign val="superscript"/>
        <sz val="10"/>
        <rFont val="Tahoma"/>
        <family val="2"/>
      </rPr>
      <t>-1</t>
    </r>
  </si>
  <si>
    <t>Report issues to ryost@dmc.org</t>
  </si>
  <si>
    <t>Pounds</t>
  </si>
  <si>
    <t>VANCOMYCIN 2 LEVEL PK CALCULATOR</t>
  </si>
  <si>
    <r>
      <t>t</t>
    </r>
    <r>
      <rPr>
        <vertAlign val="superscript"/>
        <sz val="10"/>
        <rFont val="Tahoma"/>
        <family val="2"/>
      </rPr>
      <t>1</t>
    </r>
    <r>
      <rPr>
        <sz val="10"/>
        <rFont val="Tahoma"/>
        <family val="2"/>
      </rPr>
      <t>/</t>
    </r>
    <r>
      <rPr>
        <vertAlign val="subscript"/>
        <sz val="10"/>
        <rFont val="Tahoma"/>
        <family val="2"/>
      </rPr>
      <t>2</t>
    </r>
  </si>
  <si>
    <t>Vd</t>
  </si>
  <si>
    <t>Vancomycin CL</t>
  </si>
  <si>
    <r>
      <t xml:space="preserve">Next dose due </t>
    </r>
    <r>
      <rPr>
        <b/>
        <sz val="8"/>
        <rFont val="Tahoma"/>
        <family val="2"/>
      </rPr>
      <t>(Time when [] =  Cmin)</t>
    </r>
  </si>
  <si>
    <t>CrCl Estimation by Cockcroft-Gault</t>
  </si>
  <si>
    <t>CrCl TBW</t>
  </si>
  <si>
    <t>CrCl IBW</t>
  </si>
  <si>
    <t>interval</t>
  </si>
  <si>
    <t>Cmax</t>
  </si>
  <si>
    <t>Cmin</t>
  </si>
  <si>
    <t>AUC</t>
  </si>
  <si>
    <t>Interval</t>
  </si>
  <si>
    <t>Q36</t>
  </si>
  <si>
    <t>q48</t>
  </si>
  <si>
    <t>Daily dose</t>
  </si>
  <si>
    <t>Best</t>
  </si>
  <si>
    <t>Next best</t>
  </si>
  <si>
    <t>Q48</t>
  </si>
  <si>
    <t>CrCl ActBW</t>
  </si>
  <si>
    <t>CrCl AdjBW</t>
  </si>
  <si>
    <t>(140-age)*TBW/[72*SCr]   (females * 0.85)</t>
  </si>
  <si>
    <t>IBW + 0.4*(TBW - IBW)</t>
  </si>
  <si>
    <t xml:space="preserve">Calculated AUC </t>
  </si>
  <si>
    <t>Calculated Css max</t>
  </si>
  <si>
    <t>Calculated Css min</t>
  </si>
  <si>
    <t>Calculated AUC</t>
  </si>
  <si>
    <t>Calculated Cmax</t>
  </si>
  <si>
    <t>Calculated Cmin</t>
  </si>
  <si>
    <r>
      <t>Calculated C</t>
    </r>
    <r>
      <rPr>
        <vertAlign val="subscript"/>
        <sz val="12"/>
        <rFont val="Tahoma"/>
        <family val="2"/>
      </rPr>
      <t>ss</t>
    </r>
    <r>
      <rPr>
        <sz val="12"/>
        <rFont val="Tahoma"/>
        <family val="2"/>
      </rPr>
      <t xml:space="preserve"> min</t>
    </r>
  </si>
  <si>
    <r>
      <t>Calculated C</t>
    </r>
    <r>
      <rPr>
        <vertAlign val="subscript"/>
        <sz val="12"/>
        <rFont val="Tahoma"/>
        <family val="2"/>
      </rPr>
      <t>ss</t>
    </r>
    <r>
      <rPr>
        <sz val="12"/>
        <rFont val="Tahoma"/>
        <family val="2"/>
      </rPr>
      <t xml:space="preserve"> max</t>
    </r>
  </si>
  <si>
    <t>Gram negative infections</t>
  </si>
  <si>
    <t>AMINOGLYCOSIDES 2 level PK calculator</t>
  </si>
  <si>
    <t>Clinical calculators similar to this one are to assist healthcare professionals in making complex decisions. This calculator is a tool to be used in combination with clnical judgement, not as a stand alone one-size-fits all depot for dosing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</si>
</sst>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0.000"/>
    <numFmt numFmtId="167" formatCode="0;[Red]0"/>
    <numFmt numFmtId="168" formatCode="0.0000"/>
    <numFmt numFmtId="171" formatCode="m/d/yy\ h:mm;@"/>
    <numFmt numFmtId="173" formatCode="[h]:mm:ss;@"/>
    <numFmt numFmtId="174" formatCode="h:mm;@"/>
  </numFmts>
  <fonts count="65" x14ac:knownFonts="1">
    <font>
      <sz val="10"/>
      <name val="Tahoma"/>
    </font>
    <font>
      <sz val="10"/>
      <name val="Tahoma"/>
      <family val="2"/>
    </font>
    <font>
      <sz val="9"/>
      <name val="Arial"/>
      <family val="2"/>
    </font>
    <font>
      <vertAlign val="subscript"/>
      <sz val="9"/>
      <name val="Arial"/>
      <family val="2"/>
    </font>
    <font>
      <b/>
      <sz val="14"/>
      <name val="Tahoma"/>
      <family val="2"/>
    </font>
    <font>
      <sz val="10"/>
      <name val="Tahoma"/>
    </font>
    <font>
      <sz val="8"/>
      <name val="Tahoma"/>
    </font>
    <font>
      <sz val="10"/>
      <color indexed="9"/>
      <name val="Tahoma"/>
    </font>
    <font>
      <vertAlign val="superscript"/>
      <sz val="10"/>
      <name val="Tahoma"/>
      <family val="2"/>
    </font>
    <font>
      <vertAlign val="subscript"/>
      <sz val="10"/>
      <name val="Tahoma"/>
      <family val="2"/>
    </font>
    <font>
      <b/>
      <sz val="18"/>
      <name val="Tahoma"/>
      <family val="2"/>
    </font>
    <font>
      <sz val="14"/>
      <name val="Tahoma"/>
      <family val="2"/>
    </font>
    <font>
      <sz val="14"/>
      <color indexed="9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11"/>
      <name val="Tahoma"/>
      <family val="2"/>
    </font>
    <font>
      <b/>
      <sz val="12"/>
      <name val="Calibri"/>
      <family val="2"/>
    </font>
    <font>
      <sz val="12"/>
      <name val="Calibri"/>
      <family val="2"/>
    </font>
    <font>
      <vertAlign val="subscript"/>
      <sz val="12"/>
      <name val="Calibri"/>
      <family val="2"/>
    </font>
    <font>
      <vertAlign val="superscript"/>
      <sz val="12"/>
      <name val="Calibri"/>
      <family val="2"/>
    </font>
    <font>
      <sz val="10"/>
      <color indexed="22"/>
      <name val="Calibri"/>
      <family val="2"/>
    </font>
    <font>
      <sz val="12"/>
      <name val="Tahoma"/>
    </font>
    <font>
      <vertAlign val="subscript"/>
      <sz val="12"/>
      <name val="Tahoma"/>
    </font>
    <font>
      <vertAlign val="superscript"/>
      <sz val="12"/>
      <name val="Tahoma"/>
    </font>
    <font>
      <b/>
      <sz val="12"/>
      <name val="Tahoma"/>
    </font>
    <font>
      <sz val="10"/>
      <color indexed="55"/>
      <name val="Tahoma"/>
      <family val="2"/>
    </font>
    <font>
      <vertAlign val="superscript"/>
      <sz val="10"/>
      <color indexed="55"/>
      <name val="Tahoma"/>
      <family val="2"/>
    </font>
    <font>
      <vertAlign val="subscript"/>
      <sz val="10"/>
      <color indexed="55"/>
      <name val="Tahoma"/>
      <family val="2"/>
    </font>
    <font>
      <sz val="14"/>
      <color indexed="55"/>
      <name val="Tahoma"/>
      <family val="2"/>
    </font>
    <font>
      <sz val="12"/>
      <color indexed="55"/>
      <name val="Tahoma"/>
      <family val="2"/>
    </font>
    <font>
      <vertAlign val="subscript"/>
      <sz val="12"/>
      <color indexed="55"/>
      <name val="Tahoma"/>
      <family val="2"/>
    </font>
    <font>
      <vertAlign val="superscript"/>
      <sz val="12"/>
      <color indexed="55"/>
      <name val="Tahoma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color indexed="22"/>
      <name val="Tahoma"/>
    </font>
    <font>
      <vertAlign val="subscript"/>
      <sz val="10"/>
      <color indexed="22"/>
      <name val="Tahoma"/>
    </font>
    <font>
      <vertAlign val="superscript"/>
      <sz val="10"/>
      <color indexed="22"/>
      <name val="Tahoma"/>
    </font>
    <font>
      <sz val="12"/>
      <color indexed="9"/>
      <name val="Tahoma"/>
      <family val="2"/>
    </font>
    <font>
      <b/>
      <sz val="48"/>
      <color indexed="9"/>
      <name val="Vrinda"/>
      <family val="2"/>
    </font>
    <font>
      <sz val="10"/>
      <color indexed="9"/>
      <name val="Arial"/>
      <family val="2"/>
    </font>
    <font>
      <sz val="12"/>
      <color indexed="9"/>
      <name val="Calibri"/>
      <family val="2"/>
    </font>
    <font>
      <b/>
      <sz val="13"/>
      <name val="Tahoma"/>
      <family val="2"/>
    </font>
    <font>
      <b/>
      <sz val="20"/>
      <name val="Tahoma"/>
      <family val="2"/>
    </font>
    <font>
      <b/>
      <vertAlign val="subscript"/>
      <sz val="12"/>
      <name val="Tahoma"/>
      <family val="2"/>
    </font>
    <font>
      <b/>
      <sz val="20"/>
      <color indexed="9"/>
      <name val="Calibri"/>
      <family val="2"/>
    </font>
    <font>
      <sz val="8"/>
      <color indexed="55"/>
      <name val="Tahoma"/>
      <family val="2"/>
    </font>
    <font>
      <vertAlign val="superscript"/>
      <sz val="8"/>
      <color indexed="55"/>
      <name val="Tahoma"/>
      <family val="2"/>
    </font>
    <font>
      <sz val="12"/>
      <color indexed="22"/>
      <name val="Calibri"/>
      <family val="2"/>
    </font>
    <font>
      <b/>
      <sz val="14"/>
      <color indexed="9"/>
      <name val="Tahoma"/>
      <family val="2"/>
    </font>
    <font>
      <sz val="9"/>
      <color indexed="9"/>
      <name val="Arial"/>
      <family val="2"/>
    </font>
    <font>
      <b/>
      <sz val="16"/>
      <name val="Tahoma"/>
      <family val="2"/>
    </font>
    <font>
      <u/>
      <sz val="10"/>
      <color indexed="12"/>
      <name val="Tahoma"/>
    </font>
    <font>
      <b/>
      <sz val="12"/>
      <color indexed="10"/>
      <name val="Tahoma"/>
      <family val="2"/>
    </font>
    <font>
      <sz val="11"/>
      <name val="Tahoma"/>
      <family val="2"/>
    </font>
    <font>
      <sz val="14"/>
      <color indexed="10"/>
      <name val="Tahoma"/>
      <family val="2"/>
    </font>
    <font>
      <b/>
      <u/>
      <sz val="16"/>
      <color indexed="12"/>
      <name val="Tahoma"/>
    </font>
    <font>
      <sz val="12"/>
      <color indexed="10"/>
      <name val="Tahoma"/>
      <family val="2"/>
    </font>
    <font>
      <sz val="12"/>
      <color indexed="9"/>
      <name val="Tahoma"/>
      <family val="2"/>
    </font>
    <font>
      <b/>
      <sz val="8"/>
      <name val="Tahoma"/>
      <family val="2"/>
    </font>
    <font>
      <sz val="12"/>
      <name val="Calibri"/>
      <family val="2"/>
    </font>
    <font>
      <sz val="8"/>
      <name val="Tahoma"/>
      <family val="2"/>
    </font>
    <font>
      <sz val="10"/>
      <color indexed="9"/>
      <name val="Tahoma"/>
      <family val="2"/>
    </font>
    <font>
      <sz val="10"/>
      <color indexed="9"/>
      <name val="Tahoma"/>
      <family val="2"/>
    </font>
    <font>
      <sz val="14"/>
      <color indexed="9"/>
      <name val="Tahoma"/>
      <family val="2"/>
    </font>
    <font>
      <vertAlign val="subscript"/>
      <sz val="12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465926084170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56"/>
      </left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1" fillId="0" borderId="0" applyNumberFormat="0" applyFill="0" applyBorder="0" applyAlignment="0" applyProtection="0">
      <alignment vertical="top"/>
      <protection locked="0"/>
    </xf>
  </cellStyleXfs>
  <cellXfs count="310">
    <xf numFmtId="0" fontId="0" fillId="0" borderId="0" xfId="0"/>
    <xf numFmtId="0" fontId="0" fillId="0" borderId="0" xfId="0" applyFill="1" applyProtection="1"/>
    <xf numFmtId="0" fontId="0" fillId="2" borderId="0" xfId="0" applyFill="1" applyProtection="1"/>
    <xf numFmtId="0" fontId="0" fillId="2" borderId="0" xfId="0" applyFill="1" applyBorder="1" applyProtection="1"/>
    <xf numFmtId="0" fontId="0" fillId="2" borderId="0" xfId="0" applyFill="1" applyAlignment="1" applyProtection="1">
      <alignment horizontal="center"/>
    </xf>
    <xf numFmtId="164" fontId="0" fillId="2" borderId="0" xfId="0" applyNumberFormat="1" applyFill="1" applyAlignment="1" applyProtection="1">
      <alignment horizontal="center"/>
    </xf>
    <xf numFmtId="165" fontId="0" fillId="2" borderId="0" xfId="0" applyNumberFormat="1" applyFill="1" applyAlignment="1" applyProtection="1">
      <alignment horizontal="center"/>
    </xf>
    <xf numFmtId="0" fontId="10" fillId="2" borderId="0" xfId="0" applyFont="1" applyFill="1" applyProtection="1"/>
    <xf numFmtId="0" fontId="7" fillId="0" borderId="0" xfId="0" applyFont="1" applyFill="1" applyProtection="1"/>
    <xf numFmtId="0" fontId="4" fillId="2" borderId="0" xfId="0" applyFont="1" applyFill="1" applyAlignment="1" applyProtection="1"/>
    <xf numFmtId="0" fontId="0" fillId="2" borderId="0" xfId="0" applyFill="1" applyBorder="1" applyAlignment="1" applyProtection="1"/>
    <xf numFmtId="0" fontId="0" fillId="2" borderId="0" xfId="0" applyFill="1" applyBorder="1" applyAlignment="1" applyProtection="1">
      <alignment horizontal="center"/>
    </xf>
    <xf numFmtId="0" fontId="6" fillId="2" borderId="0" xfId="0" applyFont="1" applyFill="1" applyBorder="1" applyProtection="1"/>
    <xf numFmtId="0" fontId="5" fillId="2" borderId="0" xfId="0" applyFont="1" applyFill="1" applyBorder="1" applyProtection="1"/>
    <xf numFmtId="0" fontId="4" fillId="2" borderId="0" xfId="0" applyFont="1" applyFill="1" applyBorder="1" applyAlignment="1" applyProtection="1"/>
    <xf numFmtId="0" fontId="5" fillId="0" borderId="0" xfId="0" applyFont="1" applyFill="1" applyProtection="1"/>
    <xf numFmtId="0" fontId="4" fillId="2" borderId="0" xfId="0" applyFont="1" applyFill="1" applyAlignment="1" applyProtection="1">
      <alignment vertical="center" textRotation="60"/>
    </xf>
    <xf numFmtId="164" fontId="0" fillId="2" borderId="0" xfId="0" applyNumberFormat="1" applyFill="1" applyBorder="1" applyAlignment="1" applyProtection="1">
      <alignment horizontal="center"/>
    </xf>
    <xf numFmtId="0" fontId="1" fillId="2" borderId="0" xfId="0" applyFont="1" applyFill="1" applyProtection="1"/>
    <xf numFmtId="0" fontId="7" fillId="2" borderId="0" xfId="0" applyFont="1" applyFill="1" applyProtection="1"/>
    <xf numFmtId="164" fontId="7" fillId="0" borderId="0" xfId="0" applyNumberFormat="1" applyFont="1" applyFill="1" applyProtection="1"/>
    <xf numFmtId="0" fontId="11" fillId="2" borderId="0" xfId="0" applyFont="1" applyFill="1" applyProtection="1"/>
    <xf numFmtId="0" fontId="11" fillId="2" borderId="0" xfId="0" applyFont="1" applyFill="1" applyAlignment="1" applyProtection="1">
      <alignment horizontal="center"/>
    </xf>
    <xf numFmtId="0" fontId="11" fillId="0" borderId="0" xfId="0" applyFont="1" applyProtection="1"/>
    <xf numFmtId="174" fontId="11" fillId="2" borderId="0" xfId="0" applyNumberFormat="1" applyFont="1" applyFill="1" applyProtection="1"/>
    <xf numFmtId="164" fontId="11" fillId="2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Protection="1"/>
    <xf numFmtId="0" fontId="11" fillId="0" borderId="0" xfId="0" applyFont="1" applyFill="1" applyProtection="1"/>
    <xf numFmtId="0" fontId="11" fillId="0" borderId="1" xfId="0" applyFont="1" applyFill="1" applyBorder="1" applyProtection="1"/>
    <xf numFmtId="0" fontId="11" fillId="0" borderId="1" xfId="0" applyFont="1" applyBorder="1" applyProtection="1"/>
    <xf numFmtId="0" fontId="12" fillId="2" borderId="0" xfId="0" applyFont="1" applyFill="1" applyProtection="1"/>
    <xf numFmtId="0" fontId="11" fillId="3" borderId="2" xfId="0" applyFont="1" applyFill="1" applyBorder="1" applyAlignment="1" applyProtection="1">
      <alignment horizontal="right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2" xfId="0" applyFont="1" applyFill="1" applyBorder="1" applyProtection="1"/>
    <xf numFmtId="0" fontId="11" fillId="3" borderId="3" xfId="0" applyFont="1" applyFill="1" applyBorder="1" applyAlignment="1" applyProtection="1">
      <alignment horizontal="right"/>
    </xf>
    <xf numFmtId="164" fontId="11" fillId="3" borderId="3" xfId="0" applyNumberFormat="1" applyFont="1" applyFill="1" applyBorder="1" applyAlignment="1" applyProtection="1">
      <alignment horizontal="center"/>
    </xf>
    <xf numFmtId="0" fontId="11" fillId="3" borderId="3" xfId="0" applyFont="1" applyFill="1" applyBorder="1" applyProtection="1"/>
    <xf numFmtId="0" fontId="11" fillId="0" borderId="0" xfId="0" applyFont="1" applyAlignment="1" applyProtection="1">
      <alignment horizontal="center"/>
    </xf>
    <xf numFmtId="0" fontId="1" fillId="0" borderId="1" xfId="0" applyFont="1" applyFill="1" applyBorder="1" applyProtection="1"/>
    <xf numFmtId="164" fontId="1" fillId="0" borderId="1" xfId="0" applyNumberFormat="1" applyFont="1" applyFill="1" applyBorder="1" applyAlignment="1" applyProtection="1">
      <alignment horizontal="center"/>
    </xf>
    <xf numFmtId="0" fontId="4" fillId="4" borderId="0" xfId="0" applyFont="1" applyFill="1" applyAlignment="1" applyProtection="1">
      <alignment horizontal="center"/>
      <protection locked="0"/>
    </xf>
    <xf numFmtId="164" fontId="15" fillId="5" borderId="4" xfId="0" applyNumberFormat="1" applyFont="1" applyFill="1" applyBorder="1" applyAlignment="1" applyProtection="1">
      <alignment horizontal="center"/>
    </xf>
    <xf numFmtId="0" fontId="16" fillId="5" borderId="4" xfId="0" applyFont="1" applyFill="1" applyBorder="1" applyProtection="1"/>
    <xf numFmtId="0" fontId="16" fillId="6" borderId="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Protection="1"/>
    <xf numFmtId="0" fontId="17" fillId="2" borderId="0" xfId="0" applyFont="1" applyFill="1" applyProtection="1"/>
    <xf numFmtId="0" fontId="17" fillId="5" borderId="5" xfId="0" applyFont="1" applyFill="1" applyBorder="1" applyAlignment="1" applyProtection="1">
      <alignment horizontal="right"/>
    </xf>
    <xf numFmtId="0" fontId="17" fillId="5" borderId="6" xfId="0" applyFont="1" applyFill="1" applyBorder="1" applyAlignment="1" applyProtection="1">
      <alignment horizontal="right"/>
    </xf>
    <xf numFmtId="0" fontId="16" fillId="4" borderId="6" xfId="0" applyFont="1" applyFill="1" applyBorder="1" applyAlignment="1" applyProtection="1">
      <alignment horizontal="center"/>
      <protection locked="0"/>
    </xf>
    <xf numFmtId="0" fontId="17" fillId="0" borderId="0" xfId="0" applyFont="1" applyFill="1" applyProtection="1"/>
    <xf numFmtId="0" fontId="17" fillId="6" borderId="4" xfId="0" applyFont="1" applyFill="1" applyBorder="1" applyProtection="1">
      <protection locked="0"/>
    </xf>
    <xf numFmtId="164" fontId="16" fillId="4" borderId="6" xfId="0" applyNumberFormat="1" applyFont="1" applyFill="1" applyBorder="1" applyAlignment="1" applyProtection="1">
      <alignment horizontal="center"/>
      <protection locked="0"/>
    </xf>
    <xf numFmtId="0" fontId="17" fillId="6" borderId="4" xfId="0" applyFont="1" applyFill="1" applyBorder="1" applyProtection="1"/>
    <xf numFmtId="164" fontId="17" fillId="5" borderId="4" xfId="0" applyNumberFormat="1" applyFont="1" applyFill="1" applyBorder="1" applyAlignment="1" applyProtection="1">
      <alignment horizontal="center"/>
    </xf>
    <xf numFmtId="164" fontId="16" fillId="6" borderId="4" xfId="0" applyNumberFormat="1" applyFont="1" applyFill="1" applyBorder="1" applyAlignment="1" applyProtection="1">
      <alignment horizontal="center"/>
      <protection locked="0"/>
    </xf>
    <xf numFmtId="164" fontId="16" fillId="0" borderId="4" xfId="0" applyNumberFormat="1" applyFont="1" applyFill="1" applyBorder="1" applyAlignment="1" applyProtection="1">
      <alignment horizontal="center"/>
    </xf>
    <xf numFmtId="0" fontId="17" fillId="0" borderId="4" xfId="0" applyFont="1" applyFill="1" applyBorder="1" applyProtection="1"/>
    <xf numFmtId="0" fontId="17" fillId="5" borderId="4" xfId="0" applyFont="1" applyFill="1" applyBorder="1" applyAlignment="1" applyProtection="1">
      <alignment horizontal="right"/>
    </xf>
    <xf numFmtId="164" fontId="16" fillId="5" borderId="4" xfId="0" applyNumberFormat="1" applyFont="1" applyFill="1" applyBorder="1" applyAlignment="1" applyProtection="1">
      <alignment horizontal="center"/>
    </xf>
    <xf numFmtId="1" fontId="16" fillId="5" borderId="4" xfId="0" applyNumberFormat="1" applyFont="1" applyFill="1" applyBorder="1" applyAlignment="1" applyProtection="1">
      <alignment horizontal="center"/>
    </xf>
    <xf numFmtId="0" fontId="20" fillId="2" borderId="0" xfId="0" applyFont="1" applyFill="1" applyProtection="1"/>
    <xf numFmtId="0" fontId="21" fillId="2" borderId="0" xfId="0" applyFont="1" applyFill="1" applyAlignment="1" applyProtection="1">
      <alignment horizontal="right"/>
    </xf>
    <xf numFmtId="0" fontId="21" fillId="2" borderId="0" xfId="0" applyFont="1" applyFill="1" applyBorder="1" applyAlignment="1" applyProtection="1">
      <alignment horizontal="right"/>
    </xf>
    <xf numFmtId="0" fontId="0" fillId="2" borderId="7" xfId="0" applyFill="1" applyBorder="1" applyProtection="1"/>
    <xf numFmtId="0" fontId="21" fillId="2" borderId="7" xfId="0" applyFont="1" applyFill="1" applyBorder="1" applyAlignment="1" applyProtection="1">
      <alignment horizontal="right"/>
    </xf>
    <xf numFmtId="164" fontId="0" fillId="2" borderId="7" xfId="0" applyNumberFormat="1" applyFill="1" applyBorder="1" applyAlignment="1" applyProtection="1">
      <alignment horizontal="center"/>
    </xf>
    <xf numFmtId="0" fontId="25" fillId="2" borderId="0" xfId="0" applyFont="1" applyFill="1" applyProtection="1"/>
    <xf numFmtId="0" fontId="28" fillId="2" borderId="0" xfId="0" applyFont="1" applyFill="1" applyProtection="1"/>
    <xf numFmtId="0" fontId="29" fillId="2" borderId="0" xfId="0" applyFont="1" applyFill="1" applyProtection="1"/>
    <xf numFmtId="0" fontId="29" fillId="2" borderId="0" xfId="0" applyFont="1" applyFill="1" applyBorder="1" applyProtection="1"/>
    <xf numFmtId="0" fontId="11" fillId="0" borderId="0" xfId="0" applyFont="1" applyFill="1" applyAlignment="1" applyProtection="1">
      <alignment horizontal="center"/>
    </xf>
    <xf numFmtId="0" fontId="1" fillId="5" borderId="4" xfId="0" applyFont="1" applyFill="1" applyBorder="1" applyAlignment="1" applyProtection="1">
      <alignment horizontal="right"/>
    </xf>
    <xf numFmtId="0" fontId="1" fillId="5" borderId="4" xfId="0" applyFont="1" applyFill="1" applyBorder="1" applyProtection="1"/>
    <xf numFmtId="168" fontId="15" fillId="5" borderId="4" xfId="0" applyNumberFormat="1" applyFont="1" applyFill="1" applyBorder="1" applyAlignment="1" applyProtection="1">
      <alignment horizontal="center"/>
    </xf>
    <xf numFmtId="0" fontId="13" fillId="5" borderId="4" xfId="0" applyFont="1" applyFill="1" applyBorder="1" applyAlignment="1" applyProtection="1">
      <alignment horizontal="right"/>
    </xf>
    <xf numFmtId="0" fontId="32" fillId="2" borderId="0" xfId="0" applyFont="1" applyFill="1" applyProtection="1"/>
    <xf numFmtId="0" fontId="33" fillId="2" borderId="0" xfId="0" applyFont="1" applyFill="1" applyProtection="1"/>
    <xf numFmtId="0" fontId="34" fillId="2" borderId="0" xfId="0" applyFont="1" applyFill="1" applyProtection="1"/>
    <xf numFmtId="0" fontId="34" fillId="2" borderId="0" xfId="0" applyFont="1" applyFill="1" applyBorder="1" applyProtection="1"/>
    <xf numFmtId="0" fontId="34" fillId="2" borderId="7" xfId="0" applyFont="1" applyFill="1" applyBorder="1" applyProtection="1"/>
    <xf numFmtId="0" fontId="14" fillId="0" borderId="0" xfId="0" applyFont="1" applyFill="1" applyBorder="1" applyAlignment="1" applyProtection="1"/>
    <xf numFmtId="0" fontId="14" fillId="5" borderId="4" xfId="0" applyFont="1" applyFill="1" applyBorder="1" applyAlignment="1" applyProtection="1"/>
    <xf numFmtId="0" fontId="13" fillId="6" borderId="4" xfId="0" applyFont="1" applyFill="1" applyBorder="1" applyAlignment="1" applyProtection="1">
      <alignment horizontal="center"/>
      <protection locked="0"/>
    </xf>
    <xf numFmtId="0" fontId="13" fillId="0" borderId="0" xfId="0" applyFont="1" applyProtection="1"/>
    <xf numFmtId="0" fontId="13" fillId="2" borderId="0" xfId="0" applyFont="1" applyFill="1" applyProtection="1"/>
    <xf numFmtId="173" fontId="37" fillId="2" borderId="0" xfId="0" applyNumberFormat="1" applyFont="1" applyFill="1" applyProtection="1"/>
    <xf numFmtId="174" fontId="13" fillId="2" borderId="0" xfId="0" applyNumberFormat="1" applyFont="1" applyFill="1" applyProtection="1"/>
    <xf numFmtId="0" fontId="13" fillId="2" borderId="0" xfId="0" applyFont="1" applyFill="1" applyAlignment="1" applyProtection="1">
      <alignment horizontal="center"/>
    </xf>
    <xf numFmtId="164" fontId="13" fillId="2" borderId="0" xfId="0" applyNumberFormat="1" applyFont="1" applyFill="1" applyAlignment="1" applyProtection="1">
      <alignment horizontal="center"/>
    </xf>
    <xf numFmtId="14" fontId="13" fillId="2" borderId="0" xfId="0" applyNumberFormat="1" applyFont="1" applyFill="1" applyProtection="1"/>
    <xf numFmtId="0" fontId="14" fillId="5" borderId="4" xfId="0" applyFont="1" applyFill="1" applyBorder="1" applyProtection="1"/>
    <xf numFmtId="0" fontId="13" fillId="5" borderId="4" xfId="0" applyFont="1" applyFill="1" applyBorder="1" applyProtection="1"/>
    <xf numFmtId="22" fontId="13" fillId="6" borderId="4" xfId="0" applyNumberFormat="1" applyFont="1" applyFill="1" applyBorder="1" applyAlignment="1" applyProtection="1">
      <alignment horizontal="right"/>
      <protection locked="0"/>
    </xf>
    <xf numFmtId="0" fontId="13" fillId="0" borderId="0" xfId="0" applyFont="1" applyFill="1" applyBorder="1" applyProtection="1"/>
    <xf numFmtId="164" fontId="13" fillId="6" borderId="4" xfId="0" applyNumberFormat="1" applyFont="1" applyFill="1" applyBorder="1" applyAlignment="1" applyProtection="1">
      <alignment horizontal="center"/>
      <protection locked="0"/>
    </xf>
    <xf numFmtId="171" fontId="13" fillId="0" borderId="0" xfId="0" applyNumberFormat="1" applyFont="1" applyFill="1" applyBorder="1" applyProtection="1"/>
    <xf numFmtId="14" fontId="13" fillId="0" borderId="0" xfId="0" applyNumberFormat="1" applyFont="1" applyFill="1" applyBorder="1" applyProtection="1"/>
    <xf numFmtId="20" fontId="13" fillId="2" borderId="0" xfId="0" applyNumberFormat="1" applyFont="1" applyFill="1" applyProtection="1"/>
    <xf numFmtId="171" fontId="13" fillId="6" borderId="4" xfId="0" applyNumberFormat="1" applyFont="1" applyFill="1" applyBorder="1" applyAlignment="1" applyProtection="1">
      <alignment horizontal="right"/>
      <protection locked="0"/>
    </xf>
    <xf numFmtId="2" fontId="13" fillId="0" borderId="0" xfId="0" applyNumberFormat="1" applyFont="1" applyFill="1" applyBorder="1" applyProtection="1"/>
    <xf numFmtId="2" fontId="13" fillId="2" borderId="0" xfId="0" applyNumberFormat="1" applyFont="1" applyFill="1" applyProtection="1"/>
    <xf numFmtId="0" fontId="13" fillId="0" borderId="0" xfId="0" applyFont="1" applyFill="1" applyProtection="1"/>
    <xf numFmtId="0" fontId="13" fillId="4" borderId="4" xfId="0" applyFont="1" applyFill="1" applyBorder="1" applyAlignment="1" applyProtection="1">
      <alignment horizontal="center"/>
      <protection locked="0"/>
    </xf>
    <xf numFmtId="0" fontId="13" fillId="0" borderId="1" xfId="0" applyFont="1" applyFill="1" applyBorder="1" applyProtection="1"/>
    <xf numFmtId="0" fontId="13" fillId="0" borderId="1" xfId="0" applyFont="1" applyBorder="1" applyProtection="1"/>
    <xf numFmtId="167" fontId="13" fillId="5" borderId="4" xfId="0" applyNumberFormat="1" applyFont="1" applyFill="1" applyBorder="1" applyAlignment="1" applyProtection="1">
      <alignment horizontal="center"/>
    </xf>
    <xf numFmtId="164" fontId="13" fillId="5" borderId="4" xfId="0" applyNumberFormat="1" applyFont="1" applyFill="1" applyBorder="1" applyAlignment="1" applyProtection="1">
      <alignment horizontal="center"/>
    </xf>
    <xf numFmtId="0" fontId="37" fillId="2" borderId="0" xfId="0" applyFont="1" applyFill="1" applyProtection="1"/>
    <xf numFmtId="164" fontId="37" fillId="2" borderId="0" xfId="0" applyNumberFormat="1" applyFont="1" applyFill="1" applyAlignment="1" applyProtection="1">
      <alignment horizontal="center"/>
    </xf>
    <xf numFmtId="1" fontId="13" fillId="4" borderId="4" xfId="0" applyNumberFormat="1" applyFont="1" applyFill="1" applyBorder="1" applyAlignment="1" applyProtection="1">
      <alignment horizontal="center"/>
      <protection locked="0"/>
    </xf>
    <xf numFmtId="0" fontId="37" fillId="0" borderId="1" xfId="0" applyFont="1" applyBorder="1" applyProtection="1"/>
    <xf numFmtId="0" fontId="14" fillId="2" borderId="0" xfId="0" applyFont="1" applyFill="1" applyProtection="1"/>
    <xf numFmtId="0" fontId="0" fillId="0" borderId="0" xfId="0" applyFill="1" applyBorder="1"/>
    <xf numFmtId="0" fontId="0" fillId="0" borderId="0" xfId="0" applyFill="1" applyAlignment="1" applyProtection="1">
      <alignment horizontal="right"/>
    </xf>
    <xf numFmtId="171" fontId="0" fillId="0" borderId="0" xfId="0" applyNumberFormat="1"/>
    <xf numFmtId="164" fontId="13" fillId="4" borderId="4" xfId="0" applyNumberFormat="1" applyFont="1" applyFill="1" applyBorder="1" applyAlignment="1" applyProtection="1">
      <alignment horizontal="center"/>
      <protection locked="0"/>
    </xf>
    <xf numFmtId="0" fontId="11" fillId="2" borderId="0" xfId="0" applyFont="1" applyFill="1" applyAlignment="1" applyProtection="1">
      <alignment horizontal="left" vertical="top" wrapText="1"/>
    </xf>
    <xf numFmtId="0" fontId="40" fillId="2" borderId="0" xfId="0" applyFont="1" applyFill="1" applyProtection="1"/>
    <xf numFmtId="0" fontId="17" fillId="2" borderId="1" xfId="0" applyFont="1" applyFill="1" applyBorder="1" applyAlignment="1" applyProtection="1">
      <alignment vertical="top" wrapText="1"/>
    </xf>
    <xf numFmtId="0" fontId="17" fillId="2" borderId="0" xfId="0" applyFont="1" applyFill="1" applyAlignment="1" applyProtection="1">
      <alignment vertical="top" wrapText="1"/>
    </xf>
    <xf numFmtId="0" fontId="41" fillId="4" borderId="0" xfId="0" applyFont="1" applyFill="1" applyAlignment="1" applyProtection="1">
      <alignment horizontal="center"/>
      <protection locked="0"/>
    </xf>
    <xf numFmtId="0" fontId="17" fillId="2" borderId="0" xfId="0" applyFont="1" applyFill="1" applyAlignment="1" applyProtection="1"/>
    <xf numFmtId="0" fontId="2" fillId="2" borderId="0" xfId="0" applyFont="1" applyFill="1" applyBorder="1" applyAlignment="1" applyProtection="1">
      <alignment horizontal="left"/>
    </xf>
    <xf numFmtId="164" fontId="17" fillId="2" borderId="0" xfId="0" applyNumberFormat="1" applyFont="1" applyFill="1" applyBorder="1" applyAlignment="1" applyProtection="1">
      <alignment horizontal="left"/>
    </xf>
    <xf numFmtId="0" fontId="17" fillId="2" borderId="0" xfId="0" applyFont="1" applyFill="1" applyBorder="1" applyAlignment="1" applyProtection="1">
      <alignment horizontal="left"/>
    </xf>
    <xf numFmtId="0" fontId="16" fillId="5" borderId="4" xfId="0" applyFont="1" applyFill="1" applyBorder="1" applyAlignment="1" applyProtection="1"/>
    <xf numFmtId="0" fontId="17" fillId="6" borderId="4" xfId="0" applyFont="1" applyFill="1" applyBorder="1" applyAlignment="1" applyProtection="1">
      <alignment horizontal="center"/>
      <protection locked="0"/>
    </xf>
    <xf numFmtId="173" fontId="13" fillId="2" borderId="0" xfId="0" applyNumberFormat="1" applyFont="1" applyFill="1" applyProtection="1"/>
    <xf numFmtId="1" fontId="4" fillId="4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vertical="center" textRotation="60" wrapText="1"/>
    </xf>
    <xf numFmtId="0" fontId="5" fillId="2" borderId="0" xfId="0" applyFont="1" applyFill="1" applyProtection="1"/>
    <xf numFmtId="0" fontId="42" fillId="2" borderId="0" xfId="0" applyFont="1" applyFill="1" applyAlignment="1" applyProtection="1">
      <alignment vertical="center"/>
    </xf>
    <xf numFmtId="0" fontId="12" fillId="0" borderId="0" xfId="0" applyFont="1" applyFill="1" applyProtection="1"/>
    <xf numFmtId="0" fontId="12" fillId="0" borderId="0" xfId="0" applyFont="1" applyFill="1" applyAlignment="1" applyProtection="1">
      <alignment horizontal="center"/>
    </xf>
    <xf numFmtId="0" fontId="45" fillId="2" borderId="0" xfId="0" applyFont="1" applyFill="1" applyProtection="1"/>
    <xf numFmtId="0" fontId="1" fillId="2" borderId="0" xfId="0" applyFont="1" applyFill="1" applyAlignment="1" applyProtection="1">
      <alignment wrapText="1"/>
    </xf>
    <xf numFmtId="22" fontId="13" fillId="2" borderId="0" xfId="0" applyNumberFormat="1" applyFont="1" applyFill="1" applyProtection="1"/>
    <xf numFmtId="0" fontId="0" fillId="2" borderId="0" xfId="0" applyFill="1" applyBorder="1"/>
    <xf numFmtId="0" fontId="7" fillId="0" borderId="0" xfId="0" applyFont="1" applyFill="1" applyBorder="1"/>
    <xf numFmtId="0" fontId="44" fillId="0" borderId="0" xfId="0" applyFont="1" applyFill="1" applyBorder="1" applyAlignment="1">
      <alignment horizontal="right" vertical="center"/>
    </xf>
    <xf numFmtId="0" fontId="4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horizontal="right"/>
    </xf>
    <xf numFmtId="0" fontId="17" fillId="2" borderId="0" xfId="0" applyFont="1" applyFill="1" applyBorder="1" applyProtection="1"/>
    <xf numFmtId="0" fontId="47" fillId="2" borderId="0" xfId="0" applyFont="1" applyFill="1" applyProtection="1"/>
    <xf numFmtId="0" fontId="48" fillId="2" borderId="0" xfId="0" applyFont="1" applyFill="1" applyBorder="1" applyAlignment="1" applyProtection="1"/>
    <xf numFmtId="0" fontId="7" fillId="2" borderId="0" xfId="0" applyFont="1" applyFill="1" applyBorder="1"/>
    <xf numFmtId="0" fontId="49" fillId="2" borderId="0" xfId="0" applyFont="1" applyFill="1" applyBorder="1" applyAlignment="1" applyProtection="1">
      <alignment horizontal="left"/>
    </xf>
    <xf numFmtId="0" fontId="39" fillId="0" borderId="0" xfId="0" applyFont="1" applyFill="1" applyBorder="1" applyAlignment="1">
      <alignment horizontal="center" vertical="center"/>
    </xf>
    <xf numFmtId="164" fontId="4" fillId="4" borderId="0" xfId="0" applyNumberFormat="1" applyFont="1" applyFill="1" applyAlignment="1" applyProtection="1">
      <alignment horizontal="center"/>
      <protection locked="0"/>
    </xf>
    <xf numFmtId="0" fontId="47" fillId="0" borderId="0" xfId="0" applyFont="1" applyFill="1" applyProtection="1"/>
    <xf numFmtId="0" fontId="1" fillId="5" borderId="4" xfId="0" applyFont="1" applyFill="1" applyBorder="1" applyAlignment="1" applyProtection="1"/>
    <xf numFmtId="0" fontId="12" fillId="0" borderId="0" xfId="0" applyFont="1" applyProtection="1"/>
    <xf numFmtId="0" fontId="11" fillId="2" borderId="0" xfId="0" applyFont="1" applyFill="1" applyBorder="1" applyAlignment="1" applyProtection="1"/>
    <xf numFmtId="0" fontId="13" fillId="2" borderId="0" xfId="0" applyFont="1" applyFill="1" applyBorder="1" applyProtection="1"/>
    <xf numFmtId="0" fontId="13" fillId="6" borderId="4" xfId="0" applyFont="1" applyFill="1" applyBorder="1" applyAlignment="1" applyProtection="1">
      <protection locked="0"/>
    </xf>
    <xf numFmtId="0" fontId="16" fillId="2" borderId="0" xfId="0" applyFont="1" applyFill="1" applyBorder="1" applyAlignment="1" applyProtection="1">
      <alignment horizontal="center"/>
    </xf>
    <xf numFmtId="0" fontId="40" fillId="2" borderId="0" xfId="0" applyFont="1" applyFill="1" applyBorder="1" applyProtection="1"/>
    <xf numFmtId="164" fontId="17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vertical="top" wrapText="1"/>
    </xf>
    <xf numFmtId="0" fontId="48" fillId="2" borderId="0" xfId="0" applyFont="1" applyFill="1" applyAlignment="1" applyProtection="1"/>
    <xf numFmtId="0" fontId="7" fillId="2" borderId="0" xfId="0" applyFont="1" applyFill="1" applyAlignment="1" applyProtection="1">
      <alignment horizontal="right"/>
    </xf>
    <xf numFmtId="0" fontId="0" fillId="2" borderId="0" xfId="0" applyFill="1" applyBorder="1" applyAlignment="1" applyProtection="1">
      <alignment horizontal="left" vertical="top" wrapText="1"/>
    </xf>
    <xf numFmtId="0" fontId="7" fillId="2" borderId="0" xfId="0" applyFont="1" applyFill="1" applyBorder="1" applyAlignment="1" applyProtection="1">
      <alignment horizontal="left" vertical="top" wrapText="1"/>
    </xf>
    <xf numFmtId="164" fontId="16" fillId="2" borderId="0" xfId="0" applyNumberFormat="1" applyFont="1" applyFill="1" applyBorder="1" applyAlignment="1" applyProtection="1">
      <alignment horizontal="center"/>
    </xf>
    <xf numFmtId="0" fontId="7" fillId="2" borderId="0" xfId="0" applyFont="1" applyFill="1" applyBorder="1" applyProtection="1"/>
    <xf numFmtId="0" fontId="16" fillId="6" borderId="6" xfId="0" applyFont="1" applyFill="1" applyBorder="1" applyAlignment="1" applyProtection="1">
      <alignment horizontal="center"/>
      <protection locked="0"/>
    </xf>
    <xf numFmtId="0" fontId="0" fillId="2" borderId="0" xfId="0" applyFill="1" applyAlignment="1"/>
    <xf numFmtId="22" fontId="13" fillId="0" borderId="1" xfId="0" applyNumberFormat="1" applyFont="1" applyBorder="1" applyProtection="1"/>
    <xf numFmtId="171" fontId="13" fillId="0" borderId="1" xfId="0" applyNumberFormat="1" applyFont="1" applyBorder="1" applyProtection="1"/>
    <xf numFmtId="171" fontId="13" fillId="5" borderId="4" xfId="0" applyNumberFormat="1" applyFont="1" applyFill="1" applyBorder="1" applyAlignment="1" applyProtection="1">
      <alignment horizontal="center"/>
    </xf>
    <xf numFmtId="2" fontId="13" fillId="0" borderId="1" xfId="0" applyNumberFormat="1" applyFont="1" applyBorder="1" applyProtection="1"/>
    <xf numFmtId="0" fontId="7" fillId="2" borderId="0" xfId="0" applyFont="1" applyFill="1" applyBorder="1" applyAlignment="1" applyProtection="1">
      <alignment vertical="top" wrapText="1"/>
    </xf>
    <xf numFmtId="0" fontId="13" fillId="2" borderId="0" xfId="0" applyFont="1" applyFill="1" applyBorder="1" applyAlignment="1" applyProtection="1">
      <alignment vertical="top" wrapText="1"/>
    </xf>
    <xf numFmtId="174" fontId="13" fillId="6" borderId="4" xfId="0" applyNumberFormat="1" applyFont="1" applyFill="1" applyBorder="1" applyAlignment="1" applyProtection="1">
      <alignment horizontal="center"/>
      <protection locked="0"/>
    </xf>
    <xf numFmtId="171" fontId="13" fillId="6" borderId="4" xfId="0" applyNumberFormat="1" applyFont="1" applyFill="1" applyBorder="1" applyAlignment="1" applyProtection="1">
      <alignment horizontal="center"/>
      <protection locked="0"/>
    </xf>
    <xf numFmtId="171" fontId="13" fillId="6" borderId="4" xfId="0" applyNumberFormat="1" applyFont="1" applyFill="1" applyBorder="1" applyProtection="1">
      <protection locked="0"/>
    </xf>
    <xf numFmtId="0" fontId="13" fillId="6" borderId="4" xfId="0" applyFont="1" applyFill="1" applyBorder="1" applyAlignment="1" applyProtection="1">
      <alignment horizontal="center"/>
    </xf>
    <xf numFmtId="174" fontId="37" fillId="2" borderId="0" xfId="0" applyNumberFormat="1" applyFont="1" applyFill="1" applyProtection="1"/>
    <xf numFmtId="0" fontId="37" fillId="2" borderId="0" xfId="0" applyFont="1" applyFill="1" applyAlignment="1" applyProtection="1">
      <alignment horizontal="center"/>
    </xf>
    <xf numFmtId="0" fontId="12" fillId="2" borderId="0" xfId="0" applyFont="1" applyFill="1" applyBorder="1" applyAlignment="1" applyProtection="1"/>
    <xf numFmtId="0" fontId="50" fillId="2" borderId="0" xfId="0" applyFont="1" applyFill="1" applyAlignment="1" applyProtection="1">
      <alignment horizontal="center"/>
    </xf>
    <xf numFmtId="0" fontId="37" fillId="2" borderId="0" xfId="0" applyFont="1" applyFill="1" applyBorder="1" applyAlignment="1" applyProtection="1">
      <alignment vertical="top" wrapText="1"/>
    </xf>
    <xf numFmtId="171" fontId="13" fillId="5" borderId="4" xfId="0" applyNumberFormat="1" applyFont="1" applyFill="1" applyBorder="1" applyProtection="1"/>
    <xf numFmtId="2" fontId="13" fillId="6" borderId="4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vertical="top" wrapText="1"/>
    </xf>
    <xf numFmtId="2" fontId="0" fillId="2" borderId="0" xfId="0" applyNumberFormat="1" applyFill="1" applyAlignment="1" applyProtection="1">
      <alignment horizontal="center"/>
    </xf>
    <xf numFmtId="0" fontId="6" fillId="2" borderId="0" xfId="0" applyFont="1" applyFill="1" applyAlignment="1" applyProtection="1">
      <alignment vertical="top" wrapText="1"/>
    </xf>
    <xf numFmtId="0" fontId="34" fillId="0" borderId="0" xfId="0" applyFont="1" applyFill="1" applyProtection="1"/>
    <xf numFmtId="0" fontId="34" fillId="2" borderId="0" xfId="0" applyFont="1" applyFill="1" applyBorder="1" applyAlignment="1" applyProtection="1">
      <alignment horizontal="left" vertical="top" wrapText="1"/>
    </xf>
    <xf numFmtId="0" fontId="11" fillId="0" borderId="0" xfId="0" applyFont="1" applyFill="1" applyBorder="1" applyAlignment="1" applyProtection="1"/>
    <xf numFmtId="0" fontId="1" fillId="0" borderId="0" xfId="0" applyFont="1" applyFill="1" applyBorder="1" applyAlignment="1" applyProtection="1">
      <alignment vertical="top" wrapText="1"/>
    </xf>
    <xf numFmtId="2" fontId="15" fillId="5" borderId="4" xfId="0" applyNumberFormat="1" applyFont="1" applyFill="1" applyBorder="1" applyAlignment="1" applyProtection="1">
      <alignment horizontal="center"/>
    </xf>
    <xf numFmtId="0" fontId="11" fillId="0" borderId="0" xfId="0" applyFont="1" applyFill="1" applyBorder="1" applyProtection="1"/>
    <xf numFmtId="0" fontId="1" fillId="0" borderId="0" xfId="0" applyFont="1" applyFill="1" applyBorder="1" applyProtection="1"/>
    <xf numFmtId="164" fontId="1" fillId="0" borderId="0" xfId="0" applyNumberFormat="1" applyFont="1" applyFill="1" applyBorder="1" applyAlignment="1" applyProtection="1">
      <alignment horizontal="center"/>
    </xf>
    <xf numFmtId="0" fontId="13" fillId="0" borderId="0" xfId="0" applyFont="1" applyBorder="1" applyProtection="1"/>
    <xf numFmtId="0" fontId="11" fillId="0" borderId="0" xfId="0" applyFont="1" applyBorder="1" applyProtection="1"/>
    <xf numFmtId="0" fontId="1" fillId="2" borderId="0" xfId="0" applyFont="1" applyFill="1" applyBorder="1" applyProtection="1"/>
    <xf numFmtId="0" fontId="1" fillId="2" borderId="7" xfId="0" applyFont="1" applyFill="1" applyBorder="1" applyProtection="1"/>
    <xf numFmtId="0" fontId="1" fillId="2" borderId="0" xfId="0" applyFont="1" applyFill="1" applyBorder="1" applyAlignment="1" applyProtection="1">
      <alignment horizontal="center"/>
    </xf>
    <xf numFmtId="0" fontId="14" fillId="5" borderId="8" xfId="0" applyFont="1" applyFill="1" applyBorder="1" applyProtection="1"/>
    <xf numFmtId="0" fontId="14" fillId="5" borderId="9" xfId="0" applyFont="1" applyFill="1" applyBorder="1" applyProtection="1"/>
    <xf numFmtId="0" fontId="14" fillId="2" borderId="0" xfId="0" applyFont="1" applyFill="1" applyBorder="1" applyProtection="1"/>
    <xf numFmtId="0" fontId="13" fillId="2" borderId="0" xfId="0" applyFont="1" applyFill="1" applyBorder="1" applyAlignment="1" applyProtection="1">
      <alignment horizontal="center"/>
    </xf>
    <xf numFmtId="2" fontId="13" fillId="5" borderId="4" xfId="0" applyNumberFormat="1" applyFont="1" applyFill="1" applyBorder="1" applyAlignment="1" applyProtection="1">
      <alignment horizontal="center"/>
    </xf>
    <xf numFmtId="0" fontId="53" fillId="5" borderId="8" xfId="0" applyFont="1" applyFill="1" applyBorder="1" applyAlignment="1" applyProtection="1">
      <alignment horizontal="center"/>
    </xf>
    <xf numFmtId="0" fontId="53" fillId="5" borderId="4" xfId="0" applyFont="1" applyFill="1" applyBorder="1" applyAlignment="1" applyProtection="1">
      <alignment horizontal="center"/>
    </xf>
    <xf numFmtId="0" fontId="53" fillId="5" borderId="9" xfId="0" applyFont="1" applyFill="1" applyBorder="1" applyAlignment="1" applyProtection="1">
      <alignment horizontal="center"/>
    </xf>
    <xf numFmtId="0" fontId="13" fillId="5" borderId="10" xfId="0" applyFont="1" applyFill="1" applyBorder="1" applyProtection="1"/>
    <xf numFmtId="0" fontId="14" fillId="5" borderId="10" xfId="0" applyFont="1" applyFill="1" applyBorder="1" applyAlignment="1" applyProtection="1">
      <alignment horizontal="center"/>
    </xf>
    <xf numFmtId="0" fontId="13" fillId="0" borderId="4" xfId="0" applyFont="1" applyBorder="1" applyProtection="1"/>
    <xf numFmtId="0" fontId="13" fillId="0" borderId="8" xfId="0" applyFont="1" applyBorder="1" applyProtection="1"/>
    <xf numFmtId="0" fontId="13" fillId="0" borderId="9" xfId="0" applyFont="1" applyBorder="1" applyProtection="1"/>
    <xf numFmtId="0" fontId="14" fillId="4" borderId="10" xfId="0" applyFont="1" applyFill="1" applyBorder="1" applyAlignment="1" applyProtection="1">
      <alignment horizontal="center"/>
    </xf>
    <xf numFmtId="164" fontId="53" fillId="4" borderId="8" xfId="0" applyNumberFormat="1" applyFont="1" applyFill="1" applyBorder="1" applyAlignment="1" applyProtection="1">
      <alignment horizontal="center"/>
    </xf>
    <xf numFmtId="164" fontId="53" fillId="4" borderId="4" xfId="0" applyNumberFormat="1" applyFont="1" applyFill="1" applyBorder="1" applyAlignment="1" applyProtection="1">
      <alignment horizontal="center"/>
    </xf>
    <xf numFmtId="164" fontId="53" fillId="4" borderId="9" xfId="0" applyNumberFormat="1" applyFont="1" applyFill="1" applyBorder="1" applyAlignment="1" applyProtection="1">
      <alignment horizontal="center"/>
    </xf>
    <xf numFmtId="164" fontId="53" fillId="4" borderId="11" xfId="0" applyNumberFormat="1" applyFont="1" applyFill="1" applyBorder="1" applyAlignment="1" applyProtection="1">
      <alignment horizontal="center"/>
    </xf>
    <xf numFmtId="164" fontId="53" fillId="4" borderId="12" xfId="0" applyNumberFormat="1" applyFont="1" applyFill="1" applyBorder="1" applyAlignment="1" applyProtection="1">
      <alignment horizontal="center"/>
    </xf>
    <xf numFmtId="164" fontId="53" fillId="4" borderId="13" xfId="0" applyNumberFormat="1" applyFont="1" applyFill="1" applyBorder="1" applyAlignment="1" applyProtection="1">
      <alignment horizontal="center"/>
    </xf>
    <xf numFmtId="0" fontId="54" fillId="2" borderId="0" xfId="0" applyFont="1" applyFill="1" applyAlignment="1" applyProtection="1">
      <alignment horizontal="right"/>
    </xf>
    <xf numFmtId="164" fontId="16" fillId="6" borderId="6" xfId="0" applyNumberFormat="1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/>
    </xf>
    <xf numFmtId="20" fontId="56" fillId="2" borderId="0" xfId="0" applyNumberFormat="1" applyFont="1" applyFill="1" applyProtection="1"/>
    <xf numFmtId="0" fontId="11" fillId="2" borderId="1" xfId="0" applyFont="1" applyFill="1" applyBorder="1" applyProtection="1"/>
    <xf numFmtId="0" fontId="11" fillId="2" borderId="0" xfId="0" applyFont="1" applyFill="1" applyBorder="1" applyProtection="1"/>
    <xf numFmtId="0" fontId="13" fillId="2" borderId="1" xfId="0" applyFont="1" applyFill="1" applyBorder="1" applyProtection="1"/>
    <xf numFmtId="171" fontId="13" fillId="2" borderId="0" xfId="0" applyNumberFormat="1" applyFont="1" applyFill="1" applyBorder="1" applyProtection="1"/>
    <xf numFmtId="171" fontId="13" fillId="2" borderId="1" xfId="0" applyNumberFormat="1" applyFont="1" applyFill="1" applyBorder="1" applyProtection="1"/>
    <xf numFmtId="2" fontId="13" fillId="2" borderId="0" xfId="0" applyNumberFormat="1" applyFont="1" applyFill="1" applyBorder="1" applyProtection="1"/>
    <xf numFmtId="2" fontId="13" fillId="2" borderId="1" xfId="0" applyNumberFormat="1" applyFont="1" applyFill="1" applyBorder="1" applyProtection="1"/>
    <xf numFmtId="20" fontId="57" fillId="2" borderId="0" xfId="0" applyNumberFormat="1" applyFont="1" applyFill="1" applyProtection="1"/>
    <xf numFmtId="171" fontId="13" fillId="0" borderId="0" xfId="0" applyNumberFormat="1" applyFont="1" applyProtection="1">
      <protection locked="0"/>
    </xf>
    <xf numFmtId="0" fontId="13" fillId="2" borderId="0" xfId="0" applyFont="1" applyFill="1" applyAlignment="1" applyProtection="1">
      <alignment horizontal="right"/>
    </xf>
    <xf numFmtId="0" fontId="17" fillId="6" borderId="4" xfId="0" applyFont="1" applyFill="1" applyBorder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2" fontId="1" fillId="0" borderId="1" xfId="0" applyNumberFormat="1" applyFont="1" applyFill="1" applyBorder="1" applyAlignment="1" applyProtection="1">
      <alignment horizontal="center"/>
    </xf>
    <xf numFmtId="0" fontId="55" fillId="0" borderId="0" xfId="1" applyFont="1" applyFill="1" applyBorder="1" applyAlignment="1" applyProtection="1">
      <alignment horizontal="center"/>
    </xf>
    <xf numFmtId="171" fontId="13" fillId="5" borderId="4" xfId="0" applyNumberFormat="1" applyFont="1" applyFill="1" applyBorder="1" applyAlignment="1" applyProtection="1">
      <alignment horizontal="center" vertical="center"/>
    </xf>
    <xf numFmtId="0" fontId="16" fillId="5" borderId="4" xfId="0" applyFont="1" applyFill="1" applyBorder="1" applyAlignment="1" applyProtection="1">
      <alignment horizontal="right"/>
    </xf>
    <xf numFmtId="0" fontId="58" fillId="2" borderId="0" xfId="0" applyFont="1" applyFill="1" applyAlignment="1" applyProtection="1">
      <alignment horizontal="left" vertical="center"/>
    </xf>
    <xf numFmtId="0" fontId="59" fillId="2" borderId="0" xfId="0" applyFont="1" applyFill="1" applyAlignment="1" applyProtection="1"/>
    <xf numFmtId="0" fontId="1" fillId="0" borderId="0" xfId="0" applyFont="1" applyFill="1" applyProtection="1"/>
    <xf numFmtId="0" fontId="61" fillId="0" borderId="0" xfId="0" applyFont="1" applyFill="1" applyAlignment="1" applyProtection="1">
      <alignment horizontal="left"/>
    </xf>
    <xf numFmtId="0" fontId="61" fillId="0" borderId="0" xfId="0" applyFont="1" applyFill="1" applyProtection="1"/>
    <xf numFmtId="164" fontId="61" fillId="0" borderId="0" xfId="0" applyNumberFormat="1" applyFont="1" applyFill="1" applyProtection="1"/>
    <xf numFmtId="0" fontId="61" fillId="0" borderId="0" xfId="0" applyFont="1" applyFill="1" applyAlignment="1" applyProtection="1">
      <alignment horizontal="right"/>
    </xf>
    <xf numFmtId="0" fontId="62" fillId="0" borderId="0" xfId="0" applyFont="1" applyFill="1" applyProtection="1"/>
    <xf numFmtId="0" fontId="62" fillId="6" borderId="0" xfId="0" applyFont="1" applyFill="1" applyProtection="1"/>
    <xf numFmtId="0" fontId="62" fillId="0" borderId="0" xfId="0" applyFont="1" applyFill="1" applyAlignment="1" applyProtection="1">
      <alignment horizontal="right"/>
    </xf>
    <xf numFmtId="0" fontId="62" fillId="0" borderId="0" xfId="0" applyFont="1" applyFill="1" applyAlignment="1" applyProtection="1">
      <alignment horizontal="center"/>
    </xf>
    <xf numFmtId="2" fontId="62" fillId="0" borderId="0" xfId="0" applyNumberFormat="1" applyFont="1" applyFill="1" applyProtection="1"/>
    <xf numFmtId="164" fontId="62" fillId="0" borderId="0" xfId="0" applyNumberFormat="1" applyFont="1" applyFill="1" applyProtection="1"/>
    <xf numFmtId="0" fontId="62" fillId="0" borderId="0" xfId="0" applyNumberFormat="1" applyFont="1" applyFill="1" applyProtection="1"/>
    <xf numFmtId="0" fontId="62" fillId="2" borderId="0" xfId="0" applyFont="1" applyFill="1" applyProtection="1"/>
    <xf numFmtId="164" fontId="62" fillId="2" borderId="0" xfId="0" applyNumberFormat="1" applyFont="1" applyFill="1" applyProtection="1"/>
    <xf numFmtId="0" fontId="63" fillId="2" borderId="0" xfId="0" applyFont="1" applyFill="1" applyProtection="1"/>
    <xf numFmtId="0" fontId="62" fillId="2" borderId="0" xfId="0" applyFont="1" applyFill="1" applyAlignment="1" applyProtection="1">
      <alignment horizontal="center"/>
    </xf>
    <xf numFmtId="0" fontId="62" fillId="2" borderId="0" xfId="0" applyFont="1" applyFill="1" applyAlignment="1" applyProtection="1">
      <alignment horizontal="right"/>
    </xf>
    <xf numFmtId="2" fontId="62" fillId="2" borderId="0" xfId="0" applyNumberFormat="1" applyFont="1" applyFill="1" applyProtection="1"/>
    <xf numFmtId="0" fontId="62" fillId="2" borderId="0" xfId="0" applyNumberFormat="1" applyFont="1" applyFill="1" applyProtection="1"/>
    <xf numFmtId="0" fontId="17" fillId="7" borderId="5" xfId="0" applyFont="1" applyFill="1" applyBorder="1" applyAlignment="1" applyProtection="1">
      <alignment horizontal="right"/>
    </xf>
    <xf numFmtId="0" fontId="17" fillId="7" borderId="6" xfId="0" applyFont="1" applyFill="1" applyBorder="1" applyAlignment="1" applyProtection="1">
      <alignment horizontal="right"/>
    </xf>
    <xf numFmtId="0" fontId="16" fillId="7" borderId="6" xfId="0" applyFont="1" applyFill="1" applyBorder="1" applyAlignment="1" applyProtection="1">
      <alignment horizontal="center"/>
    </xf>
    <xf numFmtId="0" fontId="17" fillId="7" borderId="4" xfId="0" applyFont="1" applyFill="1" applyBorder="1" applyProtection="1"/>
    <xf numFmtId="0" fontId="38" fillId="0" borderId="0" xfId="0" applyFont="1" applyFill="1" applyBorder="1" applyAlignment="1">
      <alignment horizontal="center" vertical="center"/>
    </xf>
    <xf numFmtId="0" fontId="39" fillId="0" borderId="14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right" wrapText="1"/>
    </xf>
    <xf numFmtId="0" fontId="7" fillId="0" borderId="0" xfId="0" applyFont="1" applyFill="1" applyBorder="1" applyAlignment="1">
      <alignment horizontal="right" wrapText="1"/>
    </xf>
    <xf numFmtId="0" fontId="1" fillId="2" borderId="0" xfId="0" applyFont="1" applyFill="1" applyAlignment="1" applyProtection="1">
      <alignment horizontal="center" wrapText="1"/>
    </xf>
    <xf numFmtId="0" fontId="2" fillId="2" borderId="0" xfId="0" applyFont="1" applyFill="1" applyBorder="1" applyAlignment="1" applyProtection="1">
      <alignment horizontal="left"/>
    </xf>
    <xf numFmtId="0" fontId="0" fillId="0" borderId="0" xfId="0" applyBorder="1"/>
    <xf numFmtId="0" fontId="17" fillId="2" borderId="1" xfId="0" applyFont="1" applyFill="1" applyBorder="1" applyAlignment="1" applyProtection="1">
      <alignment horizontal="left" vertical="top" wrapText="1"/>
    </xf>
    <xf numFmtId="0" fontId="0" fillId="0" borderId="0" xfId="0"/>
    <xf numFmtId="0" fontId="0" fillId="0" borderId="1" xfId="0" applyBorder="1"/>
    <xf numFmtId="0" fontId="42" fillId="2" borderId="0" xfId="0" applyFont="1" applyFill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/>
    </xf>
    <xf numFmtId="0" fontId="49" fillId="2" borderId="0" xfId="0" applyFont="1" applyFill="1" applyBorder="1" applyAlignment="1" applyProtection="1">
      <alignment horizontal="left"/>
    </xf>
    <xf numFmtId="0" fontId="7" fillId="2" borderId="0" xfId="0" applyFont="1" applyFill="1" applyBorder="1"/>
    <xf numFmtId="0" fontId="4" fillId="2" borderId="0" xfId="0" applyFont="1" applyFill="1" applyBorder="1" applyAlignment="1" applyProtection="1">
      <alignment horizontal="left"/>
    </xf>
    <xf numFmtId="0" fontId="4" fillId="3" borderId="5" xfId="0" applyFont="1" applyFill="1" applyBorder="1" applyAlignment="1" applyProtection="1">
      <alignment horizontal="center" vertical="center"/>
    </xf>
    <xf numFmtId="0" fontId="4" fillId="3" borderId="15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62" fillId="2" borderId="0" xfId="0" applyFont="1" applyFill="1" applyBorder="1" applyAlignment="1" applyProtection="1">
      <alignment horizontal="left" vertical="top" wrapText="1"/>
    </xf>
    <xf numFmtId="0" fontId="17" fillId="2" borderId="0" xfId="0" applyFont="1" applyFill="1" applyBorder="1" applyAlignment="1" applyProtection="1">
      <alignment horizontal="left" vertical="top" wrapText="1"/>
    </xf>
    <xf numFmtId="171" fontId="13" fillId="5" borderId="5" xfId="0" applyNumberFormat="1" applyFont="1" applyFill="1" applyBorder="1" applyAlignment="1" applyProtection="1">
      <alignment horizontal="center"/>
    </xf>
    <xf numFmtId="171" fontId="13" fillId="5" borderId="6" xfId="0" applyNumberFormat="1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/>
    <xf numFmtId="0" fontId="4" fillId="3" borderId="4" xfId="0" applyFont="1" applyFill="1" applyBorder="1" applyAlignment="1" applyProtection="1">
      <alignment horizontal="left"/>
    </xf>
    <xf numFmtId="0" fontId="52" fillId="2" borderId="0" xfId="0" applyFont="1" applyFill="1" applyAlignment="1" applyProtection="1">
      <alignment horizontal="center" vertical="top" wrapText="1"/>
    </xf>
    <xf numFmtId="0" fontId="0" fillId="2" borderId="0" xfId="0" applyFill="1" applyBorder="1"/>
    <xf numFmtId="0" fontId="0" fillId="2" borderId="0" xfId="0" applyFill="1" applyBorder="1" applyProtection="1"/>
    <xf numFmtId="0" fontId="4" fillId="3" borderId="5" xfId="0" applyFont="1" applyFill="1" applyBorder="1" applyAlignment="1" applyProtection="1">
      <alignment horizontal="center"/>
    </xf>
    <xf numFmtId="0" fontId="4" fillId="3" borderId="15" xfId="0" applyFont="1" applyFill="1" applyBorder="1" applyAlignment="1" applyProtection="1">
      <alignment horizontal="center"/>
    </xf>
    <xf numFmtId="0" fontId="4" fillId="3" borderId="6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0" xfId="0" applyFont="1" applyFill="1" applyAlignment="1" applyProtection="1">
      <alignment horizontal="center"/>
    </xf>
    <xf numFmtId="0" fontId="60" fillId="2" borderId="16" xfId="0" applyFont="1" applyFill="1" applyBorder="1" applyAlignment="1" applyProtection="1">
      <alignment horizontal="center" vertical="center" textRotation="67"/>
    </xf>
    <xf numFmtId="0" fontId="60" fillId="2" borderId="17" xfId="0" applyFont="1" applyFill="1" applyBorder="1" applyAlignment="1" applyProtection="1">
      <alignment horizontal="center" vertical="center" textRotation="67"/>
    </xf>
    <xf numFmtId="0" fontId="60" fillId="2" borderId="18" xfId="0" applyFont="1" applyFill="1" applyBorder="1" applyAlignment="1" applyProtection="1">
      <alignment horizontal="center" vertical="center" textRotation="67"/>
    </xf>
    <xf numFmtId="0" fontId="4" fillId="3" borderId="5" xfId="0" applyFont="1" applyFill="1" applyBorder="1" applyAlignment="1" applyProtection="1">
      <alignment horizontal="left"/>
    </xf>
    <xf numFmtId="0" fontId="4" fillId="3" borderId="15" xfId="0" applyFont="1" applyFill="1" applyBorder="1" applyAlignment="1" applyProtection="1">
      <alignment horizontal="left"/>
    </xf>
    <xf numFmtId="0" fontId="4" fillId="3" borderId="6" xfId="0" applyFont="1" applyFill="1" applyBorder="1" applyAlignment="1" applyProtection="1">
      <alignment horizontal="left"/>
    </xf>
    <xf numFmtId="0" fontId="1" fillId="0" borderId="0" xfId="0" applyNumberFormat="1" applyFont="1" applyFill="1" applyAlignment="1" applyProtection="1">
      <alignment horizontal="left" vertical="top" wrapText="1"/>
    </xf>
    <xf numFmtId="0" fontId="1" fillId="2" borderId="0" xfId="0" applyFont="1" applyFill="1" applyAlignment="1" applyProtection="1">
      <alignment horizontal="left" wrapText="1"/>
    </xf>
    <xf numFmtId="0" fontId="13" fillId="0" borderId="0" xfId="0" applyFont="1" applyFill="1" applyBorder="1" applyAlignment="1" applyProtection="1">
      <alignment horizontal="left" vertical="top" wrapText="1"/>
      <protection locked="0"/>
    </xf>
    <xf numFmtId="0" fontId="11" fillId="3" borderId="19" xfId="0" applyFont="1" applyFill="1" applyBorder="1" applyAlignment="1" applyProtection="1">
      <alignment horizontal="left"/>
    </xf>
    <xf numFmtId="0" fontId="11" fillId="3" borderId="20" xfId="0" applyFont="1" applyFill="1" applyBorder="1" applyAlignment="1" applyProtection="1">
      <alignment horizontal="left"/>
    </xf>
    <xf numFmtId="0" fontId="11" fillId="3" borderId="21" xfId="0" applyFon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35654596100281E-2"/>
          <c:y val="7.5801857179666407E-2"/>
          <c:w val="0.93941504178272983"/>
          <c:h val="0.6967939948438565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EmpiricVANCOMYCINdosing!$A$75:$A$148</c:f>
              <c:numCache>
                <c:formatCode>General</c:formatCode>
                <c:ptCount val="74"/>
                <c:pt idx="0">
                  <c:v>-1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  <c:pt idx="42">
                  <c:v>20.5</c:v>
                </c:pt>
                <c:pt idx="43">
                  <c:v>21</c:v>
                </c:pt>
                <c:pt idx="44">
                  <c:v>21.5</c:v>
                </c:pt>
                <c:pt idx="45">
                  <c:v>22</c:v>
                </c:pt>
                <c:pt idx="46">
                  <c:v>22.5</c:v>
                </c:pt>
                <c:pt idx="47">
                  <c:v>23</c:v>
                </c:pt>
                <c:pt idx="48">
                  <c:v>23.5</c:v>
                </c:pt>
                <c:pt idx="49">
                  <c:v>24</c:v>
                </c:pt>
                <c:pt idx="50">
                  <c:v>24.5</c:v>
                </c:pt>
                <c:pt idx="51">
                  <c:v>25</c:v>
                </c:pt>
                <c:pt idx="52">
                  <c:v>25.5</c:v>
                </c:pt>
                <c:pt idx="53">
                  <c:v>26</c:v>
                </c:pt>
                <c:pt idx="54">
                  <c:v>26.5</c:v>
                </c:pt>
                <c:pt idx="55">
                  <c:v>27</c:v>
                </c:pt>
                <c:pt idx="56">
                  <c:v>27.5</c:v>
                </c:pt>
                <c:pt idx="57">
                  <c:v>28</c:v>
                </c:pt>
                <c:pt idx="58">
                  <c:v>28.5</c:v>
                </c:pt>
                <c:pt idx="59">
                  <c:v>29</c:v>
                </c:pt>
                <c:pt idx="60">
                  <c:v>29.5</c:v>
                </c:pt>
                <c:pt idx="61">
                  <c:v>30</c:v>
                </c:pt>
                <c:pt idx="62">
                  <c:v>30.5</c:v>
                </c:pt>
                <c:pt idx="63">
                  <c:v>31</c:v>
                </c:pt>
                <c:pt idx="64">
                  <c:v>31.5</c:v>
                </c:pt>
                <c:pt idx="65">
                  <c:v>32</c:v>
                </c:pt>
                <c:pt idx="66">
                  <c:v>32.5</c:v>
                </c:pt>
                <c:pt idx="67">
                  <c:v>33</c:v>
                </c:pt>
                <c:pt idx="68">
                  <c:v>33.5</c:v>
                </c:pt>
                <c:pt idx="69">
                  <c:v>34</c:v>
                </c:pt>
                <c:pt idx="70">
                  <c:v>34.5</c:v>
                </c:pt>
                <c:pt idx="71">
                  <c:v>35</c:v>
                </c:pt>
                <c:pt idx="72">
                  <c:v>35.5</c:v>
                </c:pt>
                <c:pt idx="73">
                  <c:v>36</c:v>
                </c:pt>
              </c:numCache>
            </c:numRef>
          </c:cat>
          <c:val>
            <c:numRef>
              <c:f>EmpiricVANCOMYCINdosing!$B$75:$B$148</c:f>
              <c:numCache>
                <c:formatCode>0.0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61-4DA3-B0BF-027E216DC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18016"/>
        <c:axId val="1"/>
      </c:lineChart>
      <c:catAx>
        <c:axId val="201071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Hours</a:t>
                </a:r>
              </a:p>
            </c:rich>
          </c:tx>
          <c:layout>
            <c:manualLayout>
              <c:xMode val="edge"/>
              <c:yMode val="edge"/>
              <c:x val="0.50696378830083566"/>
              <c:y val="0.895044956115179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"/>
        <c:scaling>
          <c:orientation val="minMax"/>
          <c:max val="5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mg/L</a:t>
                </a:r>
              </a:p>
            </c:rich>
          </c:tx>
          <c:layout>
            <c:manualLayout>
              <c:xMode val="edge"/>
              <c:yMode val="edge"/>
              <c:x val="1.0445682451253482E-2"/>
              <c:y val="0.376093906629018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18016"/>
        <c:crosses val="autoZero"/>
        <c:crossBetween val="between"/>
        <c:majorUnit val="10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28893414361466E-2"/>
          <c:y val="7.8549964817145046E-2"/>
          <c:w val="0.8942312940341034"/>
          <c:h val="0.67673815842463414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EmpiricVANCOMYCINtouch!$A$94:$A$167</c:f>
              <c:numCache>
                <c:formatCode>General</c:formatCode>
                <c:ptCount val="74"/>
                <c:pt idx="0">
                  <c:v>-1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  <c:pt idx="42">
                  <c:v>20.5</c:v>
                </c:pt>
                <c:pt idx="43">
                  <c:v>21</c:v>
                </c:pt>
                <c:pt idx="44">
                  <c:v>21.5</c:v>
                </c:pt>
                <c:pt idx="45">
                  <c:v>22</c:v>
                </c:pt>
                <c:pt idx="46">
                  <c:v>22.5</c:v>
                </c:pt>
                <c:pt idx="47">
                  <c:v>23</c:v>
                </c:pt>
                <c:pt idx="48">
                  <c:v>23.5</c:v>
                </c:pt>
                <c:pt idx="49">
                  <c:v>24</c:v>
                </c:pt>
                <c:pt idx="50">
                  <c:v>24.5</c:v>
                </c:pt>
                <c:pt idx="51">
                  <c:v>25</c:v>
                </c:pt>
                <c:pt idx="52">
                  <c:v>25.5</c:v>
                </c:pt>
                <c:pt idx="53">
                  <c:v>26</c:v>
                </c:pt>
                <c:pt idx="54">
                  <c:v>26.5</c:v>
                </c:pt>
                <c:pt idx="55">
                  <c:v>27</c:v>
                </c:pt>
                <c:pt idx="56">
                  <c:v>27.5</c:v>
                </c:pt>
                <c:pt idx="57">
                  <c:v>28</c:v>
                </c:pt>
                <c:pt idx="58">
                  <c:v>28.5</c:v>
                </c:pt>
                <c:pt idx="59">
                  <c:v>29</c:v>
                </c:pt>
                <c:pt idx="60">
                  <c:v>29.5</c:v>
                </c:pt>
                <c:pt idx="61">
                  <c:v>30</c:v>
                </c:pt>
                <c:pt idx="62">
                  <c:v>30.5</c:v>
                </c:pt>
                <c:pt idx="63">
                  <c:v>31</c:v>
                </c:pt>
                <c:pt idx="64">
                  <c:v>31.5</c:v>
                </c:pt>
                <c:pt idx="65">
                  <c:v>32</c:v>
                </c:pt>
                <c:pt idx="66">
                  <c:v>32.5</c:v>
                </c:pt>
                <c:pt idx="67">
                  <c:v>33</c:v>
                </c:pt>
                <c:pt idx="68">
                  <c:v>33.5</c:v>
                </c:pt>
                <c:pt idx="69">
                  <c:v>34</c:v>
                </c:pt>
                <c:pt idx="70">
                  <c:v>34.5</c:v>
                </c:pt>
                <c:pt idx="71">
                  <c:v>35</c:v>
                </c:pt>
                <c:pt idx="72">
                  <c:v>35.5</c:v>
                </c:pt>
                <c:pt idx="73">
                  <c:v>36</c:v>
                </c:pt>
              </c:numCache>
            </c:numRef>
          </c:cat>
          <c:val>
            <c:numRef>
              <c:f>EmpiricVANCOMYCINtouch!$B$94:$B$167</c:f>
              <c:numCache>
                <c:formatCode>0.0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A-4B12-BF20-416D35785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21616"/>
        <c:axId val="1"/>
      </c:lineChart>
      <c:catAx>
        <c:axId val="201072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Hours</a:t>
                </a:r>
              </a:p>
            </c:rich>
          </c:tx>
          <c:layout>
            <c:manualLayout>
              <c:xMode val="edge"/>
              <c:yMode val="edge"/>
              <c:x val="0.50480799612278682"/>
              <c:y val="0.882176495309687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"/>
        <c:scaling>
          <c:orientation val="minMax"/>
          <c:max val="5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mg/L</a:t>
                </a:r>
              </a:p>
            </c:rich>
          </c:tx>
          <c:layout>
            <c:manualLayout>
              <c:xMode val="edge"/>
              <c:yMode val="edge"/>
              <c:x val="1.0817298916772094E-2"/>
              <c:y val="0.3685806947847530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21616"/>
        <c:crosses val="autoZero"/>
        <c:crossBetween val="between"/>
        <c:majorUnit val="10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913691188676084E-2"/>
          <c:y val="4.3554044018507064E-2"/>
          <c:w val="0.88984975053336612"/>
          <c:h val="0.8850181744560635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VANCOMYCINtlk!$H$48:$H$81</c:f>
              <c:numCache>
                <c:formatCode>h:mm;@</c:formatCode>
                <c:ptCount val="34"/>
                <c:pt idx="0">
                  <c:v>43934</c:v>
                </c:pt>
                <c:pt idx="1">
                  <c:v>43935.020833333336</c:v>
                </c:pt>
                <c:pt idx="2">
                  <c:v>43936.041666666672</c:v>
                </c:pt>
                <c:pt idx="3">
                  <c:v>43937.062500000007</c:v>
                </c:pt>
                <c:pt idx="4">
                  <c:v>43938.083333333343</c:v>
                </c:pt>
                <c:pt idx="5">
                  <c:v>43939.104166666679</c:v>
                </c:pt>
                <c:pt idx="6">
                  <c:v>43940.125000000015</c:v>
                </c:pt>
                <c:pt idx="7">
                  <c:v>43941.14583333335</c:v>
                </c:pt>
                <c:pt idx="8">
                  <c:v>43942.166666666686</c:v>
                </c:pt>
                <c:pt idx="9">
                  <c:v>43943.187500000022</c:v>
                </c:pt>
                <c:pt idx="10">
                  <c:v>43944.208333333358</c:v>
                </c:pt>
                <c:pt idx="11">
                  <c:v>43945.229166666693</c:v>
                </c:pt>
                <c:pt idx="12">
                  <c:v>43946.250000000029</c:v>
                </c:pt>
                <c:pt idx="13">
                  <c:v>43947.270833333365</c:v>
                </c:pt>
                <c:pt idx="14">
                  <c:v>43948.291666666701</c:v>
                </c:pt>
                <c:pt idx="15">
                  <c:v>43949.312500000036</c:v>
                </c:pt>
                <c:pt idx="16">
                  <c:v>43950.333333333372</c:v>
                </c:pt>
                <c:pt idx="17">
                  <c:v>43951.354166666708</c:v>
                </c:pt>
                <c:pt idx="18">
                  <c:v>43952.375000000044</c:v>
                </c:pt>
                <c:pt idx="19">
                  <c:v>43953.395833333379</c:v>
                </c:pt>
                <c:pt idx="20">
                  <c:v>43954.416666666715</c:v>
                </c:pt>
                <c:pt idx="21">
                  <c:v>43955.437500000051</c:v>
                </c:pt>
                <c:pt idx="22">
                  <c:v>43956.458333333387</c:v>
                </c:pt>
                <c:pt idx="23">
                  <c:v>43957.479166666722</c:v>
                </c:pt>
                <c:pt idx="24">
                  <c:v>43958.500000000058</c:v>
                </c:pt>
                <c:pt idx="25">
                  <c:v>43959.520833333394</c:v>
                </c:pt>
                <c:pt idx="26">
                  <c:v>43960.54166666673</c:v>
                </c:pt>
                <c:pt idx="27">
                  <c:v>43961.562500000065</c:v>
                </c:pt>
                <c:pt idx="28">
                  <c:v>43962.583333333401</c:v>
                </c:pt>
                <c:pt idx="29">
                  <c:v>43963.604166666737</c:v>
                </c:pt>
                <c:pt idx="30">
                  <c:v>43964.625000000073</c:v>
                </c:pt>
                <c:pt idx="31">
                  <c:v>43965.645833333409</c:v>
                </c:pt>
                <c:pt idx="32">
                  <c:v>43966.666666666744</c:v>
                </c:pt>
                <c:pt idx="33">
                  <c:v>43967.68750000008</c:v>
                </c:pt>
              </c:numCache>
            </c:numRef>
          </c:cat>
          <c:val>
            <c:numRef>
              <c:f>VANCOMYCINtlk!$I$48:$I$81</c:f>
              <c:numCache>
                <c:formatCode>0.0</c:formatCode>
                <c:ptCount val="3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A6-4514-9FA4-A04B189CE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23616"/>
        <c:axId val="1"/>
      </c:lineChart>
      <c:catAx>
        <c:axId val="201072361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ax val="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23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913691188676084E-2"/>
          <c:y val="4.363009181066585E-2"/>
          <c:w val="0.88984975053336612"/>
          <c:h val="0.88481826192030355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VANCOMYCINolk!$H$48:$H$81</c:f>
              <c:numCache>
                <c:formatCode>h:mm;@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cat>
          <c:val>
            <c:numRef>
              <c:f>VANCOMYCINolk!$I$48:$I$81</c:f>
              <c:numCache>
                <c:formatCode>0.0</c:formatCode>
                <c:ptCount val="3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9B-4877-9862-BAD26DCC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18816"/>
        <c:axId val="1"/>
      </c:lineChart>
      <c:catAx>
        <c:axId val="201071881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ax val="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188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0398646053092E-2"/>
          <c:y val="7.5801857179666407E-2"/>
          <c:w val="0.9435034755579893"/>
          <c:h val="0.6967939948438565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AMGEmpiricDosing!$A$75:$A$148</c:f>
              <c:numCache>
                <c:formatCode>General</c:formatCode>
                <c:ptCount val="74"/>
                <c:pt idx="0">
                  <c:v>-1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  <c:pt idx="42">
                  <c:v>20.5</c:v>
                </c:pt>
                <c:pt idx="43">
                  <c:v>21</c:v>
                </c:pt>
                <c:pt idx="44">
                  <c:v>21.5</c:v>
                </c:pt>
                <c:pt idx="45">
                  <c:v>22</c:v>
                </c:pt>
                <c:pt idx="46">
                  <c:v>22.5</c:v>
                </c:pt>
                <c:pt idx="47">
                  <c:v>23</c:v>
                </c:pt>
                <c:pt idx="48">
                  <c:v>23.5</c:v>
                </c:pt>
                <c:pt idx="49">
                  <c:v>24</c:v>
                </c:pt>
                <c:pt idx="50">
                  <c:v>24.5</c:v>
                </c:pt>
                <c:pt idx="51">
                  <c:v>25</c:v>
                </c:pt>
                <c:pt idx="52">
                  <c:v>25.5</c:v>
                </c:pt>
                <c:pt idx="53">
                  <c:v>26</c:v>
                </c:pt>
                <c:pt idx="54">
                  <c:v>26.5</c:v>
                </c:pt>
                <c:pt idx="55">
                  <c:v>27</c:v>
                </c:pt>
                <c:pt idx="56">
                  <c:v>27.5</c:v>
                </c:pt>
                <c:pt idx="57">
                  <c:v>28</c:v>
                </c:pt>
                <c:pt idx="58">
                  <c:v>28.5</c:v>
                </c:pt>
                <c:pt idx="59">
                  <c:v>29</c:v>
                </c:pt>
                <c:pt idx="60">
                  <c:v>29.5</c:v>
                </c:pt>
                <c:pt idx="61">
                  <c:v>30</c:v>
                </c:pt>
                <c:pt idx="62">
                  <c:v>30.5</c:v>
                </c:pt>
                <c:pt idx="63">
                  <c:v>31</c:v>
                </c:pt>
                <c:pt idx="64">
                  <c:v>31.5</c:v>
                </c:pt>
                <c:pt idx="65">
                  <c:v>32</c:v>
                </c:pt>
                <c:pt idx="66">
                  <c:v>32.5</c:v>
                </c:pt>
                <c:pt idx="67">
                  <c:v>33</c:v>
                </c:pt>
                <c:pt idx="68">
                  <c:v>33.5</c:v>
                </c:pt>
                <c:pt idx="69">
                  <c:v>34</c:v>
                </c:pt>
                <c:pt idx="70">
                  <c:v>34.5</c:v>
                </c:pt>
                <c:pt idx="71">
                  <c:v>35</c:v>
                </c:pt>
                <c:pt idx="72">
                  <c:v>35.5</c:v>
                </c:pt>
                <c:pt idx="73">
                  <c:v>36</c:v>
                </c:pt>
              </c:numCache>
            </c:numRef>
          </c:cat>
          <c:val>
            <c:numRef>
              <c:f>AMGEmpiricDosing!$B$75:$B$148</c:f>
              <c:numCache>
                <c:formatCode>0.0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51-4456-84A4-B467AAAD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23216"/>
        <c:axId val="1"/>
      </c:lineChart>
      <c:catAx>
        <c:axId val="201072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Hours</a:t>
                </a:r>
              </a:p>
            </c:rich>
          </c:tx>
          <c:layout>
            <c:manualLayout>
              <c:xMode val="edge"/>
              <c:yMode val="edge"/>
              <c:x val="0.50423765885196559"/>
              <c:y val="0.895044956115179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mg/L</a:t>
                </a:r>
              </a:p>
            </c:rich>
          </c:tx>
          <c:layout>
            <c:manualLayout>
              <c:xMode val="edge"/>
              <c:yMode val="edge"/>
              <c:x val="9.887005649717515E-3"/>
              <c:y val="0.376093906629018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23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009476355935881E-2"/>
          <c:y val="7.2886401134294621E-2"/>
          <c:w val="0.95078893643685192"/>
          <c:h val="0.6997094508892283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AMGEmpiricTouch!$A$86:$A$159</c:f>
              <c:numCache>
                <c:formatCode>General</c:formatCode>
                <c:ptCount val="74"/>
                <c:pt idx="0">
                  <c:v>-1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  <c:pt idx="42">
                  <c:v>20.5</c:v>
                </c:pt>
                <c:pt idx="43">
                  <c:v>21</c:v>
                </c:pt>
                <c:pt idx="44">
                  <c:v>21.5</c:v>
                </c:pt>
                <c:pt idx="45">
                  <c:v>22</c:v>
                </c:pt>
                <c:pt idx="46">
                  <c:v>22.5</c:v>
                </c:pt>
                <c:pt idx="47">
                  <c:v>23</c:v>
                </c:pt>
                <c:pt idx="48">
                  <c:v>23.5</c:v>
                </c:pt>
                <c:pt idx="49">
                  <c:v>24</c:v>
                </c:pt>
                <c:pt idx="50">
                  <c:v>24.5</c:v>
                </c:pt>
                <c:pt idx="51">
                  <c:v>25</c:v>
                </c:pt>
                <c:pt idx="52">
                  <c:v>25.5</c:v>
                </c:pt>
                <c:pt idx="53">
                  <c:v>26</c:v>
                </c:pt>
                <c:pt idx="54">
                  <c:v>26.5</c:v>
                </c:pt>
                <c:pt idx="55">
                  <c:v>27</c:v>
                </c:pt>
                <c:pt idx="56">
                  <c:v>27.5</c:v>
                </c:pt>
                <c:pt idx="57">
                  <c:v>28</c:v>
                </c:pt>
                <c:pt idx="58">
                  <c:v>28.5</c:v>
                </c:pt>
                <c:pt idx="59">
                  <c:v>29</c:v>
                </c:pt>
                <c:pt idx="60">
                  <c:v>29.5</c:v>
                </c:pt>
                <c:pt idx="61">
                  <c:v>30</c:v>
                </c:pt>
                <c:pt idx="62">
                  <c:v>30.5</c:v>
                </c:pt>
                <c:pt idx="63">
                  <c:v>31</c:v>
                </c:pt>
                <c:pt idx="64">
                  <c:v>31.5</c:v>
                </c:pt>
                <c:pt idx="65">
                  <c:v>32</c:v>
                </c:pt>
                <c:pt idx="66">
                  <c:v>32.5</c:v>
                </c:pt>
                <c:pt idx="67">
                  <c:v>33</c:v>
                </c:pt>
                <c:pt idx="68">
                  <c:v>33.5</c:v>
                </c:pt>
                <c:pt idx="69">
                  <c:v>34</c:v>
                </c:pt>
                <c:pt idx="70">
                  <c:v>34.5</c:v>
                </c:pt>
                <c:pt idx="71">
                  <c:v>35</c:v>
                </c:pt>
                <c:pt idx="72">
                  <c:v>35.5</c:v>
                </c:pt>
                <c:pt idx="73">
                  <c:v>36</c:v>
                </c:pt>
              </c:numCache>
            </c:numRef>
          </c:cat>
          <c:val>
            <c:numRef>
              <c:f>AMGEmpiricTouch!$B$86:$B$159</c:f>
              <c:numCache>
                <c:formatCode>0.0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01-4554-801C-D0431CE55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18416"/>
        <c:axId val="1"/>
      </c:lineChart>
      <c:catAx>
        <c:axId val="2010718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Hours</a:t>
                </a:r>
              </a:p>
            </c:rich>
          </c:tx>
          <c:layout>
            <c:manualLayout>
              <c:xMode val="edge"/>
              <c:yMode val="edge"/>
              <c:x val="0.50410107884779387"/>
              <c:y val="0.895044956115179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mg/L</a:t>
                </a:r>
              </a:p>
            </c:rich>
          </c:tx>
          <c:layout>
            <c:manualLayout>
              <c:xMode val="edge"/>
              <c:yMode val="edge"/>
              <c:x val="8.8328075709779175E-3"/>
              <c:y val="0.376093906629018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18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65688969653182E-2"/>
          <c:y val="4.0322580645161289E-2"/>
          <c:w val="0.90659502810752224"/>
          <c:h val="0.8935483870967742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AMGtlk!$K$56:$K$89</c:f>
              <c:numCache>
                <c:formatCode>h:mm;@</c:formatCode>
                <c:ptCount val="34"/>
                <c:pt idx="0">
                  <c:v>43934</c:v>
                </c:pt>
                <c:pt idx="1">
                  <c:v>43935.020833333336</c:v>
                </c:pt>
                <c:pt idx="2">
                  <c:v>43936.041666666672</c:v>
                </c:pt>
                <c:pt idx="3">
                  <c:v>43937.062500000007</c:v>
                </c:pt>
                <c:pt idx="4">
                  <c:v>43938.083333333343</c:v>
                </c:pt>
                <c:pt idx="5">
                  <c:v>43939.104166666679</c:v>
                </c:pt>
                <c:pt idx="6">
                  <c:v>43940.125000000015</c:v>
                </c:pt>
                <c:pt idx="7">
                  <c:v>43941.14583333335</c:v>
                </c:pt>
                <c:pt idx="8">
                  <c:v>43942.166666666686</c:v>
                </c:pt>
                <c:pt idx="9">
                  <c:v>43943.187500000022</c:v>
                </c:pt>
                <c:pt idx="10">
                  <c:v>43944.208333333358</c:v>
                </c:pt>
                <c:pt idx="11">
                  <c:v>43945.229166666693</c:v>
                </c:pt>
                <c:pt idx="12">
                  <c:v>43946.250000000029</c:v>
                </c:pt>
                <c:pt idx="13">
                  <c:v>43947.270833333365</c:v>
                </c:pt>
                <c:pt idx="14">
                  <c:v>43948.291666666701</c:v>
                </c:pt>
                <c:pt idx="15">
                  <c:v>43949.312500000036</c:v>
                </c:pt>
                <c:pt idx="16">
                  <c:v>43950.333333333372</c:v>
                </c:pt>
                <c:pt idx="17">
                  <c:v>43951.354166666708</c:v>
                </c:pt>
                <c:pt idx="18">
                  <c:v>43952.375000000044</c:v>
                </c:pt>
                <c:pt idx="19">
                  <c:v>43953.395833333379</c:v>
                </c:pt>
                <c:pt idx="20">
                  <c:v>43954.416666666715</c:v>
                </c:pt>
                <c:pt idx="21">
                  <c:v>43955.437500000051</c:v>
                </c:pt>
                <c:pt idx="22">
                  <c:v>43956.458333333387</c:v>
                </c:pt>
                <c:pt idx="23">
                  <c:v>43957.479166666722</c:v>
                </c:pt>
                <c:pt idx="24">
                  <c:v>43958.500000000058</c:v>
                </c:pt>
                <c:pt idx="25">
                  <c:v>43959.520833333394</c:v>
                </c:pt>
                <c:pt idx="26">
                  <c:v>43960.54166666673</c:v>
                </c:pt>
                <c:pt idx="27">
                  <c:v>43961.562500000065</c:v>
                </c:pt>
                <c:pt idx="28">
                  <c:v>43962.583333333401</c:v>
                </c:pt>
                <c:pt idx="29">
                  <c:v>43963.604166666737</c:v>
                </c:pt>
                <c:pt idx="30">
                  <c:v>43964.625000000073</c:v>
                </c:pt>
                <c:pt idx="31">
                  <c:v>43965.645833333409</c:v>
                </c:pt>
                <c:pt idx="32">
                  <c:v>43966.666666666744</c:v>
                </c:pt>
                <c:pt idx="33">
                  <c:v>43967.68750000008</c:v>
                </c:pt>
              </c:numCache>
            </c:numRef>
          </c:cat>
          <c:val>
            <c:numRef>
              <c:f>AMGtlk!$L$56:$L$89</c:f>
              <c:numCache>
                <c:formatCode>0.0</c:formatCode>
                <c:ptCount val="3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3-4B05-9DB4-0BB36390A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29216"/>
        <c:axId val="1"/>
      </c:lineChart>
      <c:catAx>
        <c:axId val="201072921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ax val="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29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064982676306528E-2"/>
          <c:y val="5.1759939020321839E-2"/>
          <c:w val="0.91720851924630242"/>
          <c:h val="0.863355782858968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'AMG one level kinetics'!$H$2:$H$25</c:f>
              <c:numCache>
                <c:formatCode>h:mm;@</c:formatCode>
                <c:ptCount val="22"/>
                <c:pt idx="0">
                  <c:v>0</c:v>
                </c:pt>
                <c:pt idx="1">
                  <c:v>1.0416666666666667</c:v>
                </c:pt>
                <c:pt idx="2">
                  <c:v>2.0833333333333335</c:v>
                </c:pt>
                <c:pt idx="3">
                  <c:v>3.125</c:v>
                </c:pt>
                <c:pt idx="4">
                  <c:v>4.166666666666667</c:v>
                </c:pt>
                <c:pt idx="5">
                  <c:v>5.2083333333333339</c:v>
                </c:pt>
                <c:pt idx="6">
                  <c:v>6.2500000000000009</c:v>
                </c:pt>
                <c:pt idx="7">
                  <c:v>7.2916666666666679</c:v>
                </c:pt>
                <c:pt idx="8">
                  <c:v>8.3333333333333339</c:v>
                </c:pt>
                <c:pt idx="9">
                  <c:v>9.375</c:v>
                </c:pt>
                <c:pt idx="10">
                  <c:v>10.416666666666666</c:v>
                </c:pt>
                <c:pt idx="11">
                  <c:v>11.458333333333332</c:v>
                </c:pt>
                <c:pt idx="12">
                  <c:v>12.499999999999998</c:v>
                </c:pt>
                <c:pt idx="13">
                  <c:v>13.541666666666664</c:v>
                </c:pt>
                <c:pt idx="14">
                  <c:v>14.58333333333333</c:v>
                </c:pt>
                <c:pt idx="15">
                  <c:v>15.624999999999996</c:v>
                </c:pt>
                <c:pt idx="16">
                  <c:v>16.666666666666664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'AMG one level kinetics'!$I$2:$I$25</c:f>
              <c:numCache>
                <c:formatCode>0.0</c:formatCode>
                <c:ptCount val="22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7-4876-8299-FE7ACA0C8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716016"/>
        <c:axId val="1"/>
      </c:lineChart>
      <c:catAx>
        <c:axId val="201071601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ax val="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716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4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5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857250</xdr:colOff>
      <xdr:row>4</xdr:row>
      <xdr:rowOff>638175</xdr:rowOff>
    </xdr:from>
    <xdr:to>
      <xdr:col>4</xdr:col>
      <xdr:colOff>2581275</xdr:colOff>
      <xdr:row>6</xdr:row>
      <xdr:rowOff>257175</xdr:rowOff>
    </xdr:to>
    <xdr:sp macro="[0]!AutoShape54_Click" textlink="">
      <xdr:nvSpPr>
        <xdr:cNvPr id="906654" name="AutoShape 25">
          <a:extLst>
            <a:ext uri="{FF2B5EF4-FFF2-40B4-BE49-F238E27FC236}">
              <a16:creationId xmlns:a16="http://schemas.microsoft.com/office/drawing/2014/main" id="{82776B36-5BA0-4660-9C33-029CCB39BE32}"/>
            </a:ext>
          </a:extLst>
        </xdr:cNvPr>
        <xdr:cNvSpPr>
          <a:spLocks noChangeArrowheads="1"/>
        </xdr:cNvSpPr>
      </xdr:nvSpPr>
      <xdr:spPr bwMode="auto">
        <a:xfrm rot="1800000">
          <a:off x="2600325" y="1733550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2352675</xdr:colOff>
      <xdr:row>4</xdr:row>
      <xdr:rowOff>628650</xdr:rowOff>
    </xdr:from>
    <xdr:to>
      <xdr:col>4</xdr:col>
      <xdr:colOff>4076700</xdr:colOff>
      <xdr:row>6</xdr:row>
      <xdr:rowOff>247650</xdr:rowOff>
    </xdr:to>
    <xdr:sp macro="[0]!AutoShape47_Click" textlink="">
      <xdr:nvSpPr>
        <xdr:cNvPr id="906655" name="AutoShape 31">
          <a:extLst>
            <a:ext uri="{FF2B5EF4-FFF2-40B4-BE49-F238E27FC236}">
              <a16:creationId xmlns:a16="http://schemas.microsoft.com/office/drawing/2014/main" id="{8F20B493-70EA-4DAB-9200-CD3CA092E753}"/>
            </a:ext>
          </a:extLst>
        </xdr:cNvPr>
        <xdr:cNvSpPr>
          <a:spLocks noChangeArrowheads="1"/>
        </xdr:cNvSpPr>
      </xdr:nvSpPr>
      <xdr:spPr bwMode="auto">
        <a:xfrm rot="1800000">
          <a:off x="4095750" y="1724025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val="7F7F7F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1595717</xdr:colOff>
      <xdr:row>6</xdr:row>
      <xdr:rowOff>40902</xdr:rowOff>
    </xdr:from>
    <xdr:to>
      <xdr:col>4</xdr:col>
      <xdr:colOff>3319742</xdr:colOff>
      <xdr:row>7</xdr:row>
      <xdr:rowOff>612402</xdr:rowOff>
    </xdr:to>
    <xdr:sp macro="" textlink="">
      <xdr:nvSpPr>
        <xdr:cNvPr id="19490" name="AutoShape 34">
          <a:extLst>
            <a:ext uri="{FF2B5EF4-FFF2-40B4-BE49-F238E27FC236}">
              <a16:creationId xmlns:a16="http://schemas.microsoft.com/office/drawing/2014/main" id="{AE32C679-01A8-4394-B887-D11D1B2F576E}"/>
            </a:ext>
          </a:extLst>
        </xdr:cNvPr>
        <xdr:cNvSpPr>
          <a:spLocks noChangeArrowheads="1"/>
        </xdr:cNvSpPr>
      </xdr:nvSpPr>
      <xdr:spPr bwMode="auto">
        <a:xfrm rot="1800000">
          <a:off x="3355041" y="3032873"/>
          <a:ext cx="1724025" cy="1524000"/>
        </a:xfrm>
        <a:prstGeom prst="hexagon">
          <a:avLst>
            <a:gd name="adj" fmla="val 28281"/>
            <a:gd name="vf" fmla="val 115470"/>
          </a:avLst>
        </a:prstGeom>
        <a:gradFill rotWithShape="1">
          <a:gsLst>
            <a:gs pos="0">
              <a:srgbClr val="000000">
                <a:alpha val="63000"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19800000" scaled="0"/>
        </a:gra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4</xdr:col>
      <xdr:colOff>66675</xdr:colOff>
      <xdr:row>8</xdr:row>
      <xdr:rowOff>790575</xdr:rowOff>
    </xdr:from>
    <xdr:to>
      <xdr:col>4</xdr:col>
      <xdr:colOff>1790700</xdr:colOff>
      <xdr:row>10</xdr:row>
      <xdr:rowOff>409575</xdr:rowOff>
    </xdr:to>
    <xdr:sp macro="[0]!AutoShape38_Click" textlink="">
      <xdr:nvSpPr>
        <xdr:cNvPr id="906657" name="AutoShape 38">
          <a:extLst>
            <a:ext uri="{FF2B5EF4-FFF2-40B4-BE49-F238E27FC236}">
              <a16:creationId xmlns:a16="http://schemas.microsoft.com/office/drawing/2014/main" id="{7B5DCAE2-E3B0-4A4E-9492-676BC224A2D8}"/>
            </a:ext>
          </a:extLst>
        </xdr:cNvPr>
        <xdr:cNvSpPr>
          <a:spLocks noChangeArrowheads="1"/>
        </xdr:cNvSpPr>
      </xdr:nvSpPr>
      <xdr:spPr bwMode="auto">
        <a:xfrm rot="1800000">
          <a:off x="1809750" y="5695950"/>
          <a:ext cx="1724025" cy="1524000"/>
        </a:xfrm>
        <a:prstGeom prst="hexagon">
          <a:avLst>
            <a:gd name="adj" fmla="val 28077"/>
            <a:gd name="vf" fmla="val 115470"/>
          </a:avLst>
        </a:prstGeom>
        <a:solidFill>
          <a:srgbClr val="7F7F7F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1552575</xdr:colOff>
      <xdr:row>8</xdr:row>
      <xdr:rowOff>771525</xdr:rowOff>
    </xdr:from>
    <xdr:to>
      <xdr:col>4</xdr:col>
      <xdr:colOff>3276600</xdr:colOff>
      <xdr:row>10</xdr:row>
      <xdr:rowOff>390525</xdr:rowOff>
    </xdr:to>
    <xdr:sp macro="[0]!AutoShape41_Click" textlink="">
      <xdr:nvSpPr>
        <xdr:cNvPr id="906658" name="AutoShape 41">
          <a:extLst>
            <a:ext uri="{FF2B5EF4-FFF2-40B4-BE49-F238E27FC236}">
              <a16:creationId xmlns:a16="http://schemas.microsoft.com/office/drawing/2014/main" id="{42FFF3A1-0009-447D-9487-B2EA6E9F9D16}"/>
            </a:ext>
          </a:extLst>
        </xdr:cNvPr>
        <xdr:cNvSpPr>
          <a:spLocks noChangeArrowheads="1"/>
        </xdr:cNvSpPr>
      </xdr:nvSpPr>
      <xdr:spPr bwMode="auto">
        <a:xfrm rot="1800000">
          <a:off x="3295650" y="5676900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absolute">
    <xdr:from>
      <xdr:col>4</xdr:col>
      <xdr:colOff>81243</xdr:colOff>
      <xdr:row>6</xdr:row>
      <xdr:rowOff>58831</xdr:rowOff>
    </xdr:from>
    <xdr:to>
      <xdr:col>4</xdr:col>
      <xdr:colOff>1805268</xdr:colOff>
      <xdr:row>7</xdr:row>
      <xdr:rowOff>630331</xdr:rowOff>
    </xdr:to>
    <xdr:sp macro="[0]!AutoShape54_Click" textlink="">
      <xdr:nvSpPr>
        <xdr:cNvPr id="19510" name="AutoShape 54">
          <a:extLst>
            <a:ext uri="{FF2B5EF4-FFF2-40B4-BE49-F238E27FC236}">
              <a16:creationId xmlns:a16="http://schemas.microsoft.com/office/drawing/2014/main" id="{AA6106AE-B341-4711-B169-A5B5CA468CA2}"/>
            </a:ext>
          </a:extLst>
        </xdr:cNvPr>
        <xdr:cNvSpPr>
          <a:spLocks noChangeArrowheads="1"/>
        </xdr:cNvSpPr>
      </xdr:nvSpPr>
      <xdr:spPr bwMode="auto">
        <a:xfrm rot="1800000">
          <a:off x="1840567" y="3050802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500" b="0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Vancomycin </a:t>
          </a:r>
          <a:r>
            <a:rPr lang="en-US" sz="1600" b="1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Empiric Dosing Calculator</a:t>
          </a:r>
        </a:p>
      </xdr:txBody>
    </xdr:sp>
    <xdr:clientData/>
  </xdr:twoCellAnchor>
  <xdr:twoCellAnchor>
    <xdr:from>
      <xdr:col>5</xdr:col>
      <xdr:colOff>254373</xdr:colOff>
      <xdr:row>6</xdr:row>
      <xdr:rowOff>20169</xdr:rowOff>
    </xdr:from>
    <xdr:to>
      <xdr:col>5</xdr:col>
      <xdr:colOff>1978398</xdr:colOff>
      <xdr:row>7</xdr:row>
      <xdr:rowOff>591669</xdr:rowOff>
    </xdr:to>
    <xdr:sp macro="[0]!AutoShape57_Click" textlink="">
      <xdr:nvSpPr>
        <xdr:cNvPr id="19513" name="AutoShape 57">
          <a:extLst>
            <a:ext uri="{FF2B5EF4-FFF2-40B4-BE49-F238E27FC236}">
              <a16:creationId xmlns:a16="http://schemas.microsoft.com/office/drawing/2014/main" id="{E6FB7A03-14EB-4F65-9756-66A7DC82F90C}"/>
            </a:ext>
          </a:extLst>
        </xdr:cNvPr>
        <xdr:cNvSpPr>
          <a:spLocks noChangeArrowheads="1"/>
        </xdr:cNvSpPr>
      </xdr:nvSpPr>
      <xdr:spPr bwMode="auto">
        <a:xfrm rot="1800000">
          <a:off x="6361579" y="3012140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Aminoglycoside </a:t>
          </a:r>
          <a:r>
            <a:rPr lang="en-US" sz="1600" b="1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Empiric Dosing Calculator</a:t>
          </a:r>
        </a:p>
      </xdr:txBody>
    </xdr:sp>
    <xdr:clientData/>
  </xdr:twoCellAnchor>
  <xdr:twoCellAnchor>
    <xdr:from>
      <xdr:col>5</xdr:col>
      <xdr:colOff>1743075</xdr:colOff>
      <xdr:row>6</xdr:row>
      <xdr:rowOff>0</xdr:rowOff>
    </xdr:from>
    <xdr:to>
      <xdr:col>6</xdr:col>
      <xdr:colOff>800100</xdr:colOff>
      <xdr:row>7</xdr:row>
      <xdr:rowOff>571500</xdr:rowOff>
    </xdr:to>
    <xdr:sp macro="[0]!AutoShape57_Click" textlink="">
      <xdr:nvSpPr>
        <xdr:cNvPr id="906661" name="AutoShape 58">
          <a:extLst>
            <a:ext uri="{FF2B5EF4-FFF2-40B4-BE49-F238E27FC236}">
              <a16:creationId xmlns:a16="http://schemas.microsoft.com/office/drawing/2014/main" id="{728640EF-95AA-4B25-9BEC-0873883862E3}"/>
            </a:ext>
          </a:extLst>
        </xdr:cNvPr>
        <xdr:cNvSpPr>
          <a:spLocks noChangeArrowheads="1"/>
        </xdr:cNvSpPr>
      </xdr:nvSpPr>
      <xdr:spPr bwMode="auto">
        <a:xfrm rot="1800000">
          <a:off x="7829550" y="3000375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600075</xdr:colOff>
      <xdr:row>6</xdr:row>
      <xdr:rowOff>9525</xdr:rowOff>
    </xdr:from>
    <xdr:to>
      <xdr:col>6</xdr:col>
      <xdr:colOff>2324100</xdr:colOff>
      <xdr:row>7</xdr:row>
      <xdr:rowOff>581025</xdr:rowOff>
    </xdr:to>
    <xdr:sp macro="[0]!AutoShape61_Click" textlink="">
      <xdr:nvSpPr>
        <xdr:cNvPr id="906662" name="AutoShape 61">
          <a:extLst>
            <a:ext uri="{FF2B5EF4-FFF2-40B4-BE49-F238E27FC236}">
              <a16:creationId xmlns:a16="http://schemas.microsoft.com/office/drawing/2014/main" id="{7B31DA26-AD49-4004-B51F-9730F213BE99}"/>
            </a:ext>
          </a:extLst>
        </xdr:cNvPr>
        <xdr:cNvSpPr>
          <a:spLocks noChangeArrowheads="1"/>
        </xdr:cNvSpPr>
      </xdr:nvSpPr>
      <xdr:spPr bwMode="auto">
        <a:xfrm rot="1800000">
          <a:off x="9353550" y="3009900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val="7F7F7F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242607</xdr:colOff>
      <xdr:row>8</xdr:row>
      <xdr:rowOff>755835</xdr:rowOff>
    </xdr:from>
    <xdr:to>
      <xdr:col>5</xdr:col>
      <xdr:colOff>1971114</xdr:colOff>
      <xdr:row>10</xdr:row>
      <xdr:rowOff>374835</xdr:rowOff>
    </xdr:to>
    <xdr:sp macro="[0]!AutoShape66_Click" textlink="">
      <xdr:nvSpPr>
        <xdr:cNvPr id="19522" name="AutoShape 66">
          <a:extLst>
            <a:ext uri="{FF2B5EF4-FFF2-40B4-BE49-F238E27FC236}">
              <a16:creationId xmlns:a16="http://schemas.microsoft.com/office/drawing/2014/main" id="{903CDEA7-8053-47C1-9291-83F4C3571A5B}"/>
            </a:ext>
          </a:extLst>
        </xdr:cNvPr>
        <xdr:cNvSpPr>
          <a:spLocks noChangeArrowheads="1"/>
        </xdr:cNvSpPr>
      </xdr:nvSpPr>
      <xdr:spPr bwMode="auto">
        <a:xfrm rot="1800000">
          <a:off x="6349813" y="5652806"/>
          <a:ext cx="1728507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200" b="0" i="0" u="none" strike="noStrike" baseline="0">
            <a:solidFill>
              <a:srgbClr val="FFFFFF"/>
            </a:solidFill>
            <a:latin typeface="Tahoma"/>
            <a:ea typeface="Tahoma"/>
            <a:cs typeface="Tahoma"/>
          </a:endParaRPr>
        </a:p>
        <a:p>
          <a:pPr algn="ctr" rtl="0">
            <a:defRPr sz="1000"/>
          </a:pPr>
          <a:r>
            <a:rPr lang="en-US" sz="1200" b="0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Aminoglycoside </a:t>
          </a:r>
          <a:r>
            <a:rPr lang="en-US" sz="1600" b="1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2-level PK Calculator</a:t>
          </a:r>
        </a:p>
      </xdr:txBody>
    </xdr:sp>
    <xdr:clientData/>
  </xdr:twoCellAnchor>
  <xdr:twoCellAnchor>
    <xdr:from>
      <xdr:col>4</xdr:col>
      <xdr:colOff>3819525</xdr:colOff>
      <xdr:row>10</xdr:row>
      <xdr:rowOff>133350</xdr:rowOff>
    </xdr:from>
    <xdr:to>
      <xdr:col>5</xdr:col>
      <xdr:colOff>1190625</xdr:colOff>
      <xdr:row>11</xdr:row>
      <xdr:rowOff>704850</xdr:rowOff>
    </xdr:to>
    <xdr:sp macro="[0]!AutoShape66_Click" textlink="">
      <xdr:nvSpPr>
        <xdr:cNvPr id="906664" name="AutoShape 73">
          <a:extLst>
            <a:ext uri="{FF2B5EF4-FFF2-40B4-BE49-F238E27FC236}">
              <a16:creationId xmlns:a16="http://schemas.microsoft.com/office/drawing/2014/main" id="{AF393277-1C30-4776-9ACC-AA8583898041}"/>
            </a:ext>
          </a:extLst>
        </xdr:cNvPr>
        <xdr:cNvSpPr>
          <a:spLocks noChangeArrowheads="1"/>
        </xdr:cNvSpPr>
      </xdr:nvSpPr>
      <xdr:spPr bwMode="auto">
        <a:xfrm rot="1800000">
          <a:off x="5562600" y="6943725"/>
          <a:ext cx="1714500" cy="1524000"/>
        </a:xfrm>
        <a:prstGeom prst="hexagon">
          <a:avLst>
            <a:gd name="adj" fmla="val 28052"/>
            <a:gd name="vf" fmla="val 115470"/>
          </a:avLst>
        </a:prstGeom>
        <a:solidFill>
          <a:srgbClr val="7F7F7F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981075</xdr:colOff>
      <xdr:row>10</xdr:row>
      <xdr:rowOff>152400</xdr:rowOff>
    </xdr:from>
    <xdr:to>
      <xdr:col>6</xdr:col>
      <xdr:colOff>38100</xdr:colOff>
      <xdr:row>11</xdr:row>
      <xdr:rowOff>723900</xdr:rowOff>
    </xdr:to>
    <xdr:sp macro="[0]!Oval78_Click" textlink="">
      <xdr:nvSpPr>
        <xdr:cNvPr id="906665" name="AutoShape 76">
          <a:extLst>
            <a:ext uri="{FF2B5EF4-FFF2-40B4-BE49-F238E27FC236}">
              <a16:creationId xmlns:a16="http://schemas.microsoft.com/office/drawing/2014/main" id="{E3749163-6B0B-4545-BB71-27624731D6CF}"/>
            </a:ext>
          </a:extLst>
        </xdr:cNvPr>
        <xdr:cNvSpPr>
          <a:spLocks noChangeArrowheads="1"/>
        </xdr:cNvSpPr>
      </xdr:nvSpPr>
      <xdr:spPr bwMode="auto">
        <a:xfrm rot="1800000">
          <a:off x="7067550" y="6962775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4333875</xdr:colOff>
      <xdr:row>10</xdr:row>
      <xdr:rowOff>533400</xdr:rowOff>
    </xdr:from>
    <xdr:to>
      <xdr:col>5</xdr:col>
      <xdr:colOff>733425</xdr:colOff>
      <xdr:row>11</xdr:row>
      <xdr:rowOff>314325</xdr:rowOff>
    </xdr:to>
    <xdr:grpSp>
      <xdr:nvGrpSpPr>
        <xdr:cNvPr id="906666" name="Group 3">
          <a:extLst>
            <a:ext uri="{FF2B5EF4-FFF2-40B4-BE49-F238E27FC236}">
              <a16:creationId xmlns:a16="http://schemas.microsoft.com/office/drawing/2014/main" id="{64450999-5673-47E2-9392-66FA04802C29}"/>
            </a:ext>
          </a:extLst>
        </xdr:cNvPr>
        <xdr:cNvGrpSpPr>
          <a:grpSpLocks/>
        </xdr:cNvGrpSpPr>
      </xdr:nvGrpSpPr>
      <xdr:grpSpPr bwMode="auto">
        <a:xfrm>
          <a:off x="6093199" y="7335371"/>
          <a:ext cx="747432" cy="733425"/>
          <a:chOff x="6093759" y="7330888"/>
          <a:chExt cx="742950" cy="733426"/>
        </a:xfrm>
      </xdr:grpSpPr>
      <xdr:sp macro="[0]!AutoShape66_Click" textlink="">
        <xdr:nvSpPr>
          <xdr:cNvPr id="906700" name="Oval 75" descr="laptop-512">
            <a:extLst>
              <a:ext uri="{FF2B5EF4-FFF2-40B4-BE49-F238E27FC236}">
                <a16:creationId xmlns:a16="http://schemas.microsoft.com/office/drawing/2014/main" id="{70A649F8-021B-4D9D-8B00-4C9C1361D207}"/>
              </a:ext>
            </a:extLst>
          </xdr:cNvPr>
          <xdr:cNvSpPr>
            <a:spLocks noChangeArrowheads="1"/>
          </xdr:cNvSpPr>
        </xdr:nvSpPr>
        <xdr:spPr bwMode="auto">
          <a:xfrm>
            <a:off x="6093759" y="7330888"/>
            <a:ext cx="733425" cy="733425"/>
          </a:xfrm>
          <a:prstGeom prst="ellipse">
            <a:avLst/>
          </a:prstGeom>
          <a:solidFill>
            <a:srgbClr val="FFFFFF"/>
          </a:solidFill>
          <a:ln w="222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[0]!AutoShape66_Click" textlink="">
        <xdr:nvSpPr>
          <xdr:cNvPr id="906701" name="Oval 75" descr="laptop-512">
            <a:extLst>
              <a:ext uri="{FF2B5EF4-FFF2-40B4-BE49-F238E27FC236}">
                <a16:creationId xmlns:a16="http://schemas.microsoft.com/office/drawing/2014/main" id="{4B5C0860-6D01-47C8-BED7-538FA8E5F85E}"/>
              </a:ext>
            </a:extLst>
          </xdr:cNvPr>
          <xdr:cNvSpPr>
            <a:spLocks noChangeArrowheads="1"/>
          </xdr:cNvSpPr>
        </xdr:nvSpPr>
        <xdr:spPr bwMode="auto">
          <a:xfrm>
            <a:off x="6103284" y="7330889"/>
            <a:ext cx="733425" cy="733425"/>
          </a:xfrm>
          <a:prstGeom prst="ellipse">
            <a:avLst/>
          </a:prstGeom>
          <a:blipFill dpi="0" rotWithShape="1">
            <a:blip xmlns:r="http://schemas.openxmlformats.org/officeDocument/2006/relationships" r:embed="rId1"/>
            <a:srcRect/>
            <a:stretch>
              <a:fillRect/>
            </a:stretch>
          </a:blipFill>
          <a:ln w="222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561975</xdr:colOff>
      <xdr:row>9</xdr:row>
      <xdr:rowOff>247650</xdr:rowOff>
    </xdr:from>
    <xdr:to>
      <xdr:col>4</xdr:col>
      <xdr:colOff>1285875</xdr:colOff>
      <xdr:row>10</xdr:row>
      <xdr:rowOff>28575</xdr:rowOff>
    </xdr:to>
    <xdr:sp macro="[0]!AutoShape66_Click" textlink="">
      <xdr:nvSpPr>
        <xdr:cNvPr id="906667" name="Oval 75" descr="laptop-512">
          <a:extLst>
            <a:ext uri="{FF2B5EF4-FFF2-40B4-BE49-F238E27FC236}">
              <a16:creationId xmlns:a16="http://schemas.microsoft.com/office/drawing/2014/main" id="{F7CFDA9C-0CF3-41E8-9C9D-B20F1B00CEA8}"/>
            </a:ext>
          </a:extLst>
        </xdr:cNvPr>
        <xdr:cNvSpPr>
          <a:spLocks noChangeArrowheads="1"/>
        </xdr:cNvSpPr>
      </xdr:nvSpPr>
      <xdr:spPr bwMode="auto">
        <a:xfrm>
          <a:off x="2305050" y="6105525"/>
          <a:ext cx="723900" cy="733425"/>
        </a:xfrm>
        <a:prstGeom prst="ellipse">
          <a:avLst/>
        </a:prstGeom>
        <a:solidFill>
          <a:srgbClr val="FFFFFF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9</xdr:row>
      <xdr:rowOff>247650</xdr:rowOff>
    </xdr:from>
    <xdr:to>
      <xdr:col>4</xdr:col>
      <xdr:colOff>1285875</xdr:colOff>
      <xdr:row>10</xdr:row>
      <xdr:rowOff>28575</xdr:rowOff>
    </xdr:to>
    <xdr:sp macro="[0]!AutoShape38_Click" textlink="">
      <xdr:nvSpPr>
        <xdr:cNvPr id="906668" name="Oval 40" descr="laptop-512">
          <a:extLst>
            <a:ext uri="{FF2B5EF4-FFF2-40B4-BE49-F238E27FC236}">
              <a16:creationId xmlns:a16="http://schemas.microsoft.com/office/drawing/2014/main" id="{EFE09E1D-21A4-4A49-84FD-71362DB68648}"/>
            </a:ext>
          </a:extLst>
        </xdr:cNvPr>
        <xdr:cNvSpPr>
          <a:spLocks noChangeArrowheads="1"/>
        </xdr:cNvSpPr>
      </xdr:nvSpPr>
      <xdr:spPr bwMode="auto">
        <a:xfrm>
          <a:off x="2305050" y="6105525"/>
          <a:ext cx="723900" cy="733425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5</xdr:col>
      <xdr:colOff>2266950</xdr:colOff>
      <xdr:row>6</xdr:row>
      <xdr:rowOff>409575</xdr:rowOff>
    </xdr:from>
    <xdr:to>
      <xdr:col>6</xdr:col>
      <xdr:colOff>333375</xdr:colOff>
      <xdr:row>7</xdr:row>
      <xdr:rowOff>190500</xdr:rowOff>
    </xdr:to>
    <xdr:sp macro="" textlink="">
      <xdr:nvSpPr>
        <xdr:cNvPr id="906669" name="Oval 75" descr="laptop-512">
          <a:extLst>
            <a:ext uri="{FF2B5EF4-FFF2-40B4-BE49-F238E27FC236}">
              <a16:creationId xmlns:a16="http://schemas.microsoft.com/office/drawing/2014/main" id="{4D33F22D-0C94-48CA-A438-2D274F979617}"/>
            </a:ext>
          </a:extLst>
        </xdr:cNvPr>
        <xdr:cNvSpPr>
          <a:spLocks noChangeArrowheads="1"/>
        </xdr:cNvSpPr>
      </xdr:nvSpPr>
      <xdr:spPr bwMode="auto">
        <a:xfrm>
          <a:off x="8353425" y="3409950"/>
          <a:ext cx="733425" cy="733425"/>
        </a:xfrm>
        <a:prstGeom prst="ellipse">
          <a:avLst/>
        </a:prstGeom>
        <a:solidFill>
          <a:srgbClr val="FFFFFF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5</xdr:col>
      <xdr:colOff>2266950</xdr:colOff>
      <xdr:row>6</xdr:row>
      <xdr:rowOff>400050</xdr:rowOff>
    </xdr:from>
    <xdr:to>
      <xdr:col>6</xdr:col>
      <xdr:colOff>333375</xdr:colOff>
      <xdr:row>7</xdr:row>
      <xdr:rowOff>180975</xdr:rowOff>
    </xdr:to>
    <xdr:sp macro="[0]!AutoShape57_Click" textlink="">
      <xdr:nvSpPr>
        <xdr:cNvPr id="906670" name="Oval 60" descr="laptop-512">
          <a:extLst>
            <a:ext uri="{FF2B5EF4-FFF2-40B4-BE49-F238E27FC236}">
              <a16:creationId xmlns:a16="http://schemas.microsoft.com/office/drawing/2014/main" id="{C81A8520-319B-49D4-A736-6C5DC9665E01}"/>
            </a:ext>
          </a:extLst>
        </xdr:cNvPr>
        <xdr:cNvSpPr>
          <a:spLocks noChangeArrowheads="1"/>
        </xdr:cNvSpPr>
      </xdr:nvSpPr>
      <xdr:spPr bwMode="auto">
        <a:xfrm>
          <a:off x="8353425" y="3400425"/>
          <a:ext cx="733425" cy="733425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2335306</xdr:colOff>
      <xdr:row>7</xdr:row>
      <xdr:rowOff>403971</xdr:rowOff>
    </xdr:from>
    <xdr:to>
      <xdr:col>4</xdr:col>
      <xdr:colOff>4059331</xdr:colOff>
      <xdr:row>9</xdr:row>
      <xdr:rowOff>22971</xdr:rowOff>
    </xdr:to>
    <xdr:sp macro="[0]!AutoShape38_Click" textlink="">
      <xdr:nvSpPr>
        <xdr:cNvPr id="54" name="AutoShape 55">
          <a:extLst>
            <a:ext uri="{FF2B5EF4-FFF2-40B4-BE49-F238E27FC236}">
              <a16:creationId xmlns:a16="http://schemas.microsoft.com/office/drawing/2014/main" id="{E75472DD-60BA-410A-8C16-576DE529D861}"/>
            </a:ext>
          </a:extLst>
        </xdr:cNvPr>
        <xdr:cNvSpPr>
          <a:spLocks noChangeArrowheads="1"/>
        </xdr:cNvSpPr>
      </xdr:nvSpPr>
      <xdr:spPr bwMode="auto">
        <a:xfrm rot="1800000">
          <a:off x="4094630" y="4348442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500" b="0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Vancomycin </a:t>
          </a:r>
          <a:r>
            <a:rPr lang="en-US" sz="1600" b="1" i="0" u="none" strike="noStrike" baseline="0">
              <a:solidFill>
                <a:srgbClr val="FFFFFF"/>
              </a:solidFill>
              <a:latin typeface="Tahoma"/>
              <a:ea typeface="Tahoma"/>
              <a:cs typeface="Tahoma"/>
            </a:rPr>
            <a:t>2-level PK Calculator</a:t>
          </a:r>
        </a:p>
      </xdr:txBody>
    </xdr:sp>
    <xdr:clientData/>
  </xdr:twoCellAnchor>
  <xdr:twoCellAnchor>
    <xdr:from>
      <xdr:col>5</xdr:col>
      <xdr:colOff>1741953</xdr:colOff>
      <xdr:row>8</xdr:row>
      <xdr:rowOff>729503</xdr:rowOff>
    </xdr:from>
    <xdr:to>
      <xdr:col>6</xdr:col>
      <xdr:colOff>798978</xdr:colOff>
      <xdr:row>10</xdr:row>
      <xdr:rowOff>348503</xdr:rowOff>
    </xdr:to>
    <xdr:sp macro="" textlink="">
      <xdr:nvSpPr>
        <xdr:cNvPr id="36" name="AutoShape 34">
          <a:extLst>
            <a:ext uri="{FF2B5EF4-FFF2-40B4-BE49-F238E27FC236}">
              <a16:creationId xmlns:a16="http://schemas.microsoft.com/office/drawing/2014/main" id="{8CB1F5BD-E8BC-4969-AFAD-1E024C6CB7F7}"/>
            </a:ext>
          </a:extLst>
        </xdr:cNvPr>
        <xdr:cNvSpPr>
          <a:spLocks noChangeArrowheads="1"/>
        </xdr:cNvSpPr>
      </xdr:nvSpPr>
      <xdr:spPr bwMode="auto">
        <a:xfrm rot="1800000">
          <a:off x="7849159" y="5626474"/>
          <a:ext cx="1724025" cy="1524000"/>
        </a:xfrm>
        <a:prstGeom prst="hexagon">
          <a:avLst>
            <a:gd name="adj" fmla="val 28281"/>
            <a:gd name="vf" fmla="val 115470"/>
          </a:avLst>
        </a:prstGeom>
        <a:gradFill rotWithShape="1">
          <a:gsLst>
            <a:gs pos="100000">
              <a:srgbClr val="000000">
                <a:alpha val="69000"/>
              </a:srgbClr>
            </a:gs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19800000" scaled="0"/>
        </a:gra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4</xdr:col>
      <xdr:colOff>1343025</xdr:colOff>
      <xdr:row>5</xdr:row>
      <xdr:rowOff>9525</xdr:rowOff>
    </xdr:from>
    <xdr:to>
      <xdr:col>4</xdr:col>
      <xdr:colOff>2076450</xdr:colOff>
      <xdr:row>5</xdr:row>
      <xdr:rowOff>742950</xdr:rowOff>
    </xdr:to>
    <xdr:sp macro="" textlink="">
      <xdr:nvSpPr>
        <xdr:cNvPr id="906673" name="Oval 75" descr="laptop-512">
          <a:extLst>
            <a:ext uri="{FF2B5EF4-FFF2-40B4-BE49-F238E27FC236}">
              <a16:creationId xmlns:a16="http://schemas.microsoft.com/office/drawing/2014/main" id="{468A7933-2639-4CB6-BB82-94B0941F118B}"/>
            </a:ext>
          </a:extLst>
        </xdr:cNvPr>
        <xdr:cNvSpPr>
          <a:spLocks noChangeArrowheads="1"/>
        </xdr:cNvSpPr>
      </xdr:nvSpPr>
      <xdr:spPr bwMode="auto">
        <a:xfrm>
          <a:off x="3086100" y="2057400"/>
          <a:ext cx="733425" cy="733425"/>
        </a:xfrm>
        <a:prstGeom prst="ellipse">
          <a:avLst/>
        </a:prstGeom>
        <a:solidFill>
          <a:srgbClr val="FFFFFF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1343025</xdr:colOff>
      <xdr:row>5</xdr:row>
      <xdr:rowOff>9525</xdr:rowOff>
    </xdr:from>
    <xdr:to>
      <xdr:col>4</xdr:col>
      <xdr:colOff>2076450</xdr:colOff>
      <xdr:row>5</xdr:row>
      <xdr:rowOff>742950</xdr:rowOff>
    </xdr:to>
    <xdr:sp macro="[0]!AutoShape54_Click" textlink="">
      <xdr:nvSpPr>
        <xdr:cNvPr id="906674" name="Oval 30" descr="laptop-512">
          <a:extLst>
            <a:ext uri="{FF2B5EF4-FFF2-40B4-BE49-F238E27FC236}">
              <a16:creationId xmlns:a16="http://schemas.microsoft.com/office/drawing/2014/main" id="{7CAB7E4F-683B-4700-BC5C-0796E08A6042}"/>
            </a:ext>
          </a:extLst>
        </xdr:cNvPr>
        <xdr:cNvSpPr>
          <a:spLocks noChangeArrowheads="1"/>
        </xdr:cNvSpPr>
      </xdr:nvSpPr>
      <xdr:spPr bwMode="auto">
        <a:xfrm>
          <a:off x="3086100" y="2057400"/>
          <a:ext cx="733425" cy="733425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3835213</xdr:colOff>
      <xdr:row>7</xdr:row>
      <xdr:rowOff>387725</xdr:rowOff>
    </xdr:from>
    <xdr:to>
      <xdr:col>5</xdr:col>
      <xdr:colOff>1211356</xdr:colOff>
      <xdr:row>9</xdr:row>
      <xdr:rowOff>6725</xdr:rowOff>
    </xdr:to>
    <xdr:sp macro="" textlink="">
      <xdr:nvSpPr>
        <xdr:cNvPr id="84" name="AutoShape 34">
          <a:extLst>
            <a:ext uri="{FF2B5EF4-FFF2-40B4-BE49-F238E27FC236}">
              <a16:creationId xmlns:a16="http://schemas.microsoft.com/office/drawing/2014/main" id="{F9EA5D30-1391-4421-A0FA-AD77D64686CF}"/>
            </a:ext>
          </a:extLst>
        </xdr:cNvPr>
        <xdr:cNvSpPr>
          <a:spLocks noChangeArrowheads="1"/>
        </xdr:cNvSpPr>
      </xdr:nvSpPr>
      <xdr:spPr bwMode="auto">
        <a:xfrm rot="1800000">
          <a:off x="5594537" y="4332196"/>
          <a:ext cx="1724025" cy="1524000"/>
        </a:xfrm>
        <a:prstGeom prst="hexagon">
          <a:avLst>
            <a:gd name="adj" fmla="val 28281"/>
            <a:gd name="vf" fmla="val 115470"/>
          </a:avLst>
        </a:prstGeom>
        <a:gradFill rotWithShape="1">
          <a:gsLst>
            <a:gs pos="100000">
              <a:srgbClr val="000000">
                <a:alpha val="83000"/>
              </a:srgbClr>
            </a:gs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2700000" scaled="1"/>
        </a:gra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4</xdr:col>
      <xdr:colOff>3092822</xdr:colOff>
      <xdr:row>6</xdr:row>
      <xdr:rowOff>36419</xdr:rowOff>
    </xdr:from>
    <xdr:to>
      <xdr:col>5</xdr:col>
      <xdr:colOff>468965</xdr:colOff>
      <xdr:row>7</xdr:row>
      <xdr:rowOff>607919</xdr:rowOff>
    </xdr:to>
    <xdr:sp macro="" textlink="">
      <xdr:nvSpPr>
        <xdr:cNvPr id="59" name="AutoShape 34">
          <a:extLst>
            <a:ext uri="{FF2B5EF4-FFF2-40B4-BE49-F238E27FC236}">
              <a16:creationId xmlns:a16="http://schemas.microsoft.com/office/drawing/2014/main" id="{B75E90FA-6CA4-47AB-8B94-C1182FE2719D}"/>
            </a:ext>
          </a:extLst>
        </xdr:cNvPr>
        <xdr:cNvSpPr>
          <a:spLocks noChangeArrowheads="1"/>
        </xdr:cNvSpPr>
      </xdr:nvSpPr>
      <xdr:spPr bwMode="auto">
        <a:xfrm rot="1800000">
          <a:off x="4852146" y="3028390"/>
          <a:ext cx="1724025" cy="1524000"/>
        </a:xfrm>
        <a:prstGeom prst="hexagon">
          <a:avLst>
            <a:gd name="adj" fmla="val 28281"/>
            <a:gd name="vf" fmla="val 115470"/>
          </a:avLst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4</xdr:col>
      <xdr:colOff>838200</xdr:colOff>
      <xdr:row>7</xdr:row>
      <xdr:rowOff>428625</xdr:rowOff>
    </xdr:from>
    <xdr:to>
      <xdr:col>4</xdr:col>
      <xdr:colOff>2562225</xdr:colOff>
      <xdr:row>9</xdr:row>
      <xdr:rowOff>47625</xdr:rowOff>
    </xdr:to>
    <xdr:sp macro="" textlink="">
      <xdr:nvSpPr>
        <xdr:cNvPr id="906677" name="AutoShape 41">
          <a:extLst>
            <a:ext uri="{FF2B5EF4-FFF2-40B4-BE49-F238E27FC236}">
              <a16:creationId xmlns:a16="http://schemas.microsoft.com/office/drawing/2014/main" id="{92E4153A-7F09-4084-BEB0-DCE9B9037D8B}"/>
            </a:ext>
          </a:extLst>
        </xdr:cNvPr>
        <xdr:cNvSpPr>
          <a:spLocks noChangeArrowheads="1"/>
        </xdr:cNvSpPr>
      </xdr:nvSpPr>
      <xdr:spPr bwMode="auto">
        <a:xfrm rot="1800000">
          <a:off x="2581275" y="4381500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2790825</xdr:colOff>
      <xdr:row>4</xdr:row>
      <xdr:rowOff>895350</xdr:rowOff>
    </xdr:from>
    <xdr:to>
      <xdr:col>4</xdr:col>
      <xdr:colOff>3657600</xdr:colOff>
      <xdr:row>5</xdr:row>
      <xdr:rowOff>847725</xdr:rowOff>
    </xdr:to>
    <xdr:grpSp>
      <xdr:nvGrpSpPr>
        <xdr:cNvPr id="906678" name="Group 61">
          <a:extLst>
            <a:ext uri="{FF2B5EF4-FFF2-40B4-BE49-F238E27FC236}">
              <a16:creationId xmlns:a16="http://schemas.microsoft.com/office/drawing/2014/main" id="{5200DC89-5338-45F2-8CB8-537DF593134C}"/>
            </a:ext>
          </a:extLst>
        </xdr:cNvPr>
        <xdr:cNvGrpSpPr>
          <a:grpSpLocks/>
        </xdr:cNvGrpSpPr>
      </xdr:nvGrpSpPr>
      <xdr:grpSpPr bwMode="auto">
        <a:xfrm>
          <a:off x="4550149" y="1982321"/>
          <a:ext cx="866775" cy="904875"/>
          <a:chOff x="5748620" y="1949825"/>
          <a:chExt cx="1088650" cy="993402"/>
        </a:xfrm>
      </xdr:grpSpPr>
      <xdr:sp macro="" textlink="">
        <xdr:nvSpPr>
          <xdr:cNvPr id="906698" name="Oval 75" descr="laptop-512">
            <a:extLst>
              <a:ext uri="{FF2B5EF4-FFF2-40B4-BE49-F238E27FC236}">
                <a16:creationId xmlns:a16="http://schemas.microsoft.com/office/drawing/2014/main" id="{C135D724-1E8F-4541-8893-DF0AAFC5688F}"/>
              </a:ext>
            </a:extLst>
          </xdr:cNvPr>
          <xdr:cNvSpPr>
            <a:spLocks noChangeArrowheads="1"/>
          </xdr:cNvSpPr>
        </xdr:nvSpPr>
        <xdr:spPr bwMode="auto">
          <a:xfrm>
            <a:off x="5759825" y="1961031"/>
            <a:ext cx="1064557" cy="974910"/>
          </a:xfrm>
          <a:prstGeom prst="ellipse">
            <a:avLst/>
          </a:prstGeom>
          <a:solidFill>
            <a:srgbClr val="FFFFFF"/>
          </a:solidFill>
          <a:ln w="22225">
            <a:solidFill>
              <a:srgbClr val="FFFFFF"/>
            </a:solidFill>
            <a:round/>
            <a:headEnd/>
            <a:tailEnd/>
          </a:ln>
        </xdr:spPr>
      </xdr:sp>
      <xdr:sp macro="[0]!AutoShape47_Click" textlink="">
        <xdr:nvSpPr>
          <xdr:cNvPr id="906699" name="Oval 33" descr="touch-512">
            <a:extLst>
              <a:ext uri="{FF2B5EF4-FFF2-40B4-BE49-F238E27FC236}">
                <a16:creationId xmlns:a16="http://schemas.microsoft.com/office/drawing/2014/main" id="{8BAF99BC-DB30-4C71-80D4-A1255CFB5DAA}"/>
              </a:ext>
            </a:extLst>
          </xdr:cNvPr>
          <xdr:cNvSpPr>
            <a:spLocks noChangeArrowheads="1"/>
          </xdr:cNvSpPr>
        </xdr:nvSpPr>
        <xdr:spPr bwMode="auto">
          <a:xfrm>
            <a:off x="5748620" y="1949825"/>
            <a:ext cx="1088650" cy="993402"/>
          </a:xfrm>
          <a:prstGeom prst="ellipse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/>
            </a:stretch>
          </a:blipFill>
          <a:ln w="222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1438275</xdr:colOff>
      <xdr:row>10</xdr:row>
      <xdr:rowOff>400050</xdr:rowOff>
    </xdr:from>
    <xdr:to>
      <xdr:col>5</xdr:col>
      <xdr:colOff>2305050</xdr:colOff>
      <xdr:row>11</xdr:row>
      <xdr:rowOff>352425</xdr:rowOff>
    </xdr:to>
    <xdr:grpSp>
      <xdr:nvGrpSpPr>
        <xdr:cNvPr id="906679" name="Group 78">
          <a:extLst>
            <a:ext uri="{FF2B5EF4-FFF2-40B4-BE49-F238E27FC236}">
              <a16:creationId xmlns:a16="http://schemas.microsoft.com/office/drawing/2014/main" id="{EF496CF3-4253-4694-A246-AC8CAE9ACB45}"/>
            </a:ext>
          </a:extLst>
        </xdr:cNvPr>
        <xdr:cNvGrpSpPr>
          <a:grpSpLocks/>
        </xdr:cNvGrpSpPr>
      </xdr:nvGrpSpPr>
      <xdr:grpSpPr bwMode="auto">
        <a:xfrm>
          <a:off x="7545481" y="7202021"/>
          <a:ext cx="866775" cy="904875"/>
          <a:chOff x="5748620" y="1949825"/>
          <a:chExt cx="1088650" cy="993402"/>
        </a:xfrm>
      </xdr:grpSpPr>
      <xdr:sp macro="[0]!Oval78_Click" textlink="">
        <xdr:nvSpPr>
          <xdr:cNvPr id="906696" name="Oval 75" descr="laptop-512">
            <a:extLst>
              <a:ext uri="{FF2B5EF4-FFF2-40B4-BE49-F238E27FC236}">
                <a16:creationId xmlns:a16="http://schemas.microsoft.com/office/drawing/2014/main" id="{0E02A805-9ABD-4D01-9A9B-335D559D3AD6}"/>
              </a:ext>
            </a:extLst>
          </xdr:cNvPr>
          <xdr:cNvSpPr>
            <a:spLocks noChangeArrowheads="1"/>
          </xdr:cNvSpPr>
        </xdr:nvSpPr>
        <xdr:spPr bwMode="auto">
          <a:xfrm>
            <a:off x="5759825" y="1961031"/>
            <a:ext cx="1064557" cy="974910"/>
          </a:xfrm>
          <a:prstGeom prst="ellipse">
            <a:avLst/>
          </a:prstGeom>
          <a:solidFill>
            <a:srgbClr val="FFFFFF"/>
          </a:solidFill>
          <a:ln w="22225">
            <a:solidFill>
              <a:srgbClr val="FFFFFF"/>
            </a:solidFill>
            <a:round/>
            <a:headEnd/>
            <a:tailEnd/>
          </a:ln>
        </xdr:spPr>
      </xdr:sp>
      <xdr:sp macro="[0]!Oval78_Click" textlink="">
        <xdr:nvSpPr>
          <xdr:cNvPr id="906697" name="Oval 33" descr="touch-512">
            <a:extLst>
              <a:ext uri="{FF2B5EF4-FFF2-40B4-BE49-F238E27FC236}">
                <a16:creationId xmlns:a16="http://schemas.microsoft.com/office/drawing/2014/main" id="{CC181F59-6AC1-4816-AA95-B32FC13E3D3A}"/>
              </a:ext>
            </a:extLst>
          </xdr:cNvPr>
          <xdr:cNvSpPr>
            <a:spLocks noChangeArrowheads="1"/>
          </xdr:cNvSpPr>
        </xdr:nvSpPr>
        <xdr:spPr bwMode="auto">
          <a:xfrm>
            <a:off x="5748620" y="1949825"/>
            <a:ext cx="1088650" cy="993402"/>
          </a:xfrm>
          <a:prstGeom prst="ellipse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/>
            </a:stretch>
          </a:blipFill>
          <a:ln w="222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990600</xdr:colOff>
      <xdr:row>7</xdr:row>
      <xdr:rowOff>390525</xdr:rowOff>
    </xdr:from>
    <xdr:to>
      <xdr:col>6</xdr:col>
      <xdr:colOff>47625</xdr:colOff>
      <xdr:row>9</xdr:row>
      <xdr:rowOff>9525</xdr:rowOff>
    </xdr:to>
    <xdr:sp macro="" textlink="">
      <xdr:nvSpPr>
        <xdr:cNvPr id="906680" name="AutoShape 73">
          <a:extLst>
            <a:ext uri="{FF2B5EF4-FFF2-40B4-BE49-F238E27FC236}">
              <a16:creationId xmlns:a16="http://schemas.microsoft.com/office/drawing/2014/main" id="{5901F87A-30A3-4DB9-8F99-2641B1FDD7F8}"/>
            </a:ext>
          </a:extLst>
        </xdr:cNvPr>
        <xdr:cNvSpPr>
          <a:spLocks noChangeArrowheads="1"/>
        </xdr:cNvSpPr>
      </xdr:nvSpPr>
      <xdr:spPr bwMode="auto">
        <a:xfrm rot="1800000">
          <a:off x="7077075" y="4343400"/>
          <a:ext cx="1724025" cy="1524000"/>
        </a:xfrm>
        <a:prstGeom prst="hexagon">
          <a:avLst>
            <a:gd name="adj" fmla="val 28208"/>
            <a:gd name="vf" fmla="val 115470"/>
          </a:avLst>
        </a:prstGeom>
        <a:solidFill>
          <a:srgbClr val="7F7F7F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1028700</xdr:colOff>
      <xdr:row>6</xdr:row>
      <xdr:rowOff>285750</xdr:rowOff>
    </xdr:from>
    <xdr:to>
      <xdr:col>6</xdr:col>
      <xdr:colOff>1895475</xdr:colOff>
      <xdr:row>7</xdr:row>
      <xdr:rowOff>238125</xdr:rowOff>
    </xdr:to>
    <xdr:grpSp>
      <xdr:nvGrpSpPr>
        <xdr:cNvPr id="906681" name="Group 82">
          <a:extLst>
            <a:ext uri="{FF2B5EF4-FFF2-40B4-BE49-F238E27FC236}">
              <a16:creationId xmlns:a16="http://schemas.microsoft.com/office/drawing/2014/main" id="{7F0CC91B-894E-429C-955E-3AFDC731F82E}"/>
            </a:ext>
          </a:extLst>
        </xdr:cNvPr>
        <xdr:cNvGrpSpPr>
          <a:grpSpLocks/>
        </xdr:cNvGrpSpPr>
      </xdr:nvGrpSpPr>
      <xdr:grpSpPr bwMode="auto">
        <a:xfrm>
          <a:off x="9802906" y="3277721"/>
          <a:ext cx="866775" cy="904875"/>
          <a:chOff x="5748620" y="1949825"/>
          <a:chExt cx="1088650" cy="993402"/>
        </a:xfrm>
      </xdr:grpSpPr>
      <xdr:sp macro="[0]!AutoShape61_Click" textlink="">
        <xdr:nvSpPr>
          <xdr:cNvPr id="906694" name="Oval 75" descr="laptop-512">
            <a:extLst>
              <a:ext uri="{FF2B5EF4-FFF2-40B4-BE49-F238E27FC236}">
                <a16:creationId xmlns:a16="http://schemas.microsoft.com/office/drawing/2014/main" id="{B23B426A-5C75-4D66-9570-44D8D180398B}"/>
              </a:ext>
            </a:extLst>
          </xdr:cNvPr>
          <xdr:cNvSpPr>
            <a:spLocks noChangeArrowheads="1"/>
          </xdr:cNvSpPr>
        </xdr:nvSpPr>
        <xdr:spPr bwMode="auto">
          <a:xfrm>
            <a:off x="5759825" y="1961031"/>
            <a:ext cx="1064557" cy="974910"/>
          </a:xfrm>
          <a:prstGeom prst="ellipse">
            <a:avLst/>
          </a:prstGeom>
          <a:solidFill>
            <a:srgbClr val="FFFFFF"/>
          </a:solidFill>
          <a:ln w="22225">
            <a:solidFill>
              <a:srgbClr val="FFFFFF"/>
            </a:solidFill>
            <a:round/>
            <a:headEnd/>
            <a:tailEnd/>
          </a:ln>
        </xdr:spPr>
      </xdr:sp>
      <xdr:sp macro="[0]!AutoShape61_Click" textlink="">
        <xdr:nvSpPr>
          <xdr:cNvPr id="906695" name="Oval 33" descr="touch-512">
            <a:extLst>
              <a:ext uri="{FF2B5EF4-FFF2-40B4-BE49-F238E27FC236}">
                <a16:creationId xmlns:a16="http://schemas.microsoft.com/office/drawing/2014/main" id="{9AB71AAC-4360-4143-BE21-BAB608418984}"/>
              </a:ext>
            </a:extLst>
          </xdr:cNvPr>
          <xdr:cNvSpPr>
            <a:spLocks noChangeArrowheads="1"/>
          </xdr:cNvSpPr>
        </xdr:nvSpPr>
        <xdr:spPr bwMode="auto">
          <a:xfrm>
            <a:off x="5748620" y="1949825"/>
            <a:ext cx="1088650" cy="993402"/>
          </a:xfrm>
          <a:prstGeom prst="ellipse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/>
            </a:stretch>
          </a:blipFill>
          <a:ln w="222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571500</xdr:colOff>
      <xdr:row>8</xdr:row>
      <xdr:rowOff>714375</xdr:rowOff>
    </xdr:from>
    <xdr:to>
      <xdr:col>6</xdr:col>
      <xdr:colOff>2295525</xdr:colOff>
      <xdr:row>10</xdr:row>
      <xdr:rowOff>333375</xdr:rowOff>
    </xdr:to>
    <xdr:sp macro="" textlink="">
      <xdr:nvSpPr>
        <xdr:cNvPr id="906682" name="AutoShape 41">
          <a:extLst>
            <a:ext uri="{FF2B5EF4-FFF2-40B4-BE49-F238E27FC236}">
              <a16:creationId xmlns:a16="http://schemas.microsoft.com/office/drawing/2014/main" id="{5B6B7A4F-1AE2-43CF-B21C-22D87DE30D87}"/>
            </a:ext>
          </a:extLst>
        </xdr:cNvPr>
        <xdr:cNvSpPr>
          <a:spLocks noChangeArrowheads="1"/>
        </xdr:cNvSpPr>
      </xdr:nvSpPr>
      <xdr:spPr bwMode="auto">
        <a:xfrm rot="1800000">
          <a:off x="9324975" y="5619750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3076575</xdr:colOff>
      <xdr:row>8</xdr:row>
      <xdr:rowOff>742950</xdr:rowOff>
    </xdr:from>
    <xdr:to>
      <xdr:col>5</xdr:col>
      <xdr:colOff>447675</xdr:colOff>
      <xdr:row>10</xdr:row>
      <xdr:rowOff>361950</xdr:rowOff>
    </xdr:to>
    <xdr:sp macro="" textlink="">
      <xdr:nvSpPr>
        <xdr:cNvPr id="906683" name="AutoShape 73">
          <a:extLst>
            <a:ext uri="{FF2B5EF4-FFF2-40B4-BE49-F238E27FC236}">
              <a16:creationId xmlns:a16="http://schemas.microsoft.com/office/drawing/2014/main" id="{F55E972C-53FB-4D03-B574-EE799E4A8CE5}"/>
            </a:ext>
          </a:extLst>
        </xdr:cNvPr>
        <xdr:cNvSpPr>
          <a:spLocks noChangeArrowheads="1"/>
        </xdr:cNvSpPr>
      </xdr:nvSpPr>
      <xdr:spPr bwMode="auto">
        <a:xfrm rot="1800000">
          <a:off x="4819650" y="5648325"/>
          <a:ext cx="1714500" cy="1524000"/>
        </a:xfrm>
        <a:prstGeom prst="hexagon">
          <a:avLst>
            <a:gd name="adj" fmla="val 28052"/>
            <a:gd name="vf" fmla="val 115470"/>
          </a:avLst>
        </a:prstGeom>
        <a:solidFill>
          <a:srgbClr val="7F7F7F">
            <a:alpha val="50195"/>
          </a:srgbClr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438150</xdr:colOff>
      <xdr:row>10</xdr:row>
      <xdr:rowOff>219075</xdr:rowOff>
    </xdr:from>
    <xdr:to>
      <xdr:col>4</xdr:col>
      <xdr:colOff>1028700</xdr:colOff>
      <xdr:row>11</xdr:row>
      <xdr:rowOff>790575</xdr:rowOff>
    </xdr:to>
    <xdr:sp macro="" textlink="">
      <xdr:nvSpPr>
        <xdr:cNvPr id="906684" name="AutoShape 41">
          <a:extLst>
            <a:ext uri="{FF2B5EF4-FFF2-40B4-BE49-F238E27FC236}">
              <a16:creationId xmlns:a16="http://schemas.microsoft.com/office/drawing/2014/main" id="{0DC14709-02A5-4AD4-B6B9-62E2AD744B7B}"/>
            </a:ext>
          </a:extLst>
        </xdr:cNvPr>
        <xdr:cNvSpPr>
          <a:spLocks noChangeArrowheads="1"/>
        </xdr:cNvSpPr>
      </xdr:nvSpPr>
      <xdr:spPr bwMode="auto">
        <a:xfrm rot="1800000">
          <a:off x="1057275" y="7029450"/>
          <a:ext cx="1714500" cy="1524000"/>
        </a:xfrm>
        <a:prstGeom prst="hexagon">
          <a:avLst>
            <a:gd name="adj" fmla="val 28125"/>
            <a:gd name="vf" fmla="val 115470"/>
          </a:avLst>
        </a:prstGeom>
        <a:solidFill>
          <a:srgbClr val="000000"/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2000250</xdr:colOff>
      <xdr:row>9</xdr:row>
      <xdr:rowOff>95250</xdr:rowOff>
    </xdr:from>
    <xdr:to>
      <xdr:col>4</xdr:col>
      <xdr:colOff>2857500</xdr:colOff>
      <xdr:row>10</xdr:row>
      <xdr:rowOff>47625</xdr:rowOff>
    </xdr:to>
    <xdr:grpSp>
      <xdr:nvGrpSpPr>
        <xdr:cNvPr id="906685" name="Group 92">
          <a:extLst>
            <a:ext uri="{FF2B5EF4-FFF2-40B4-BE49-F238E27FC236}">
              <a16:creationId xmlns:a16="http://schemas.microsoft.com/office/drawing/2014/main" id="{19B8D5A2-FBDF-42EB-872F-18FCF82BBF95}"/>
            </a:ext>
          </a:extLst>
        </xdr:cNvPr>
        <xdr:cNvGrpSpPr>
          <a:grpSpLocks/>
        </xdr:cNvGrpSpPr>
      </xdr:nvGrpSpPr>
      <xdr:grpSpPr bwMode="auto">
        <a:xfrm>
          <a:off x="3759574" y="5944721"/>
          <a:ext cx="857250" cy="904875"/>
          <a:chOff x="5748620" y="1949825"/>
          <a:chExt cx="1088650" cy="993402"/>
        </a:xfrm>
      </xdr:grpSpPr>
      <xdr:sp macro="[0]!AutoShape41_Click" textlink="">
        <xdr:nvSpPr>
          <xdr:cNvPr id="906692" name="Oval 75" descr="laptop-512">
            <a:extLst>
              <a:ext uri="{FF2B5EF4-FFF2-40B4-BE49-F238E27FC236}">
                <a16:creationId xmlns:a16="http://schemas.microsoft.com/office/drawing/2014/main" id="{5B60EB5F-63E7-4507-8E83-9B37216F1C38}"/>
              </a:ext>
            </a:extLst>
          </xdr:cNvPr>
          <xdr:cNvSpPr>
            <a:spLocks noChangeArrowheads="1"/>
          </xdr:cNvSpPr>
        </xdr:nvSpPr>
        <xdr:spPr bwMode="auto">
          <a:xfrm>
            <a:off x="5759825" y="1961031"/>
            <a:ext cx="1064557" cy="974910"/>
          </a:xfrm>
          <a:prstGeom prst="ellipse">
            <a:avLst/>
          </a:prstGeom>
          <a:solidFill>
            <a:srgbClr val="FFFFFF"/>
          </a:solidFill>
          <a:ln w="22225">
            <a:solidFill>
              <a:srgbClr val="FFFFFF"/>
            </a:solidFill>
            <a:round/>
            <a:headEnd/>
            <a:tailEnd/>
          </a:ln>
        </xdr:spPr>
      </xdr:sp>
      <xdr:sp macro="[0]!AutoShape41_Click" textlink="">
        <xdr:nvSpPr>
          <xdr:cNvPr id="906693" name="Oval 33" descr="touch-512">
            <a:extLst>
              <a:ext uri="{FF2B5EF4-FFF2-40B4-BE49-F238E27FC236}">
                <a16:creationId xmlns:a16="http://schemas.microsoft.com/office/drawing/2014/main" id="{4FF005AF-B1FA-4949-824B-268CA67F485A}"/>
              </a:ext>
            </a:extLst>
          </xdr:cNvPr>
          <xdr:cNvSpPr>
            <a:spLocks noChangeArrowheads="1"/>
          </xdr:cNvSpPr>
        </xdr:nvSpPr>
        <xdr:spPr bwMode="auto">
          <a:xfrm>
            <a:off x="5748620" y="1949825"/>
            <a:ext cx="1088650" cy="993402"/>
          </a:xfrm>
          <a:prstGeom prst="ellipse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/>
            </a:stretch>
          </a:blipFill>
          <a:ln w="222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2315132</xdr:colOff>
      <xdr:row>10</xdr:row>
      <xdr:rowOff>155202</xdr:rowOff>
    </xdr:from>
    <xdr:to>
      <xdr:col>4</xdr:col>
      <xdr:colOff>4039157</xdr:colOff>
      <xdr:row>11</xdr:row>
      <xdr:rowOff>726702</xdr:rowOff>
    </xdr:to>
    <xdr:sp macro="" textlink="">
      <xdr:nvSpPr>
        <xdr:cNvPr id="138" name="AutoShape 34">
          <a:extLst>
            <a:ext uri="{FF2B5EF4-FFF2-40B4-BE49-F238E27FC236}">
              <a16:creationId xmlns:a16="http://schemas.microsoft.com/office/drawing/2014/main" id="{7815A3E9-9471-48D8-983F-422D29FC5F8D}"/>
            </a:ext>
          </a:extLst>
        </xdr:cNvPr>
        <xdr:cNvSpPr>
          <a:spLocks noChangeArrowheads="1"/>
        </xdr:cNvSpPr>
      </xdr:nvSpPr>
      <xdr:spPr bwMode="auto">
        <a:xfrm rot="1800000">
          <a:off x="4074456" y="6957173"/>
          <a:ext cx="1724025" cy="1524000"/>
        </a:xfrm>
        <a:prstGeom prst="hexagon">
          <a:avLst>
            <a:gd name="adj" fmla="val 28281"/>
            <a:gd name="vf" fmla="val 115470"/>
          </a:avLst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5</xdr:col>
      <xdr:colOff>2489944</xdr:colOff>
      <xdr:row>7</xdr:row>
      <xdr:rowOff>363631</xdr:rowOff>
    </xdr:from>
    <xdr:to>
      <xdr:col>6</xdr:col>
      <xdr:colOff>1546969</xdr:colOff>
      <xdr:row>8</xdr:row>
      <xdr:rowOff>935131</xdr:rowOff>
    </xdr:to>
    <xdr:sp macro="" textlink="">
      <xdr:nvSpPr>
        <xdr:cNvPr id="139" name="AutoShape 34">
          <a:extLst>
            <a:ext uri="{FF2B5EF4-FFF2-40B4-BE49-F238E27FC236}">
              <a16:creationId xmlns:a16="http://schemas.microsoft.com/office/drawing/2014/main" id="{58903FFD-910F-48FD-B989-C7733487637F}"/>
            </a:ext>
          </a:extLst>
        </xdr:cNvPr>
        <xdr:cNvSpPr>
          <a:spLocks noChangeArrowheads="1"/>
        </xdr:cNvSpPr>
      </xdr:nvSpPr>
      <xdr:spPr bwMode="auto">
        <a:xfrm rot="1800000">
          <a:off x="8597150" y="4308102"/>
          <a:ext cx="1724025" cy="1524000"/>
        </a:xfrm>
        <a:prstGeom prst="hexagon">
          <a:avLst>
            <a:gd name="adj" fmla="val 28281"/>
            <a:gd name="vf" fmla="val 115470"/>
          </a:avLst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6</xdr:col>
      <xdr:colOff>1331255</xdr:colOff>
      <xdr:row>7</xdr:row>
      <xdr:rowOff>359149</xdr:rowOff>
    </xdr:from>
    <xdr:to>
      <xdr:col>6</xdr:col>
      <xdr:colOff>3055280</xdr:colOff>
      <xdr:row>8</xdr:row>
      <xdr:rowOff>930649</xdr:rowOff>
    </xdr:to>
    <xdr:sp macro="" textlink="">
      <xdr:nvSpPr>
        <xdr:cNvPr id="140" name="AutoShape 34">
          <a:extLst>
            <a:ext uri="{FF2B5EF4-FFF2-40B4-BE49-F238E27FC236}">
              <a16:creationId xmlns:a16="http://schemas.microsoft.com/office/drawing/2014/main" id="{85D63462-4C2A-40E7-B1A4-2669E5BD9C18}"/>
            </a:ext>
          </a:extLst>
        </xdr:cNvPr>
        <xdr:cNvSpPr>
          <a:spLocks noChangeArrowheads="1"/>
        </xdr:cNvSpPr>
      </xdr:nvSpPr>
      <xdr:spPr bwMode="auto">
        <a:xfrm rot="1800000">
          <a:off x="10105461" y="4303620"/>
          <a:ext cx="1724025" cy="1524000"/>
        </a:xfrm>
        <a:prstGeom prst="hexagon">
          <a:avLst>
            <a:gd name="adj" fmla="val 28281"/>
            <a:gd name="vf" fmla="val 115470"/>
          </a:avLst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6</xdr:col>
      <xdr:colOff>2084295</xdr:colOff>
      <xdr:row>8</xdr:row>
      <xdr:rowOff>717176</xdr:rowOff>
    </xdr:from>
    <xdr:to>
      <xdr:col>6</xdr:col>
      <xdr:colOff>3808320</xdr:colOff>
      <xdr:row>10</xdr:row>
      <xdr:rowOff>336176</xdr:rowOff>
    </xdr:to>
    <xdr:sp macro="" textlink="">
      <xdr:nvSpPr>
        <xdr:cNvPr id="141" name="AutoShape 34">
          <a:extLst>
            <a:ext uri="{FF2B5EF4-FFF2-40B4-BE49-F238E27FC236}">
              <a16:creationId xmlns:a16="http://schemas.microsoft.com/office/drawing/2014/main" id="{1ABB85A7-DD71-427D-9E32-181E178CEF8F}"/>
            </a:ext>
          </a:extLst>
        </xdr:cNvPr>
        <xdr:cNvSpPr>
          <a:spLocks noChangeArrowheads="1"/>
        </xdr:cNvSpPr>
      </xdr:nvSpPr>
      <xdr:spPr bwMode="auto">
        <a:xfrm rot="1800000">
          <a:off x="10858501" y="5614147"/>
          <a:ext cx="1724025" cy="1524000"/>
        </a:xfrm>
        <a:prstGeom prst="hexagon">
          <a:avLst>
            <a:gd name="adj" fmla="val 28281"/>
            <a:gd name="vf" fmla="val 115470"/>
          </a:avLst>
        </a:prstGeom>
        <a:solidFill>
          <a:schemeClr val="tx1"/>
        </a:solidFill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6</xdr:col>
      <xdr:colOff>2835088</xdr:colOff>
      <xdr:row>7</xdr:row>
      <xdr:rowOff>336177</xdr:rowOff>
    </xdr:from>
    <xdr:to>
      <xdr:col>6</xdr:col>
      <xdr:colOff>4559113</xdr:colOff>
      <xdr:row>8</xdr:row>
      <xdr:rowOff>907677</xdr:rowOff>
    </xdr:to>
    <xdr:sp macro="" textlink="">
      <xdr:nvSpPr>
        <xdr:cNvPr id="142" name="AutoShape 34">
          <a:extLst>
            <a:ext uri="{FF2B5EF4-FFF2-40B4-BE49-F238E27FC236}">
              <a16:creationId xmlns:a16="http://schemas.microsoft.com/office/drawing/2014/main" id="{92C8C2C5-DE11-4AF4-8FFB-E8B450383070}"/>
            </a:ext>
          </a:extLst>
        </xdr:cNvPr>
        <xdr:cNvSpPr>
          <a:spLocks noChangeArrowheads="1"/>
        </xdr:cNvSpPr>
      </xdr:nvSpPr>
      <xdr:spPr bwMode="auto">
        <a:xfrm rot="1800000">
          <a:off x="11609294" y="4280648"/>
          <a:ext cx="1724025" cy="1524000"/>
        </a:xfrm>
        <a:prstGeom prst="hexagon">
          <a:avLst>
            <a:gd name="adj" fmla="val 28281"/>
            <a:gd name="vf" fmla="val 115470"/>
          </a:avLst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  <xdr:twoCellAnchor>
    <xdr:from>
      <xdr:col>6</xdr:col>
      <xdr:colOff>1299881</xdr:colOff>
      <xdr:row>10</xdr:row>
      <xdr:rowOff>123266</xdr:rowOff>
    </xdr:from>
    <xdr:to>
      <xdr:col>6</xdr:col>
      <xdr:colOff>3023906</xdr:colOff>
      <xdr:row>11</xdr:row>
      <xdr:rowOff>694766</xdr:rowOff>
    </xdr:to>
    <xdr:sp macro="" textlink="">
      <xdr:nvSpPr>
        <xdr:cNvPr id="143" name="AutoShape 34">
          <a:extLst>
            <a:ext uri="{FF2B5EF4-FFF2-40B4-BE49-F238E27FC236}">
              <a16:creationId xmlns:a16="http://schemas.microsoft.com/office/drawing/2014/main" id="{6DCB807F-F35C-404E-B65A-3BFE8DAC6F18}"/>
            </a:ext>
          </a:extLst>
        </xdr:cNvPr>
        <xdr:cNvSpPr>
          <a:spLocks noChangeArrowheads="1"/>
        </xdr:cNvSpPr>
      </xdr:nvSpPr>
      <xdr:spPr bwMode="auto">
        <a:xfrm rot="1800000">
          <a:off x="10074087" y="6925237"/>
          <a:ext cx="1724025" cy="1524000"/>
        </a:xfrm>
        <a:prstGeom prst="hexagon">
          <a:avLst>
            <a:gd name="adj" fmla="val 28281"/>
            <a:gd name="vf" fmla="val 115470"/>
          </a:avLst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09728" tIns="96012" rIns="109728" bIns="0" anchor="t" upright="1"/>
        <a:lstStyle/>
        <a:p>
          <a:pPr algn="ctr" rtl="0">
            <a:defRPr sz="1000"/>
          </a:pPr>
          <a:endParaRPr lang="en-US" sz="6000" b="1" i="0" u="none" strike="noStrike" baseline="0">
            <a:solidFill>
              <a:srgbClr val="FFFFFF"/>
            </a:solidFill>
            <a:latin typeface="Sylph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685800</xdr:colOff>
      <xdr:row>39</xdr:row>
      <xdr:rowOff>9525</xdr:rowOff>
    </xdr:from>
    <xdr:to>
      <xdr:col>6</xdr:col>
      <xdr:colOff>1152525</xdr:colOff>
      <xdr:row>51</xdr:row>
      <xdr:rowOff>38100</xdr:rowOff>
    </xdr:to>
    <xdr:pic>
      <xdr:nvPicPr>
        <xdr:cNvPr id="5919" name="Picture 98" descr="DMC6">
          <a:extLst>
            <a:ext uri="{FF2B5EF4-FFF2-40B4-BE49-F238E27FC236}">
              <a16:creationId xmlns:a16="http://schemas.microsoft.com/office/drawing/2014/main" id="{34274B91-5D0D-4A32-9833-C05D76B281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6" t="64369" r="30914" b="880"/>
        <a:stretch>
          <a:fillRect/>
        </a:stretch>
      </xdr:blipFill>
      <xdr:spPr bwMode="auto">
        <a:xfrm>
          <a:off x="8067675" y="4524375"/>
          <a:ext cx="2409825" cy="2257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1476375</xdr:colOff>
      <xdr:row>35</xdr:row>
      <xdr:rowOff>180975</xdr:rowOff>
    </xdr:from>
    <xdr:to>
      <xdr:col>9</xdr:col>
      <xdr:colOff>104775</xdr:colOff>
      <xdr:row>47</xdr:row>
      <xdr:rowOff>114300</xdr:rowOff>
    </xdr:to>
    <xdr:pic>
      <xdr:nvPicPr>
        <xdr:cNvPr id="5920" name="Picture 96" descr="DMC6">
          <a:extLst>
            <a:ext uri="{FF2B5EF4-FFF2-40B4-BE49-F238E27FC236}">
              <a16:creationId xmlns:a16="http://schemas.microsoft.com/office/drawing/2014/main" id="{34C4DB99-49A1-4979-8F69-7C97113F8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914" t="880" r="1076" b="64369"/>
        <a:stretch>
          <a:fillRect/>
        </a:stretch>
      </xdr:blipFill>
      <xdr:spPr bwMode="auto">
        <a:xfrm>
          <a:off x="10801350" y="3952875"/>
          <a:ext cx="2409825" cy="2257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45</xdr:row>
      <xdr:rowOff>28575</xdr:rowOff>
    </xdr:from>
    <xdr:to>
      <xdr:col>10</xdr:col>
      <xdr:colOff>19050</xdr:colOff>
      <xdr:row>65</xdr:row>
      <xdr:rowOff>57150</xdr:rowOff>
    </xdr:to>
    <xdr:graphicFrame macro="">
      <xdr:nvGraphicFramePr>
        <xdr:cNvPr id="5921" name="Chart 34">
          <a:extLst>
            <a:ext uri="{FF2B5EF4-FFF2-40B4-BE49-F238E27FC236}">
              <a16:creationId xmlns:a16="http://schemas.microsoft.com/office/drawing/2014/main" id="{C3287C5B-57A1-4AC5-8BBE-73E1A250EF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47625</xdr:rowOff>
        </xdr:from>
        <xdr:to>
          <xdr:col>3</xdr:col>
          <xdr:colOff>809625</xdr:colOff>
          <xdr:row>7</xdr:row>
          <xdr:rowOff>104775</xdr:rowOff>
        </xdr:to>
        <xdr:sp macro="" textlink="">
          <xdr:nvSpPr>
            <xdr:cNvPr id="5174" name="CommandButton1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9028A768-1813-4032-AD15-7F9BA14DF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847725</xdr:colOff>
          <xdr:row>3</xdr:row>
          <xdr:rowOff>47625</xdr:rowOff>
        </xdr:from>
        <xdr:to>
          <xdr:col>3</xdr:col>
          <xdr:colOff>2238375</xdr:colOff>
          <xdr:row>7</xdr:row>
          <xdr:rowOff>104775</xdr:rowOff>
        </xdr:to>
        <xdr:sp macro="" textlink="">
          <xdr:nvSpPr>
            <xdr:cNvPr id="5177" name="CommandButton2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E4EAAB8D-CFE4-488F-83D5-4BF5E8876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0</xdr:rowOff>
        </xdr:from>
        <xdr:to>
          <xdr:col>3</xdr:col>
          <xdr:colOff>3000375</xdr:colOff>
          <xdr:row>3</xdr:row>
          <xdr:rowOff>28575</xdr:rowOff>
        </xdr:to>
        <xdr:sp macro="" textlink="">
          <xdr:nvSpPr>
            <xdr:cNvPr id="5191" name="CommandButton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A5DD40D6-87FF-4A8E-8FC1-33DEEFEC2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36</xdr:row>
          <xdr:rowOff>28575</xdr:rowOff>
        </xdr:from>
        <xdr:to>
          <xdr:col>6</xdr:col>
          <xdr:colOff>1400175</xdr:colOff>
          <xdr:row>38</xdr:row>
          <xdr:rowOff>180975</xdr:rowOff>
        </xdr:to>
        <xdr:sp macro="" textlink="">
          <xdr:nvSpPr>
            <xdr:cNvPr id="5199" name="CommandButton4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36BB09FF-212D-4CEF-A86D-BF5A1CFA4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26</xdr:row>
      <xdr:rowOff>57150</xdr:rowOff>
    </xdr:from>
    <xdr:to>
      <xdr:col>0</xdr:col>
      <xdr:colOff>1457325</xdr:colOff>
      <xdr:row>40</xdr:row>
      <xdr:rowOff>161925</xdr:rowOff>
    </xdr:to>
    <xdr:pic>
      <xdr:nvPicPr>
        <xdr:cNvPr id="5922" name="Picture 97" descr="DMC6">
          <a:extLst>
            <a:ext uri="{FF2B5EF4-FFF2-40B4-BE49-F238E27FC236}">
              <a16:creationId xmlns:a16="http://schemas.microsoft.com/office/drawing/2014/main" id="{150CAA97-3644-425D-BF91-8E0BC2E21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95" t="1076" r="64369" b="30914"/>
        <a:stretch>
          <a:fillRect/>
        </a:stretch>
      </xdr:blipFill>
      <xdr:spPr bwMode="auto">
        <a:xfrm>
          <a:off x="0" y="2800350"/>
          <a:ext cx="1457325" cy="2085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2276475</xdr:colOff>
          <xdr:row>3</xdr:row>
          <xdr:rowOff>47625</xdr:rowOff>
        </xdr:from>
        <xdr:to>
          <xdr:col>3</xdr:col>
          <xdr:colOff>3000375</xdr:colOff>
          <xdr:row>7</xdr:row>
          <xdr:rowOff>104775</xdr:rowOff>
        </xdr:to>
        <xdr:sp macro="" textlink="">
          <xdr:nvSpPr>
            <xdr:cNvPr id="5492" name="CommandButton5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24731F7E-5585-4082-AB67-656B9203E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628925</xdr:colOff>
      <xdr:row>7</xdr:row>
      <xdr:rowOff>106299</xdr:rowOff>
    </xdr:from>
    <xdr:to>
      <xdr:col>2</xdr:col>
      <xdr:colOff>714755</xdr:colOff>
      <xdr:row>7</xdr:row>
      <xdr:rowOff>142875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48AD97CE-C0E4-45D1-9C60-B10C3F6130ED}"/>
            </a:ext>
          </a:extLst>
        </xdr:cNvPr>
        <xdr:cNvSpPr>
          <a:spLocks noChangeAspect="1"/>
        </xdr:cNvSpPr>
      </xdr:nvSpPr>
      <xdr:spPr>
        <a:xfrm rot="10800000">
          <a:off x="3915050" y="1373124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628925</xdr:colOff>
      <xdr:row>12</xdr:row>
      <xdr:rowOff>77724</xdr:rowOff>
    </xdr:from>
    <xdr:to>
      <xdr:col>2</xdr:col>
      <xdr:colOff>714755</xdr:colOff>
      <xdr:row>12</xdr:row>
      <xdr:rowOff>114300</xdr:rowOff>
    </xdr:to>
    <xdr:sp macro="" textlink="">
      <xdr:nvSpPr>
        <xdr:cNvPr id="12" name="Isosceles Triangle 11">
          <a:extLst>
            <a:ext uri="{FF2B5EF4-FFF2-40B4-BE49-F238E27FC236}">
              <a16:creationId xmlns:a16="http://schemas.microsoft.com/office/drawing/2014/main" id="{B5AFD5D6-7968-4158-A8E8-5131945AAFB2}"/>
            </a:ext>
          </a:extLst>
        </xdr:cNvPr>
        <xdr:cNvSpPr>
          <a:spLocks noChangeAspect="1"/>
        </xdr:cNvSpPr>
      </xdr:nvSpPr>
      <xdr:spPr>
        <a:xfrm rot="10800000">
          <a:off x="3915050" y="1582674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1581425</xdr:colOff>
      <xdr:row>7</xdr:row>
      <xdr:rowOff>115824</xdr:rowOff>
    </xdr:from>
    <xdr:to>
      <xdr:col>6</xdr:col>
      <xdr:colOff>1667255</xdr:colOff>
      <xdr:row>7</xdr:row>
      <xdr:rowOff>152400</xdr:rowOff>
    </xdr:to>
    <xdr:sp macro="" textlink="">
      <xdr:nvSpPr>
        <xdr:cNvPr id="13" name="Isosceles Triangle 12">
          <a:extLst>
            <a:ext uri="{FF2B5EF4-FFF2-40B4-BE49-F238E27FC236}">
              <a16:creationId xmlns:a16="http://schemas.microsoft.com/office/drawing/2014/main" id="{8A888536-ABE1-4B9B-8E60-BA147E403C82}"/>
            </a:ext>
          </a:extLst>
        </xdr:cNvPr>
        <xdr:cNvSpPr>
          <a:spLocks noChangeAspect="1"/>
        </xdr:cNvSpPr>
      </xdr:nvSpPr>
      <xdr:spPr>
        <a:xfrm rot="10800000">
          <a:off x="10906400" y="1382649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1581425</xdr:colOff>
      <xdr:row>12</xdr:row>
      <xdr:rowOff>106299</xdr:rowOff>
    </xdr:from>
    <xdr:to>
      <xdr:col>6</xdr:col>
      <xdr:colOff>1667255</xdr:colOff>
      <xdr:row>12</xdr:row>
      <xdr:rowOff>142875</xdr:rowOff>
    </xdr:to>
    <xdr:sp macro="" textlink="">
      <xdr:nvSpPr>
        <xdr:cNvPr id="14" name="Isosceles Triangle 13">
          <a:extLst>
            <a:ext uri="{FF2B5EF4-FFF2-40B4-BE49-F238E27FC236}">
              <a16:creationId xmlns:a16="http://schemas.microsoft.com/office/drawing/2014/main" id="{E83FF367-E25D-49D4-9899-98F7CF43C222}"/>
            </a:ext>
          </a:extLst>
        </xdr:cNvPr>
        <xdr:cNvSpPr>
          <a:spLocks noChangeAspect="1"/>
        </xdr:cNvSpPr>
      </xdr:nvSpPr>
      <xdr:spPr>
        <a:xfrm rot="10800000">
          <a:off x="10906400" y="1611249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1581150</xdr:colOff>
      <xdr:row>19</xdr:row>
      <xdr:rowOff>123825</xdr:rowOff>
    </xdr:from>
    <xdr:to>
      <xdr:col>6</xdr:col>
      <xdr:colOff>1666980</xdr:colOff>
      <xdr:row>19</xdr:row>
      <xdr:rowOff>160401</xdr:rowOff>
    </xdr:to>
    <xdr:sp macro="" textlink="">
      <xdr:nvSpPr>
        <xdr:cNvPr id="15" name="Isosceles Triangle 14">
          <a:extLst>
            <a:ext uri="{FF2B5EF4-FFF2-40B4-BE49-F238E27FC236}">
              <a16:creationId xmlns:a16="http://schemas.microsoft.com/office/drawing/2014/main" id="{0C0219E2-24D9-4181-9278-40446E6EAFDE}"/>
            </a:ext>
          </a:extLst>
        </xdr:cNvPr>
        <xdr:cNvSpPr>
          <a:spLocks noChangeAspect="1"/>
        </xdr:cNvSpPr>
      </xdr:nvSpPr>
      <xdr:spPr>
        <a:xfrm rot="10800000">
          <a:off x="10906125" y="202882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0</xdr:col>
      <xdr:colOff>1428750</xdr:colOff>
      <xdr:row>19</xdr:row>
      <xdr:rowOff>190500</xdr:rowOff>
    </xdr:to>
    <xdr:sp macro="" textlink="">
      <xdr:nvSpPr>
        <xdr:cNvPr id="21177" name="Rectangle 129">
          <a:extLst>
            <a:ext uri="{FF2B5EF4-FFF2-40B4-BE49-F238E27FC236}">
              <a16:creationId xmlns:a16="http://schemas.microsoft.com/office/drawing/2014/main" id="{7AF995E5-FE8C-4F1D-97FE-0E1040F243AD}"/>
            </a:ext>
          </a:extLst>
        </xdr:cNvPr>
        <xdr:cNvSpPr>
          <a:spLocks noChangeArrowheads="1"/>
        </xdr:cNvSpPr>
      </xdr:nvSpPr>
      <xdr:spPr bwMode="auto">
        <a:xfrm>
          <a:off x="0" y="609600"/>
          <a:ext cx="1428750" cy="138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64</xdr:row>
      <xdr:rowOff>123825</xdr:rowOff>
    </xdr:from>
    <xdr:to>
      <xdr:col>3</xdr:col>
      <xdr:colOff>2905125</xdr:colOff>
      <xdr:row>84</xdr:row>
      <xdr:rowOff>38100</xdr:rowOff>
    </xdr:to>
    <xdr:graphicFrame macro="">
      <xdr:nvGraphicFramePr>
        <xdr:cNvPr id="21178" name="Chart 34">
          <a:extLst>
            <a:ext uri="{FF2B5EF4-FFF2-40B4-BE49-F238E27FC236}">
              <a16:creationId xmlns:a16="http://schemas.microsoft.com/office/drawing/2014/main" id="{79FF2C7F-D0F0-4A56-9A10-2999E19AD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</xdr:row>
          <xdr:rowOff>95250</xdr:rowOff>
        </xdr:from>
        <xdr:to>
          <xdr:col>0</xdr:col>
          <xdr:colOff>723900</xdr:colOff>
          <xdr:row>19</xdr:row>
          <xdr:rowOff>190500</xdr:rowOff>
        </xdr:to>
        <xdr:sp macro="" textlink="">
          <xdr:nvSpPr>
            <xdr:cNvPr id="20482" name="CommandButton1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9EC2DFB7-0829-4DE6-BC60-70572C6AF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2</xdr:row>
          <xdr:rowOff>0</xdr:rowOff>
        </xdr:from>
        <xdr:to>
          <xdr:col>0</xdr:col>
          <xdr:colOff>1419225</xdr:colOff>
          <xdr:row>7</xdr:row>
          <xdr:rowOff>95250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40334634-5A88-48E6-8ED0-085B33CAD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0</xdr:rowOff>
        </xdr:from>
        <xdr:to>
          <xdr:col>0</xdr:col>
          <xdr:colOff>723900</xdr:colOff>
          <xdr:row>7</xdr:row>
          <xdr:rowOff>95250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1B4E3B49-00B1-44F1-B56F-2F24E7C9D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55</xdr:row>
          <xdr:rowOff>28575</xdr:rowOff>
        </xdr:from>
        <xdr:to>
          <xdr:col>0</xdr:col>
          <xdr:colOff>914400</xdr:colOff>
          <xdr:row>57</xdr:row>
          <xdr:rowOff>180975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A84BB29A-927B-41FB-8C8F-A4A3FF555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2628900</xdr:colOff>
      <xdr:row>19</xdr:row>
      <xdr:rowOff>9525</xdr:rowOff>
    </xdr:from>
    <xdr:to>
      <xdr:col>5</xdr:col>
      <xdr:colOff>609600</xdr:colOff>
      <xdr:row>35</xdr:row>
      <xdr:rowOff>38100</xdr:rowOff>
    </xdr:to>
    <xdr:pic>
      <xdr:nvPicPr>
        <xdr:cNvPr id="21179" name="Picture 34" descr="DMC6">
          <a:extLst>
            <a:ext uri="{FF2B5EF4-FFF2-40B4-BE49-F238E27FC236}">
              <a16:creationId xmlns:a16="http://schemas.microsoft.com/office/drawing/2014/main" id="{DB441A09-7108-4FAF-AA89-DA745782F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5" t="1550" r="64084" b="31783"/>
        <a:stretch>
          <a:fillRect/>
        </a:stretch>
      </xdr:blipFill>
      <xdr:spPr bwMode="auto">
        <a:xfrm>
          <a:off x="7667625" y="1809750"/>
          <a:ext cx="1933575" cy="199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694945</xdr:colOff>
      <xdr:row>7</xdr:row>
      <xdr:rowOff>106297</xdr:rowOff>
    </xdr:from>
    <xdr:to>
      <xdr:col>2</xdr:col>
      <xdr:colOff>762000</xdr:colOff>
      <xdr:row>7</xdr:row>
      <xdr:rowOff>142873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0238F8C0-1FA7-43E6-9E82-949DFF0A8BCD}"/>
            </a:ext>
          </a:extLst>
        </xdr:cNvPr>
        <xdr:cNvSpPr>
          <a:spLocks noChangeAspect="1"/>
        </xdr:cNvSpPr>
      </xdr:nvSpPr>
      <xdr:spPr>
        <a:xfrm rot="10800000">
          <a:off x="4904995" y="1306447"/>
          <a:ext cx="67055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694945</xdr:colOff>
      <xdr:row>12</xdr:row>
      <xdr:rowOff>96774</xdr:rowOff>
    </xdr:from>
    <xdr:to>
      <xdr:col>2</xdr:col>
      <xdr:colOff>762000</xdr:colOff>
      <xdr:row>12</xdr:row>
      <xdr:rowOff>133350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3384214A-11B4-472B-9D44-3B914126BE28}"/>
            </a:ext>
          </a:extLst>
        </xdr:cNvPr>
        <xdr:cNvSpPr>
          <a:spLocks noChangeAspect="1"/>
        </xdr:cNvSpPr>
      </xdr:nvSpPr>
      <xdr:spPr>
        <a:xfrm rot="10800000">
          <a:off x="4904995" y="1496949"/>
          <a:ext cx="67055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1380745</xdr:colOff>
      <xdr:row>30</xdr:row>
      <xdr:rowOff>134874</xdr:rowOff>
    </xdr:from>
    <xdr:to>
      <xdr:col>1</xdr:col>
      <xdr:colOff>1447800</xdr:colOff>
      <xdr:row>30</xdr:row>
      <xdr:rowOff>171450</xdr:rowOff>
    </xdr:to>
    <xdr:sp macro="" textlink="">
      <xdr:nvSpPr>
        <xdr:cNvPr id="12" name="Isosceles Triangle 11">
          <a:extLst>
            <a:ext uri="{FF2B5EF4-FFF2-40B4-BE49-F238E27FC236}">
              <a16:creationId xmlns:a16="http://schemas.microsoft.com/office/drawing/2014/main" id="{F33D4356-DCD9-4CA6-B575-417E3517B11F}"/>
            </a:ext>
          </a:extLst>
        </xdr:cNvPr>
        <xdr:cNvSpPr>
          <a:spLocks noChangeAspect="1"/>
        </xdr:cNvSpPr>
      </xdr:nvSpPr>
      <xdr:spPr>
        <a:xfrm rot="10800000">
          <a:off x="4095370" y="3649599"/>
          <a:ext cx="67055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1380745</xdr:colOff>
      <xdr:row>35</xdr:row>
      <xdr:rowOff>115824</xdr:rowOff>
    </xdr:from>
    <xdr:to>
      <xdr:col>1</xdr:col>
      <xdr:colOff>1447800</xdr:colOff>
      <xdr:row>35</xdr:row>
      <xdr:rowOff>152400</xdr:rowOff>
    </xdr:to>
    <xdr:sp macro="" textlink="">
      <xdr:nvSpPr>
        <xdr:cNvPr id="13" name="Isosceles Triangle 12">
          <a:extLst>
            <a:ext uri="{FF2B5EF4-FFF2-40B4-BE49-F238E27FC236}">
              <a16:creationId xmlns:a16="http://schemas.microsoft.com/office/drawing/2014/main" id="{064AA060-D56E-45AA-B271-F38108491EDB}"/>
            </a:ext>
          </a:extLst>
        </xdr:cNvPr>
        <xdr:cNvSpPr>
          <a:spLocks noChangeAspect="1"/>
        </xdr:cNvSpPr>
      </xdr:nvSpPr>
      <xdr:spPr>
        <a:xfrm rot="10800000">
          <a:off x="4095370" y="3878199"/>
          <a:ext cx="67055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1380745</xdr:colOff>
      <xdr:row>42</xdr:row>
      <xdr:rowOff>134874</xdr:rowOff>
    </xdr:from>
    <xdr:to>
      <xdr:col>1</xdr:col>
      <xdr:colOff>1447800</xdr:colOff>
      <xdr:row>42</xdr:row>
      <xdr:rowOff>171450</xdr:rowOff>
    </xdr:to>
    <xdr:sp macro="" textlink="">
      <xdr:nvSpPr>
        <xdr:cNvPr id="14" name="Isosceles Triangle 13">
          <a:extLst>
            <a:ext uri="{FF2B5EF4-FFF2-40B4-BE49-F238E27FC236}">
              <a16:creationId xmlns:a16="http://schemas.microsoft.com/office/drawing/2014/main" id="{7D0C24B9-1A89-41F8-980E-DF06D0DD03BD}"/>
            </a:ext>
          </a:extLst>
        </xdr:cNvPr>
        <xdr:cNvSpPr>
          <a:spLocks noChangeAspect="1"/>
        </xdr:cNvSpPr>
      </xdr:nvSpPr>
      <xdr:spPr>
        <a:xfrm rot="10800000">
          <a:off x="4095370" y="4354449"/>
          <a:ext cx="67055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7</xdr:row>
          <xdr:rowOff>95250</xdr:rowOff>
        </xdr:from>
        <xdr:to>
          <xdr:col>0</xdr:col>
          <xdr:colOff>1419225</xdr:colOff>
          <xdr:row>19</xdr:row>
          <xdr:rowOff>190500</xdr:rowOff>
        </xdr:to>
        <xdr:sp macro="" textlink="">
          <xdr:nvSpPr>
            <xdr:cNvPr id="20753" name="CommandButton5" hidden="1">
              <a:extLst>
                <a:ext uri="{63B3BB69-23CF-44E3-9099-C40C66FF867C}">
                  <a14:compatExt spid="_x0000_s20753"/>
                </a:ext>
                <a:ext uri="{FF2B5EF4-FFF2-40B4-BE49-F238E27FC236}">
                  <a16:creationId xmlns:a16="http://schemas.microsoft.com/office/drawing/2014/main" id="{DDAD6191-113E-48E5-BAC7-2E3EF1CB4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66675</xdr:rowOff>
    </xdr:from>
    <xdr:to>
      <xdr:col>12</xdr:col>
      <xdr:colOff>323850</xdr:colOff>
      <xdr:row>27</xdr:row>
      <xdr:rowOff>209550</xdr:rowOff>
    </xdr:to>
    <xdr:graphicFrame macro="">
      <xdr:nvGraphicFramePr>
        <xdr:cNvPr id="18744" name="Chart 1">
          <a:extLst>
            <a:ext uri="{FF2B5EF4-FFF2-40B4-BE49-F238E27FC236}">
              <a16:creationId xmlns:a16="http://schemas.microsoft.com/office/drawing/2014/main" id="{2A452EDA-BFAC-4640-B332-42402724E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5</xdr:row>
          <xdr:rowOff>66675</xdr:rowOff>
        </xdr:from>
        <xdr:to>
          <xdr:col>5</xdr:col>
          <xdr:colOff>2038350</xdr:colOff>
          <xdr:row>7</xdr:row>
          <xdr:rowOff>95250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71929A1A-86C9-4314-8CE8-89BBE473B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2124075</xdr:colOff>
          <xdr:row>5</xdr:row>
          <xdr:rowOff>66675</xdr:rowOff>
        </xdr:from>
        <xdr:to>
          <xdr:col>5</xdr:col>
          <xdr:colOff>3514725</xdr:colOff>
          <xdr:row>7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DBD85F08-47CF-492B-BF1F-95D062CE6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9525</xdr:rowOff>
        </xdr:from>
        <xdr:to>
          <xdr:col>5</xdr:col>
          <xdr:colOff>3514725</xdr:colOff>
          <xdr:row>5</xdr:row>
          <xdr:rowOff>38100</xdr:rowOff>
        </xdr:to>
        <xdr:sp macro="" textlink="">
          <xdr:nvSpPr>
            <xdr:cNvPr id="18530" name="CommandButton3" hidden="1">
              <a:extLst>
                <a:ext uri="{63B3BB69-23CF-44E3-9099-C40C66FF867C}">
                  <a14:compatExt spid="_x0000_s18530"/>
                </a:ext>
                <a:ext uri="{FF2B5EF4-FFF2-40B4-BE49-F238E27FC236}">
                  <a16:creationId xmlns:a16="http://schemas.microsoft.com/office/drawing/2014/main" id="{EA80AED3-2E15-4B74-9BEF-2C12D5940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219075</xdr:rowOff>
        </xdr:from>
        <xdr:to>
          <xdr:col>5</xdr:col>
          <xdr:colOff>600075</xdr:colOff>
          <xdr:row>7</xdr:row>
          <xdr:rowOff>19050</xdr:rowOff>
        </xdr:to>
        <xdr:sp macro="" textlink="">
          <xdr:nvSpPr>
            <xdr:cNvPr id="18562" name="CommandButton4" hidden="1">
              <a:extLst>
                <a:ext uri="{63B3BB69-23CF-44E3-9099-C40C66FF867C}">
                  <a14:compatExt spid="_x0000_s18562"/>
                </a:ext>
                <a:ext uri="{FF2B5EF4-FFF2-40B4-BE49-F238E27FC236}">
                  <a16:creationId xmlns:a16="http://schemas.microsoft.com/office/drawing/2014/main" id="{8F69DF84-4941-4E2C-BCAE-0128B13B0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219075</xdr:rowOff>
        </xdr:from>
        <xdr:to>
          <xdr:col>5</xdr:col>
          <xdr:colOff>600075</xdr:colOff>
          <xdr:row>10</xdr:row>
          <xdr:rowOff>19050</xdr:rowOff>
        </xdr:to>
        <xdr:sp macro="" textlink="">
          <xdr:nvSpPr>
            <xdr:cNvPr id="18563" name="CommandButton5" hidden="1">
              <a:extLst>
                <a:ext uri="{63B3BB69-23CF-44E3-9099-C40C66FF867C}">
                  <a14:compatExt spid="_x0000_s18563"/>
                </a:ext>
                <a:ext uri="{FF2B5EF4-FFF2-40B4-BE49-F238E27FC236}">
                  <a16:creationId xmlns:a16="http://schemas.microsoft.com/office/drawing/2014/main" id="{939B1008-A449-46B2-96DE-1EF24EA27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1552574</xdr:colOff>
      <xdr:row>5</xdr:row>
      <xdr:rowOff>200025</xdr:rowOff>
    </xdr:from>
    <xdr:to>
      <xdr:col>2</xdr:col>
      <xdr:colOff>28575</xdr:colOff>
      <xdr:row>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8CCE03-4828-4F2A-9077-7906E08FCE2D}"/>
            </a:ext>
          </a:extLst>
        </xdr:cNvPr>
        <xdr:cNvSpPr txBox="1"/>
      </xdr:nvSpPr>
      <xdr:spPr>
        <a:xfrm>
          <a:off x="1933574" y="895350"/>
          <a:ext cx="914401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700">
              <a:latin typeface="Arial" panose="020B0604020202020204" pitchFamily="34" charset="0"/>
              <a:cs typeface="Arial" panose="020B0604020202020204" pitchFamily="34" charset="0"/>
            </a:rPr>
            <a:t>24HH:MM</a:t>
          </a:r>
          <a:r>
            <a:rPr lang="en-US" sz="700" baseline="0">
              <a:latin typeface="Arial" panose="020B0604020202020204" pitchFamily="34" charset="0"/>
              <a:cs typeface="Arial" panose="020B0604020202020204" pitchFamily="34" charset="0"/>
            </a:rPr>
            <a:t>   or</a:t>
          </a:r>
        </a:p>
        <a:p>
          <a:pPr algn="ctr"/>
          <a:r>
            <a:rPr lang="en-US" sz="700" baseline="0">
              <a:latin typeface="Arial" panose="020B0604020202020204" pitchFamily="34" charset="0"/>
              <a:cs typeface="Arial" panose="020B0604020202020204" pitchFamily="34" charset="0"/>
            </a:rPr>
            <a:t>M/DD 24HH:MM</a:t>
          </a:r>
          <a:endParaRPr lang="en-US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2</xdr:col>
      <xdr:colOff>1371600</xdr:colOff>
      <xdr:row>1</xdr:row>
      <xdr:rowOff>104775</xdr:rowOff>
    </xdr:from>
    <xdr:to>
      <xdr:col>2</xdr:col>
      <xdr:colOff>1457430</xdr:colOff>
      <xdr:row>1</xdr:row>
      <xdr:rowOff>141351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C10068D9-4761-460F-BBA0-9DBF6D02117A}"/>
            </a:ext>
          </a:extLst>
        </xdr:cNvPr>
        <xdr:cNvSpPr>
          <a:spLocks noChangeAspect="1"/>
        </xdr:cNvSpPr>
      </xdr:nvSpPr>
      <xdr:spPr>
        <a:xfrm rot="10800000">
          <a:off x="4191000" y="342900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30</xdr:row>
          <xdr:rowOff>95250</xdr:rowOff>
        </xdr:from>
        <xdr:to>
          <xdr:col>5</xdr:col>
          <xdr:colOff>1447800</xdr:colOff>
          <xdr:row>31</xdr:row>
          <xdr:rowOff>228600</xdr:rowOff>
        </xdr:to>
        <xdr:sp macro="" textlink="">
          <xdr:nvSpPr>
            <xdr:cNvPr id="18724" name="CommandButton6" hidden="1">
              <a:extLst>
                <a:ext uri="{63B3BB69-23CF-44E3-9099-C40C66FF867C}">
                  <a14:compatExt spid="_x0000_s18724"/>
                </a:ext>
                <a:ext uri="{FF2B5EF4-FFF2-40B4-BE49-F238E27FC236}">
                  <a16:creationId xmlns:a16="http://schemas.microsoft.com/office/drawing/2014/main" id="{72D19464-225D-4339-9DE6-30E057F8B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66675</xdr:rowOff>
    </xdr:from>
    <xdr:to>
      <xdr:col>12</xdr:col>
      <xdr:colOff>323850</xdr:colOff>
      <xdr:row>27</xdr:row>
      <xdr:rowOff>209550</xdr:rowOff>
    </xdr:to>
    <xdr:graphicFrame macro="">
      <xdr:nvGraphicFramePr>
        <xdr:cNvPr id="32891" name="Chart 1">
          <a:extLst>
            <a:ext uri="{FF2B5EF4-FFF2-40B4-BE49-F238E27FC236}">
              <a16:creationId xmlns:a16="http://schemas.microsoft.com/office/drawing/2014/main" id="{46E5A49B-FD22-45A3-8968-89F54C841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5</xdr:row>
          <xdr:rowOff>66675</xdr:rowOff>
        </xdr:from>
        <xdr:to>
          <xdr:col>5</xdr:col>
          <xdr:colOff>2038350</xdr:colOff>
          <xdr:row>7</xdr:row>
          <xdr:rowOff>95250</xdr:rowOff>
        </xdr:to>
        <xdr:sp macro="" textlink="">
          <xdr:nvSpPr>
            <xdr:cNvPr id="32770" name="CommandButton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2CECA02E-2C01-4502-914E-7B0B971D4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2124075</xdr:colOff>
          <xdr:row>5</xdr:row>
          <xdr:rowOff>66675</xdr:rowOff>
        </xdr:from>
        <xdr:to>
          <xdr:col>5</xdr:col>
          <xdr:colOff>3514725</xdr:colOff>
          <xdr:row>7</xdr:row>
          <xdr:rowOff>95250</xdr:rowOff>
        </xdr:to>
        <xdr:sp macro="" textlink="">
          <xdr:nvSpPr>
            <xdr:cNvPr id="32771" name="CommandButton2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A564D2A4-1EF6-489A-B60F-B0E6B0F09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9525</xdr:rowOff>
        </xdr:from>
        <xdr:to>
          <xdr:col>5</xdr:col>
          <xdr:colOff>3514725</xdr:colOff>
          <xdr:row>5</xdr:row>
          <xdr:rowOff>38100</xdr:rowOff>
        </xdr:to>
        <xdr:sp macro="" textlink="">
          <xdr:nvSpPr>
            <xdr:cNvPr id="32772" name="CommandButton3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2589F913-36C2-4E0B-9EC8-347609C6E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45</xdr:row>
      <xdr:rowOff>28575</xdr:rowOff>
    </xdr:from>
    <xdr:to>
      <xdr:col>10</xdr:col>
      <xdr:colOff>19050</xdr:colOff>
      <xdr:row>65</xdr:row>
      <xdr:rowOff>57150</xdr:rowOff>
    </xdr:to>
    <xdr:graphicFrame macro="">
      <xdr:nvGraphicFramePr>
        <xdr:cNvPr id="23981" name="Chart 34">
          <a:extLst>
            <a:ext uri="{FF2B5EF4-FFF2-40B4-BE49-F238E27FC236}">
              <a16:creationId xmlns:a16="http://schemas.microsoft.com/office/drawing/2014/main" id="{0713048C-0A05-4473-81A4-A27FBFA57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76200</xdr:rowOff>
        </xdr:from>
        <xdr:to>
          <xdr:col>3</xdr:col>
          <xdr:colOff>1476375</xdr:colOff>
          <xdr:row>7</xdr:row>
          <xdr:rowOff>133350</xdr:rowOff>
        </xdr:to>
        <xdr:sp macro="" textlink="">
          <xdr:nvSpPr>
            <xdr:cNvPr id="23554" name="CommandButton1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540E1CC1-4DE6-4AB6-B3C5-D0DD75BF0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1619250</xdr:colOff>
          <xdr:row>3</xdr:row>
          <xdr:rowOff>76200</xdr:rowOff>
        </xdr:from>
        <xdr:to>
          <xdr:col>3</xdr:col>
          <xdr:colOff>3009900</xdr:colOff>
          <xdr:row>7</xdr:row>
          <xdr:rowOff>133350</xdr:rowOff>
        </xdr:to>
        <xdr:sp macro="" textlink="">
          <xdr:nvSpPr>
            <xdr:cNvPr id="23555" name="CommandButton2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3A3DE012-6049-4894-A1C4-8E83CAB5D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37</xdr:row>
          <xdr:rowOff>28575</xdr:rowOff>
        </xdr:from>
        <xdr:to>
          <xdr:col>6</xdr:col>
          <xdr:colOff>1400175</xdr:colOff>
          <xdr:row>39</xdr:row>
          <xdr:rowOff>180975</xdr:rowOff>
        </xdr:to>
        <xdr:sp macro="" textlink="">
          <xdr:nvSpPr>
            <xdr:cNvPr id="23557" name="CommandButton4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D1AE4E0B-73DB-48F7-9F89-9D110A5CA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</xdr:row>
          <xdr:rowOff>38100</xdr:rowOff>
        </xdr:from>
        <xdr:to>
          <xdr:col>8</xdr:col>
          <xdr:colOff>1171575</xdr:colOff>
          <xdr:row>6</xdr:row>
          <xdr:rowOff>0</xdr:rowOff>
        </xdr:to>
        <xdr:sp macro="" textlink="">
          <xdr:nvSpPr>
            <xdr:cNvPr id="23559" name="CommandButton5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62F448E1-583D-41D9-BF20-4B4CC22E2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0</xdr:rowOff>
        </xdr:from>
        <xdr:to>
          <xdr:col>3</xdr:col>
          <xdr:colOff>3000375</xdr:colOff>
          <xdr:row>3</xdr:row>
          <xdr:rowOff>28575</xdr:rowOff>
        </xdr:to>
        <xdr:sp macro="" textlink="">
          <xdr:nvSpPr>
            <xdr:cNvPr id="23570" name="CommandButton3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34F0A470-569A-4590-A1AA-1CF5BD4B4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31</xdr:row>
      <xdr:rowOff>152400</xdr:rowOff>
    </xdr:from>
    <xdr:to>
      <xdr:col>0</xdr:col>
      <xdr:colOff>1828800</xdr:colOff>
      <xdr:row>41</xdr:row>
      <xdr:rowOff>28575</xdr:rowOff>
    </xdr:to>
    <xdr:pic>
      <xdr:nvPicPr>
        <xdr:cNvPr id="23982" name="Picture 34" descr="DMC7">
          <a:extLst>
            <a:ext uri="{FF2B5EF4-FFF2-40B4-BE49-F238E27FC236}">
              <a16:creationId xmlns:a16="http://schemas.microsoft.com/office/drawing/2014/main" id="{503C4CED-3B94-4900-A80D-D5F9899D0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500" t="31511" r="569" b="-261"/>
        <a:stretch>
          <a:fillRect/>
        </a:stretch>
      </xdr:blipFill>
      <xdr:spPr bwMode="auto">
        <a:xfrm>
          <a:off x="0" y="3019425"/>
          <a:ext cx="1828800" cy="1857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640773</xdr:colOff>
      <xdr:row>7</xdr:row>
      <xdr:rowOff>95250</xdr:rowOff>
    </xdr:from>
    <xdr:to>
      <xdr:col>2</xdr:col>
      <xdr:colOff>726603</xdr:colOff>
      <xdr:row>7</xdr:row>
      <xdr:rowOff>131826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DD7CA71A-0ADE-430A-8118-32B20F7BFFD1}"/>
            </a:ext>
          </a:extLst>
        </xdr:cNvPr>
        <xdr:cNvSpPr>
          <a:spLocks noChangeAspect="1"/>
        </xdr:cNvSpPr>
      </xdr:nvSpPr>
      <xdr:spPr>
        <a:xfrm rot="10800000">
          <a:off x="3931228" y="129020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637310</xdr:colOff>
      <xdr:row>12</xdr:row>
      <xdr:rowOff>83128</xdr:rowOff>
    </xdr:from>
    <xdr:to>
      <xdr:col>2</xdr:col>
      <xdr:colOff>723140</xdr:colOff>
      <xdr:row>12</xdr:row>
      <xdr:rowOff>119704</xdr:rowOff>
    </xdr:to>
    <xdr:sp macro="" textlink="">
      <xdr:nvSpPr>
        <xdr:cNvPr id="10" name="Isosceles Triangle 9">
          <a:extLst>
            <a:ext uri="{FF2B5EF4-FFF2-40B4-BE49-F238E27FC236}">
              <a16:creationId xmlns:a16="http://schemas.microsoft.com/office/drawing/2014/main" id="{FCC42B90-B32A-420B-B6E5-2FED91D5ED3B}"/>
            </a:ext>
          </a:extLst>
        </xdr:cNvPr>
        <xdr:cNvSpPr>
          <a:spLocks noChangeAspect="1"/>
        </xdr:cNvSpPr>
      </xdr:nvSpPr>
      <xdr:spPr>
        <a:xfrm rot="10800000">
          <a:off x="3927765" y="1477242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1290204</xdr:colOff>
      <xdr:row>26</xdr:row>
      <xdr:rowOff>112568</xdr:rowOff>
    </xdr:from>
    <xdr:to>
      <xdr:col>1</xdr:col>
      <xdr:colOff>1376034</xdr:colOff>
      <xdr:row>26</xdr:row>
      <xdr:rowOff>149144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E1ACB2E4-0AAC-41B2-A098-34CC9B646FE2}"/>
            </a:ext>
          </a:extLst>
        </xdr:cNvPr>
        <xdr:cNvSpPr>
          <a:spLocks noChangeAspect="1"/>
        </xdr:cNvSpPr>
      </xdr:nvSpPr>
      <xdr:spPr>
        <a:xfrm rot="10800000">
          <a:off x="3160568" y="2744932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640773</xdr:colOff>
      <xdr:row>26</xdr:row>
      <xdr:rowOff>112568</xdr:rowOff>
    </xdr:from>
    <xdr:to>
      <xdr:col>2</xdr:col>
      <xdr:colOff>726603</xdr:colOff>
      <xdr:row>26</xdr:row>
      <xdr:rowOff>149144</xdr:rowOff>
    </xdr:to>
    <xdr:sp macro="" textlink="">
      <xdr:nvSpPr>
        <xdr:cNvPr id="12" name="Isosceles Triangle 11">
          <a:extLst>
            <a:ext uri="{FF2B5EF4-FFF2-40B4-BE49-F238E27FC236}">
              <a16:creationId xmlns:a16="http://schemas.microsoft.com/office/drawing/2014/main" id="{FB51E48D-61F6-40E2-965F-78D93284FCCF}"/>
            </a:ext>
          </a:extLst>
        </xdr:cNvPr>
        <xdr:cNvSpPr>
          <a:spLocks noChangeAspect="1"/>
        </xdr:cNvSpPr>
      </xdr:nvSpPr>
      <xdr:spPr>
        <a:xfrm rot="10800000">
          <a:off x="3931228" y="2744932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1575955</xdr:colOff>
      <xdr:row>7</xdr:row>
      <xdr:rowOff>86590</xdr:rowOff>
    </xdr:from>
    <xdr:to>
      <xdr:col>6</xdr:col>
      <xdr:colOff>1661785</xdr:colOff>
      <xdr:row>7</xdr:row>
      <xdr:rowOff>123166</xdr:rowOff>
    </xdr:to>
    <xdr:sp macro="" textlink="">
      <xdr:nvSpPr>
        <xdr:cNvPr id="13" name="Isosceles Triangle 12">
          <a:extLst>
            <a:ext uri="{FF2B5EF4-FFF2-40B4-BE49-F238E27FC236}">
              <a16:creationId xmlns:a16="http://schemas.microsoft.com/office/drawing/2014/main" id="{7B455EA1-D415-4FD3-B7DC-7B48F29BC3CA}"/>
            </a:ext>
          </a:extLst>
        </xdr:cNvPr>
        <xdr:cNvSpPr>
          <a:spLocks noChangeAspect="1"/>
        </xdr:cNvSpPr>
      </xdr:nvSpPr>
      <xdr:spPr>
        <a:xfrm rot="10800000">
          <a:off x="10719955" y="128154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1572493</xdr:colOff>
      <xdr:row>12</xdr:row>
      <xdr:rowOff>91785</xdr:rowOff>
    </xdr:from>
    <xdr:to>
      <xdr:col>6</xdr:col>
      <xdr:colOff>1658323</xdr:colOff>
      <xdr:row>12</xdr:row>
      <xdr:rowOff>128361</xdr:rowOff>
    </xdr:to>
    <xdr:sp macro="" textlink="">
      <xdr:nvSpPr>
        <xdr:cNvPr id="14" name="Isosceles Triangle 13">
          <a:extLst>
            <a:ext uri="{FF2B5EF4-FFF2-40B4-BE49-F238E27FC236}">
              <a16:creationId xmlns:a16="http://schemas.microsoft.com/office/drawing/2014/main" id="{0789DA40-FEBA-44A9-AD09-A6F3B7B2CA3E}"/>
            </a:ext>
          </a:extLst>
        </xdr:cNvPr>
        <xdr:cNvSpPr>
          <a:spLocks noChangeAspect="1"/>
        </xdr:cNvSpPr>
      </xdr:nvSpPr>
      <xdr:spPr>
        <a:xfrm rot="10800000">
          <a:off x="10716493" y="1485899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1577688</xdr:colOff>
      <xdr:row>19</xdr:row>
      <xdr:rowOff>122958</xdr:rowOff>
    </xdr:from>
    <xdr:to>
      <xdr:col>6</xdr:col>
      <xdr:colOff>1663518</xdr:colOff>
      <xdr:row>19</xdr:row>
      <xdr:rowOff>159534</xdr:rowOff>
    </xdr:to>
    <xdr:sp macro="" textlink="">
      <xdr:nvSpPr>
        <xdr:cNvPr id="15" name="Isosceles Triangle 14">
          <a:extLst>
            <a:ext uri="{FF2B5EF4-FFF2-40B4-BE49-F238E27FC236}">
              <a16:creationId xmlns:a16="http://schemas.microsoft.com/office/drawing/2014/main" id="{BF2EDEE7-BD15-4E7D-AFFB-ADEEFBFBC119}"/>
            </a:ext>
          </a:extLst>
        </xdr:cNvPr>
        <xdr:cNvSpPr>
          <a:spLocks noChangeAspect="1"/>
        </xdr:cNvSpPr>
      </xdr:nvSpPr>
      <xdr:spPr>
        <a:xfrm rot="10800000">
          <a:off x="10721688" y="1915390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219075</xdr:rowOff>
    </xdr:from>
    <xdr:to>
      <xdr:col>0</xdr:col>
      <xdr:colOff>1438275</xdr:colOff>
      <xdr:row>15</xdr:row>
      <xdr:rowOff>9525</xdr:rowOff>
    </xdr:to>
    <xdr:sp macro="" textlink="">
      <xdr:nvSpPr>
        <xdr:cNvPr id="28007" name="Rectangle 75">
          <a:extLst>
            <a:ext uri="{FF2B5EF4-FFF2-40B4-BE49-F238E27FC236}">
              <a16:creationId xmlns:a16="http://schemas.microsoft.com/office/drawing/2014/main" id="{0A4176D5-1938-41D2-B344-D83B1D084421}"/>
            </a:ext>
          </a:extLst>
        </xdr:cNvPr>
        <xdr:cNvSpPr>
          <a:spLocks noChangeArrowheads="1"/>
        </xdr:cNvSpPr>
      </xdr:nvSpPr>
      <xdr:spPr bwMode="auto">
        <a:xfrm>
          <a:off x="0" y="590550"/>
          <a:ext cx="1438275" cy="1419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38100</xdr:colOff>
      <xdr:row>56</xdr:row>
      <xdr:rowOff>28575</xdr:rowOff>
    </xdr:from>
    <xdr:to>
      <xdr:col>10</xdr:col>
      <xdr:colOff>19050</xdr:colOff>
      <xdr:row>76</xdr:row>
      <xdr:rowOff>57150</xdr:rowOff>
    </xdr:to>
    <xdr:graphicFrame macro="">
      <xdr:nvGraphicFramePr>
        <xdr:cNvPr id="28008" name="Chart 34">
          <a:extLst>
            <a:ext uri="{FF2B5EF4-FFF2-40B4-BE49-F238E27FC236}">
              <a16:creationId xmlns:a16="http://schemas.microsoft.com/office/drawing/2014/main" id="{9ABEE237-18F2-4EFF-867A-096384ED6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</xdr:row>
          <xdr:rowOff>95250</xdr:rowOff>
        </xdr:from>
        <xdr:to>
          <xdr:col>0</xdr:col>
          <xdr:colOff>723900</xdr:colOff>
          <xdr:row>14</xdr:row>
          <xdr:rowOff>190500</xdr:rowOff>
        </xdr:to>
        <xdr:sp macro="" textlink="">
          <xdr:nvSpPr>
            <xdr:cNvPr id="27650" name="CommandButton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5EE852BE-653E-4FBA-B730-D48348858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2</xdr:row>
          <xdr:rowOff>0</xdr:rowOff>
        </xdr:from>
        <xdr:to>
          <xdr:col>0</xdr:col>
          <xdr:colOff>1419225</xdr:colOff>
          <xdr:row>7</xdr:row>
          <xdr:rowOff>95250</xdr:rowOff>
        </xdr:to>
        <xdr:sp macro="" textlink="">
          <xdr:nvSpPr>
            <xdr:cNvPr id="27651" name="CommandButton2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828CFC94-1387-41C0-AA15-9F60C113C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48</xdr:row>
          <xdr:rowOff>38100</xdr:rowOff>
        </xdr:from>
        <xdr:to>
          <xdr:col>0</xdr:col>
          <xdr:colOff>895350</xdr:colOff>
          <xdr:row>50</xdr:row>
          <xdr:rowOff>209550</xdr:rowOff>
        </xdr:to>
        <xdr:sp macro="" textlink="">
          <xdr:nvSpPr>
            <xdr:cNvPr id="27653" name="CommandButton4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CC84AE34-8BF7-4515-8B5C-23E6D9ECD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7</xdr:row>
          <xdr:rowOff>95250</xdr:rowOff>
        </xdr:from>
        <xdr:to>
          <xdr:col>0</xdr:col>
          <xdr:colOff>1419225</xdr:colOff>
          <xdr:row>14</xdr:row>
          <xdr:rowOff>190500</xdr:rowOff>
        </xdr:to>
        <xdr:sp macro="" textlink="">
          <xdr:nvSpPr>
            <xdr:cNvPr id="27654" name="CommandButton5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DF4F8045-DEC8-412B-A2EC-85347B758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0</xdr:rowOff>
        </xdr:from>
        <xdr:to>
          <xdr:col>0</xdr:col>
          <xdr:colOff>723900</xdr:colOff>
          <xdr:row>7</xdr:row>
          <xdr:rowOff>95250</xdr:rowOff>
        </xdr:to>
        <xdr:sp macro="" textlink="">
          <xdr:nvSpPr>
            <xdr:cNvPr id="27655" name="CommandButton3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BA12EE4A-C4AE-4665-8E62-6A0BA204B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828675</xdr:colOff>
      <xdr:row>7</xdr:row>
      <xdr:rowOff>104775</xdr:rowOff>
    </xdr:from>
    <xdr:to>
      <xdr:col>2</xdr:col>
      <xdr:colOff>914505</xdr:colOff>
      <xdr:row>7</xdr:row>
      <xdr:rowOff>141351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9869170C-B410-4693-9E63-7E64CDC0CDA7}"/>
            </a:ext>
          </a:extLst>
        </xdr:cNvPr>
        <xdr:cNvSpPr>
          <a:spLocks noChangeAspect="1"/>
        </xdr:cNvSpPr>
      </xdr:nvSpPr>
      <xdr:spPr>
        <a:xfrm rot="10800000">
          <a:off x="5534025" y="130492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828675</xdr:colOff>
      <xdr:row>10</xdr:row>
      <xdr:rowOff>95250</xdr:rowOff>
    </xdr:from>
    <xdr:to>
      <xdr:col>2</xdr:col>
      <xdr:colOff>914505</xdr:colOff>
      <xdr:row>10</xdr:row>
      <xdr:rowOff>131826</xdr:rowOff>
    </xdr:to>
    <xdr:sp macro="" textlink="">
      <xdr:nvSpPr>
        <xdr:cNvPr id="10" name="Isosceles Triangle 9">
          <a:extLst>
            <a:ext uri="{FF2B5EF4-FFF2-40B4-BE49-F238E27FC236}">
              <a16:creationId xmlns:a16="http://schemas.microsoft.com/office/drawing/2014/main" id="{CCE1667E-6A22-4463-B13A-0170B7604997}"/>
            </a:ext>
          </a:extLst>
        </xdr:cNvPr>
        <xdr:cNvSpPr>
          <a:spLocks noChangeAspect="1"/>
        </xdr:cNvSpPr>
      </xdr:nvSpPr>
      <xdr:spPr>
        <a:xfrm rot="10800000">
          <a:off x="5534025" y="149542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1647825</xdr:colOff>
      <xdr:row>18</xdr:row>
      <xdr:rowOff>114300</xdr:rowOff>
    </xdr:from>
    <xdr:to>
      <xdr:col>1</xdr:col>
      <xdr:colOff>1733655</xdr:colOff>
      <xdr:row>18</xdr:row>
      <xdr:rowOff>150876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FD2A2BF8-00E6-4F39-AEE3-B5F76D3C4641}"/>
            </a:ext>
          </a:extLst>
        </xdr:cNvPr>
        <xdr:cNvSpPr>
          <a:spLocks noChangeAspect="1"/>
        </xdr:cNvSpPr>
      </xdr:nvSpPr>
      <xdr:spPr>
        <a:xfrm rot="10800000">
          <a:off x="4572000" y="271462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838200</xdr:colOff>
      <xdr:row>18</xdr:row>
      <xdr:rowOff>104775</xdr:rowOff>
    </xdr:from>
    <xdr:to>
      <xdr:col>2</xdr:col>
      <xdr:colOff>924030</xdr:colOff>
      <xdr:row>18</xdr:row>
      <xdr:rowOff>141351</xdr:rowOff>
    </xdr:to>
    <xdr:sp macro="" textlink="">
      <xdr:nvSpPr>
        <xdr:cNvPr id="12" name="Isosceles Triangle 11">
          <a:extLst>
            <a:ext uri="{FF2B5EF4-FFF2-40B4-BE49-F238E27FC236}">
              <a16:creationId xmlns:a16="http://schemas.microsoft.com/office/drawing/2014/main" id="{6D8733E9-D831-4F7C-B927-EA13C197C9D1}"/>
            </a:ext>
          </a:extLst>
        </xdr:cNvPr>
        <xdr:cNvSpPr>
          <a:spLocks noChangeAspect="1"/>
        </xdr:cNvSpPr>
      </xdr:nvSpPr>
      <xdr:spPr>
        <a:xfrm rot="10800000">
          <a:off x="5543550" y="2705100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1647825</xdr:colOff>
      <xdr:row>26</xdr:row>
      <xdr:rowOff>104775</xdr:rowOff>
    </xdr:from>
    <xdr:to>
      <xdr:col>1</xdr:col>
      <xdr:colOff>1733655</xdr:colOff>
      <xdr:row>26</xdr:row>
      <xdr:rowOff>141351</xdr:rowOff>
    </xdr:to>
    <xdr:sp macro="" textlink="">
      <xdr:nvSpPr>
        <xdr:cNvPr id="13" name="Isosceles Triangle 12">
          <a:extLst>
            <a:ext uri="{FF2B5EF4-FFF2-40B4-BE49-F238E27FC236}">
              <a16:creationId xmlns:a16="http://schemas.microsoft.com/office/drawing/2014/main" id="{FD5FF805-CF2C-4B78-849F-60E0BCE54DCC}"/>
            </a:ext>
          </a:extLst>
        </xdr:cNvPr>
        <xdr:cNvSpPr>
          <a:spLocks noChangeAspect="1"/>
        </xdr:cNvSpPr>
      </xdr:nvSpPr>
      <xdr:spPr>
        <a:xfrm rot="10800000">
          <a:off x="4572000" y="3619500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1647825</xdr:colOff>
      <xdr:row>31</xdr:row>
      <xdr:rowOff>104775</xdr:rowOff>
    </xdr:from>
    <xdr:to>
      <xdr:col>1</xdr:col>
      <xdr:colOff>1733655</xdr:colOff>
      <xdr:row>31</xdr:row>
      <xdr:rowOff>141351</xdr:rowOff>
    </xdr:to>
    <xdr:sp macro="" textlink="">
      <xdr:nvSpPr>
        <xdr:cNvPr id="14" name="Isosceles Triangle 13">
          <a:extLst>
            <a:ext uri="{FF2B5EF4-FFF2-40B4-BE49-F238E27FC236}">
              <a16:creationId xmlns:a16="http://schemas.microsoft.com/office/drawing/2014/main" id="{244DE9D1-6ADB-4DDB-BA72-2FE16957263E}"/>
            </a:ext>
          </a:extLst>
        </xdr:cNvPr>
        <xdr:cNvSpPr>
          <a:spLocks noChangeAspect="1"/>
        </xdr:cNvSpPr>
      </xdr:nvSpPr>
      <xdr:spPr>
        <a:xfrm rot="10800000">
          <a:off x="4572000" y="3848100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1647825</xdr:colOff>
      <xdr:row>37</xdr:row>
      <xdr:rowOff>114300</xdr:rowOff>
    </xdr:from>
    <xdr:to>
      <xdr:col>1</xdr:col>
      <xdr:colOff>1733655</xdr:colOff>
      <xdr:row>37</xdr:row>
      <xdr:rowOff>150876</xdr:rowOff>
    </xdr:to>
    <xdr:sp macro="" textlink="">
      <xdr:nvSpPr>
        <xdr:cNvPr id="15" name="Isosceles Triangle 14">
          <a:extLst>
            <a:ext uri="{FF2B5EF4-FFF2-40B4-BE49-F238E27FC236}">
              <a16:creationId xmlns:a16="http://schemas.microsoft.com/office/drawing/2014/main" id="{4EFAD11A-3147-43FA-9466-B363B6B28532}"/>
            </a:ext>
          </a:extLst>
        </xdr:cNvPr>
        <xdr:cNvSpPr>
          <a:spLocks noChangeAspect="1"/>
        </xdr:cNvSpPr>
      </xdr:nvSpPr>
      <xdr:spPr>
        <a:xfrm rot="10800000">
          <a:off x="4572000" y="4314825"/>
          <a:ext cx="85830" cy="36576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76200</xdr:rowOff>
    </xdr:from>
    <xdr:to>
      <xdr:col>18</xdr:col>
      <xdr:colOff>38100</xdr:colOff>
      <xdr:row>31</xdr:row>
      <xdr:rowOff>95250</xdr:rowOff>
    </xdr:to>
    <xdr:graphicFrame macro="">
      <xdr:nvGraphicFramePr>
        <xdr:cNvPr id="34049" name="Chart 1">
          <a:extLst>
            <a:ext uri="{FF2B5EF4-FFF2-40B4-BE49-F238E27FC236}">
              <a16:creationId xmlns:a16="http://schemas.microsoft.com/office/drawing/2014/main" id="{FD680BEC-6AA1-489F-B408-0F7AECD4ED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6</xdr:row>
          <xdr:rowOff>66675</xdr:rowOff>
        </xdr:from>
        <xdr:to>
          <xdr:col>9</xdr:col>
          <xdr:colOff>9525</xdr:colOff>
          <xdr:row>8</xdr:row>
          <xdr:rowOff>95250</xdr:rowOff>
        </xdr:to>
        <xdr:sp macro="" textlink="">
          <xdr:nvSpPr>
            <xdr:cNvPr id="33794" name="CommandButton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90EDF1A0-1147-4066-ABEA-CE4D1504D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6</xdr:row>
          <xdr:rowOff>66675</xdr:rowOff>
        </xdr:from>
        <xdr:to>
          <xdr:col>9</xdr:col>
          <xdr:colOff>1485900</xdr:colOff>
          <xdr:row>8</xdr:row>
          <xdr:rowOff>95250</xdr:rowOff>
        </xdr:to>
        <xdr:sp macro="" textlink="">
          <xdr:nvSpPr>
            <xdr:cNvPr id="33795" name="CommandButton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7BD96BD1-637D-4FA5-ABAF-224375D8E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</xdr:row>
          <xdr:rowOff>9525</xdr:rowOff>
        </xdr:from>
        <xdr:to>
          <xdr:col>9</xdr:col>
          <xdr:colOff>1485900</xdr:colOff>
          <xdr:row>6</xdr:row>
          <xdr:rowOff>38100</xdr:rowOff>
        </xdr:to>
        <xdr:sp macro="" textlink="">
          <xdr:nvSpPr>
            <xdr:cNvPr id="33796" name="CommandButton3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F37F3BB2-6D87-4973-8396-139304A97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0</xdr:rowOff>
        </xdr:from>
        <xdr:to>
          <xdr:col>8</xdr:col>
          <xdr:colOff>581025</xdr:colOff>
          <xdr:row>8</xdr:row>
          <xdr:rowOff>19050</xdr:rowOff>
        </xdr:to>
        <xdr:sp macro="" textlink="">
          <xdr:nvSpPr>
            <xdr:cNvPr id="33802" name="CommandButton4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FFA3724E-DE6A-43E3-9C71-5C9E24C66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219075</xdr:rowOff>
        </xdr:from>
        <xdr:to>
          <xdr:col>8</xdr:col>
          <xdr:colOff>581025</xdr:colOff>
          <xdr:row>11</xdr:row>
          <xdr:rowOff>9525</xdr:rowOff>
        </xdr:to>
        <xdr:sp macro="" textlink="">
          <xdr:nvSpPr>
            <xdr:cNvPr id="33803" name="CommandButton5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7BBBDE7C-E0BB-4261-93AD-A991D8986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152400</xdr:colOff>
      <xdr:row>32</xdr:row>
      <xdr:rowOff>200025</xdr:rowOff>
    </xdr:from>
    <xdr:to>
      <xdr:col>9</xdr:col>
      <xdr:colOff>495300</xdr:colOff>
      <xdr:row>44</xdr:row>
      <xdr:rowOff>9525</xdr:rowOff>
    </xdr:to>
    <xdr:pic>
      <xdr:nvPicPr>
        <xdr:cNvPr id="34050" name="Picture 1">
          <a:extLst>
            <a:ext uri="{FF2B5EF4-FFF2-40B4-BE49-F238E27FC236}">
              <a16:creationId xmlns:a16="http://schemas.microsoft.com/office/drawing/2014/main" id="{974A0708-EFAA-4315-9BDC-FFBC2C27B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441" t="30655" r="1137" b="1787"/>
        <a:stretch>
          <a:fillRect/>
        </a:stretch>
      </xdr:blipFill>
      <xdr:spPr bwMode="auto">
        <a:xfrm>
          <a:off x="6438900" y="5962650"/>
          <a:ext cx="2371725" cy="2162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1533525</xdr:colOff>
      <xdr:row>6</xdr:row>
      <xdr:rowOff>200025</xdr:rowOff>
    </xdr:from>
    <xdr:to>
      <xdr:col>2</xdr:col>
      <xdr:colOff>9526</xdr:colOff>
      <xdr:row>8</xdr:row>
      <xdr:rowOff>85725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F14EAC8-4BCB-45F3-8FA3-ACD0CE2224BD}"/>
            </a:ext>
          </a:extLst>
        </xdr:cNvPr>
        <xdr:cNvSpPr txBox="1"/>
      </xdr:nvSpPr>
      <xdr:spPr>
        <a:xfrm>
          <a:off x="1914525" y="885825"/>
          <a:ext cx="914401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700">
              <a:latin typeface="Arial" panose="020B0604020202020204" pitchFamily="34" charset="0"/>
              <a:cs typeface="Arial" panose="020B0604020202020204" pitchFamily="34" charset="0"/>
            </a:rPr>
            <a:t>24HH:MM</a:t>
          </a:r>
          <a:r>
            <a:rPr lang="en-US" sz="700" baseline="0">
              <a:latin typeface="Arial" panose="020B0604020202020204" pitchFamily="34" charset="0"/>
              <a:cs typeface="Arial" panose="020B0604020202020204" pitchFamily="34" charset="0"/>
            </a:rPr>
            <a:t>   or</a:t>
          </a:r>
        </a:p>
        <a:p>
          <a:pPr algn="ctr"/>
          <a:r>
            <a:rPr lang="en-US" sz="700" baseline="0">
              <a:latin typeface="Arial" panose="020B0604020202020204" pitchFamily="34" charset="0"/>
              <a:cs typeface="Arial" panose="020B0604020202020204" pitchFamily="34" charset="0"/>
            </a:rPr>
            <a:t>M/DD 24HH:MM</a:t>
          </a:r>
          <a:endParaRPr lang="en-US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15</xdr:col>
      <xdr:colOff>276225</xdr:colOff>
      <xdr:row>25</xdr:row>
      <xdr:rowOff>47625</xdr:rowOff>
    </xdr:to>
    <xdr:graphicFrame macro="">
      <xdr:nvGraphicFramePr>
        <xdr:cNvPr id="31865" name="Chart 1">
          <a:extLst>
            <a:ext uri="{FF2B5EF4-FFF2-40B4-BE49-F238E27FC236}">
              <a16:creationId xmlns:a16="http://schemas.microsoft.com/office/drawing/2014/main" id="{2A5E81DC-A316-4713-8C37-12FF7CBD36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4</xdr:row>
          <xdr:rowOff>114300</xdr:rowOff>
        </xdr:from>
        <xdr:to>
          <xdr:col>5</xdr:col>
          <xdr:colOff>1771650</xdr:colOff>
          <xdr:row>7</xdr:row>
          <xdr:rowOff>28575</xdr:rowOff>
        </xdr:to>
        <xdr:sp macro="" textlink="">
          <xdr:nvSpPr>
            <xdr:cNvPr id="31746" name="CommandButton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FA1CE884-D9ED-4147-8AFB-90F0F9AA7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1857375</xdr:colOff>
          <xdr:row>4</xdr:row>
          <xdr:rowOff>114300</xdr:rowOff>
        </xdr:from>
        <xdr:to>
          <xdr:col>5</xdr:col>
          <xdr:colOff>3248025</xdr:colOff>
          <xdr:row>7</xdr:row>
          <xdr:rowOff>28575</xdr:rowOff>
        </xdr:to>
        <xdr:sp macro="" textlink="">
          <xdr:nvSpPr>
            <xdr:cNvPr id="31747" name="CommandButton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A77A6236-EF10-4EB1-BF37-61E4005C5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0</xdr:rowOff>
        </xdr:from>
        <xdr:to>
          <xdr:col>5</xdr:col>
          <xdr:colOff>3248025</xdr:colOff>
          <xdr:row>4</xdr:row>
          <xdr:rowOff>66675</xdr:rowOff>
        </xdr:to>
        <xdr:sp macro="" textlink="">
          <xdr:nvSpPr>
            <xdr:cNvPr id="31748" name="CommandButton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5A7117D7-C63D-446D-AE86-42C8DFBB5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21</xdr:row>
          <xdr:rowOff>57150</xdr:rowOff>
        </xdr:from>
        <xdr:to>
          <xdr:col>5</xdr:col>
          <xdr:colOff>1209675</xdr:colOff>
          <xdr:row>23</xdr:row>
          <xdr:rowOff>85725</xdr:rowOff>
        </xdr:to>
        <xdr:sp macro="" textlink="">
          <xdr:nvSpPr>
            <xdr:cNvPr id="31750" name="CommandButton4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69409CB9-3F27-48FE-9C16-A0A0545F7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>
          <a:defRPr/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yost@dmc.org?subject=PK%20Calculator%20issue" TargetMode="Externa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5" Type="http://schemas.openxmlformats.org/officeDocument/2006/relationships/image" Target="../media/image23.emf"/><Relationship Id="rId4" Type="http://schemas.openxmlformats.org/officeDocument/2006/relationships/control" Target="../activeX/activeX17.xml"/><Relationship Id="rId9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1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ntrol" Target="../activeX/activeX2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K15"/>
  <sheetViews>
    <sheetView showGridLines="0" showRowColHeaders="0" zoomScale="85" zoomScaleNormal="85" workbookViewId="0">
      <selection activeCell="A76" sqref="A76"/>
    </sheetView>
  </sheetViews>
  <sheetFormatPr defaultRowHeight="12.75" x14ac:dyDescent="0.2"/>
  <cols>
    <col min="1" max="1" width="2.28515625" style="112" customWidth="1"/>
    <col min="2" max="3" width="7" style="112" customWidth="1"/>
    <col min="4" max="4" width="9.85546875" style="112" customWidth="1"/>
    <col min="5" max="5" width="65.140625" style="112" customWidth="1"/>
    <col min="6" max="6" width="40" style="112" customWidth="1"/>
    <col min="7" max="7" width="92.140625" style="112" customWidth="1"/>
    <col min="8" max="16384" width="9.140625" style="112"/>
  </cols>
  <sheetData>
    <row r="1" spans="2:11" ht="38.25" customHeight="1" x14ac:dyDescent="0.2">
      <c r="B1" s="265" t="s">
        <v>114</v>
      </c>
      <c r="C1" s="265"/>
      <c r="D1" s="265"/>
      <c r="E1" s="138"/>
      <c r="F1" s="138"/>
      <c r="G1" s="138"/>
    </row>
    <row r="2" spans="2:11" x14ac:dyDescent="0.2">
      <c r="B2" s="266" t="s">
        <v>115</v>
      </c>
      <c r="C2" s="266"/>
      <c r="D2" s="266"/>
      <c r="E2" s="138"/>
      <c r="F2" s="138"/>
      <c r="G2" s="268" t="s">
        <v>209</v>
      </c>
      <c r="H2" s="269"/>
      <c r="I2" s="269"/>
      <c r="J2" s="269"/>
      <c r="K2" s="269"/>
    </row>
    <row r="3" spans="2:11" x14ac:dyDescent="0.2">
      <c r="B3" s="267" t="s">
        <v>144</v>
      </c>
      <c r="C3" s="267"/>
      <c r="D3" s="267"/>
      <c r="E3" s="138"/>
      <c r="G3" s="269"/>
      <c r="H3" s="269"/>
      <c r="I3" s="269"/>
      <c r="J3" s="269"/>
      <c r="K3" s="269"/>
    </row>
    <row r="4" spans="2:11" ht="22.5" customHeight="1" x14ac:dyDescent="0.2">
      <c r="B4" s="147"/>
      <c r="C4" s="147"/>
      <c r="D4" s="147"/>
      <c r="E4" s="138"/>
      <c r="F4" s="138"/>
      <c r="G4" s="138"/>
    </row>
    <row r="5" spans="2:11" ht="75" customHeight="1" x14ac:dyDescent="0.2">
      <c r="B5" s="138"/>
      <c r="C5" s="138"/>
      <c r="D5" s="138"/>
      <c r="E5" s="139"/>
      <c r="F5" s="138"/>
      <c r="G5" s="139"/>
    </row>
    <row r="6" spans="2:11" ht="75" customHeight="1" x14ac:dyDescent="0.2">
      <c r="B6" s="138"/>
      <c r="C6" s="138"/>
      <c r="D6" s="138"/>
      <c r="E6" s="139"/>
      <c r="F6" s="138"/>
      <c r="G6" s="138"/>
    </row>
    <row r="7" spans="2:11" ht="75" customHeight="1" x14ac:dyDescent="0.2">
      <c r="B7" s="138"/>
      <c r="C7" s="138"/>
      <c r="D7" s="138"/>
      <c r="E7" s="139"/>
      <c r="F7" s="138"/>
      <c r="G7" s="138"/>
    </row>
    <row r="8" spans="2:11" ht="75" customHeight="1" x14ac:dyDescent="0.2">
      <c r="B8" s="138"/>
      <c r="C8" s="138"/>
      <c r="D8" s="138"/>
      <c r="F8" s="138"/>
      <c r="G8" s="138"/>
    </row>
    <row r="9" spans="2:11" ht="75" customHeight="1" x14ac:dyDescent="0.2">
      <c r="B9" s="138"/>
      <c r="C9" s="138" t="str">
        <f>IF(C6&lt;750,"",IF(C6&lt;1125,1,IF(C6&lt;1625,1.5,2)))</f>
        <v/>
      </c>
      <c r="D9" s="138"/>
      <c r="E9" s="139"/>
      <c r="F9" s="138"/>
      <c r="G9" s="138"/>
    </row>
    <row r="10" spans="2:11" ht="75" customHeight="1" x14ac:dyDescent="0.2">
      <c r="B10" s="138"/>
      <c r="C10" s="138"/>
      <c r="D10" s="138"/>
      <c r="E10" s="139"/>
      <c r="F10" s="138"/>
      <c r="G10" s="138"/>
    </row>
    <row r="11" spans="2:11" ht="75" customHeight="1" x14ac:dyDescent="0.2">
      <c r="B11" s="138"/>
      <c r="C11" s="138"/>
      <c r="D11" s="138"/>
      <c r="E11" s="138"/>
      <c r="F11" s="138"/>
      <c r="G11" s="138"/>
    </row>
    <row r="12" spans="2:11" ht="75" customHeight="1" x14ac:dyDescent="0.2">
      <c r="B12" s="138"/>
      <c r="C12" s="138"/>
      <c r="D12" s="138"/>
      <c r="E12" s="138"/>
      <c r="F12" s="138"/>
      <c r="G12" s="138"/>
    </row>
    <row r="15" spans="2:11" ht="19.5" x14ac:dyDescent="0.25">
      <c r="E15" s="237" t="s">
        <v>174</v>
      </c>
    </row>
  </sheetData>
  <sheetProtection selectLockedCells="1"/>
  <mergeCells count="4">
    <mergeCell ref="B1:D1"/>
    <mergeCell ref="B2:D2"/>
    <mergeCell ref="B3:D3"/>
    <mergeCell ref="G2:K3"/>
  </mergeCells>
  <phoneticPr fontId="6" type="noConversion"/>
  <hyperlinks>
    <hyperlink ref="E15" r:id="rId1" display="Report calculator issues to ryost@dmc.org"/>
  </hyperlinks>
  <pageMargins left="0.75" right="0.75" top="1" bottom="1" header="0.5" footer="0.5"/>
  <pageSetup orientation="portrait" r:id="rId2"/>
  <headerFooter alignWithMargins="0"/>
  <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03"/>
  <sheetViews>
    <sheetView showGridLines="0" showRowColHeaders="0" workbookViewId="0">
      <selection activeCell="B3" sqref="B3"/>
    </sheetView>
  </sheetViews>
  <sheetFormatPr defaultColWidth="8.85546875" defaultRowHeight="12.75" x14ac:dyDescent="0.2"/>
  <cols>
    <col min="1" max="1" width="28" style="1" bestFit="1" customWidth="1"/>
    <col min="2" max="2" width="21.28515625" style="1" customWidth="1"/>
    <col min="3" max="3" width="11.5703125" style="1" customWidth="1"/>
    <col min="4" max="4" width="49.85546875" style="1" customWidth="1"/>
    <col min="5" max="5" width="11" style="1" customWidth="1"/>
    <col min="6" max="6" width="18.140625" style="1" customWidth="1"/>
    <col min="7" max="7" width="25.5703125" style="1" bestFit="1" customWidth="1"/>
    <col min="8" max="8" width="12.7109375" style="1" bestFit="1" customWidth="1"/>
    <col min="9" max="9" width="18.42578125" style="1" customWidth="1"/>
    <col min="10" max="14" width="8.85546875" style="1"/>
    <col min="15" max="15" width="20" style="1" customWidth="1"/>
    <col min="16" max="16384" width="8.85546875" style="1"/>
  </cols>
  <sheetData>
    <row r="1" spans="1:14" ht="34.5" customHeight="1" x14ac:dyDescent="0.2">
      <c r="A1" s="276" t="s">
        <v>123</v>
      </c>
      <c r="B1" s="276"/>
      <c r="C1" s="276"/>
      <c r="D1" s="276"/>
      <c r="E1" s="276"/>
      <c r="F1" s="276"/>
      <c r="G1" s="276"/>
      <c r="H1" s="276"/>
      <c r="I1" s="276"/>
      <c r="J1" s="2"/>
      <c r="K1" s="2"/>
      <c r="L1" s="2"/>
      <c r="M1" s="2"/>
      <c r="N1" s="2"/>
    </row>
    <row r="2" spans="1:14" ht="18" x14ac:dyDescent="0.25">
      <c r="A2" s="277" t="s">
        <v>181</v>
      </c>
      <c r="B2" s="277"/>
      <c r="C2" s="277"/>
      <c r="D2" s="2"/>
      <c r="E2" s="277" t="s">
        <v>136</v>
      </c>
      <c r="F2" s="277"/>
      <c r="G2" s="277"/>
      <c r="H2" s="277"/>
      <c r="I2" s="2"/>
      <c r="J2" s="2"/>
      <c r="K2" s="2"/>
      <c r="L2" s="2"/>
      <c r="M2" s="2"/>
      <c r="N2" s="2"/>
    </row>
    <row r="3" spans="1:14" s="49" customFormat="1" ht="15.75" x14ac:dyDescent="0.25">
      <c r="A3" s="42" t="s">
        <v>28</v>
      </c>
      <c r="B3" s="43"/>
      <c r="C3" s="44" t="s">
        <v>32</v>
      </c>
      <c r="D3" s="45"/>
      <c r="E3" s="46"/>
      <c r="F3" s="47" t="s">
        <v>19</v>
      </c>
      <c r="G3" s="48">
        <v>500</v>
      </c>
      <c r="H3" s="44" t="s">
        <v>18</v>
      </c>
      <c r="I3" s="143" t="s">
        <v>52</v>
      </c>
      <c r="J3" s="143"/>
      <c r="K3" s="143"/>
      <c r="L3" s="143"/>
      <c r="M3" s="143"/>
      <c r="N3" s="143"/>
    </row>
    <row r="4" spans="1:14" s="49" customFormat="1" ht="15.75" x14ac:dyDescent="0.25">
      <c r="A4" s="42" t="s">
        <v>29</v>
      </c>
      <c r="B4" s="43"/>
      <c r="C4" s="44"/>
      <c r="D4" s="45"/>
      <c r="E4" s="46"/>
      <c r="F4" s="47" t="s">
        <v>13</v>
      </c>
      <c r="G4" s="48">
        <v>35</v>
      </c>
      <c r="H4" s="44" t="s">
        <v>8</v>
      </c>
      <c r="I4" s="143" t="s">
        <v>53</v>
      </c>
      <c r="J4" s="143"/>
      <c r="K4" s="143"/>
      <c r="L4" s="143"/>
      <c r="M4" s="143"/>
      <c r="N4" s="143"/>
    </row>
    <row r="5" spans="1:14" s="49" customFormat="1" ht="15.75" hidden="1" x14ac:dyDescent="0.25">
      <c r="A5" s="42"/>
      <c r="B5" s="43" t="s">
        <v>34</v>
      </c>
      <c r="C5" s="44"/>
      <c r="D5" s="45"/>
      <c r="E5" s="46"/>
      <c r="F5" s="47"/>
      <c r="G5" s="48"/>
      <c r="H5" s="44"/>
      <c r="I5" s="143"/>
      <c r="J5" s="143"/>
      <c r="K5" s="143"/>
      <c r="L5" s="143"/>
      <c r="M5" s="143"/>
      <c r="N5" s="143"/>
    </row>
    <row r="6" spans="1:14" s="49" customFormat="1" ht="15.75" hidden="1" x14ac:dyDescent="0.25">
      <c r="A6" s="42"/>
      <c r="B6" s="43" t="s">
        <v>35</v>
      </c>
      <c r="C6" s="44"/>
      <c r="D6" s="45"/>
      <c r="E6" s="46"/>
      <c r="F6" s="47"/>
      <c r="G6" s="48"/>
      <c r="H6" s="44"/>
      <c r="I6" s="143"/>
      <c r="J6" s="143"/>
      <c r="K6" s="143"/>
      <c r="L6" s="143"/>
      <c r="M6" s="143"/>
      <c r="N6" s="143"/>
    </row>
    <row r="7" spans="1:14" s="49" customFormat="1" ht="15.75" x14ac:dyDescent="0.25">
      <c r="A7" s="42" t="s">
        <v>30</v>
      </c>
      <c r="B7" s="43"/>
      <c r="C7" s="44" t="s">
        <v>33</v>
      </c>
      <c r="D7" s="75"/>
      <c r="E7" s="46"/>
      <c r="F7" s="47" t="s">
        <v>14</v>
      </c>
      <c r="G7" s="48">
        <v>12.5</v>
      </c>
      <c r="H7" s="44" t="s">
        <v>8</v>
      </c>
      <c r="I7" s="143" t="s">
        <v>54</v>
      </c>
      <c r="J7" s="143"/>
      <c r="K7" s="143"/>
      <c r="L7" s="143"/>
      <c r="M7" s="143"/>
      <c r="N7" s="143"/>
    </row>
    <row r="8" spans="1:14" s="49" customFormat="1" ht="18.75" x14ac:dyDescent="0.35">
      <c r="A8" s="42" t="s">
        <v>36</v>
      </c>
      <c r="B8" s="43"/>
      <c r="C8" s="50" t="s">
        <v>41</v>
      </c>
      <c r="D8" s="76">
        <f>IF(C8="inches",B8,B8/2.54)</f>
        <v>0</v>
      </c>
      <c r="E8" s="46"/>
      <c r="F8" s="47" t="s">
        <v>124</v>
      </c>
      <c r="G8" s="221"/>
      <c r="H8" s="44" t="str">
        <f>IF(H9&lt;0.1,"",CONCATENATE(ROUND(H9,0)," ",H10))</f>
        <v/>
      </c>
      <c r="I8" s="117" t="str">
        <f>IF(ISERROR(D13&gt;1.3*B18),"TBW",IF(D13&gt;1.3*B18,"AdjBW","TBW"))</f>
        <v>TBW</v>
      </c>
      <c r="J8" s="143"/>
      <c r="K8" s="143"/>
      <c r="L8" s="143"/>
      <c r="M8" s="143"/>
      <c r="N8" s="143"/>
    </row>
    <row r="9" spans="1:14" s="49" customFormat="1" ht="15.75" hidden="1" x14ac:dyDescent="0.25">
      <c r="A9" s="42"/>
      <c r="B9" s="43"/>
      <c r="C9" s="52" t="s">
        <v>41</v>
      </c>
      <c r="D9" s="76"/>
      <c r="E9" s="46"/>
      <c r="F9" s="47"/>
      <c r="G9" s="51" t="s">
        <v>152</v>
      </c>
      <c r="H9" s="53">
        <f>IF(G8="TBW",B24,IF(G8="AdjBW",B25,IF(G8="IBW",B26,G24)))</f>
        <v>0</v>
      </c>
      <c r="I9" s="143"/>
      <c r="J9" s="143"/>
      <c r="K9" s="143"/>
      <c r="L9" s="143"/>
      <c r="M9" s="143"/>
      <c r="N9" s="143"/>
    </row>
    <row r="10" spans="1:14" s="49" customFormat="1" ht="15.75" hidden="1" x14ac:dyDescent="0.25">
      <c r="A10" s="42"/>
      <c r="B10" s="43"/>
      <c r="C10" s="52" t="s">
        <v>37</v>
      </c>
      <c r="D10" s="76"/>
      <c r="E10" s="46"/>
      <c r="F10" s="47"/>
      <c r="G10" s="51" t="s">
        <v>49</v>
      </c>
      <c r="H10" s="44" t="s">
        <v>1</v>
      </c>
      <c r="I10" s="143"/>
      <c r="J10" s="143"/>
      <c r="K10" s="143"/>
      <c r="L10" s="143"/>
      <c r="M10" s="143"/>
      <c r="N10" s="143"/>
    </row>
    <row r="11" spans="1:14" s="49" customFormat="1" ht="15.75" hidden="1" x14ac:dyDescent="0.25">
      <c r="A11" s="42"/>
      <c r="B11" s="43"/>
      <c r="C11" s="52"/>
      <c r="D11" s="75"/>
      <c r="E11" s="46"/>
      <c r="F11" s="47"/>
      <c r="G11" s="51" t="s">
        <v>42</v>
      </c>
      <c r="H11" s="44"/>
      <c r="I11" s="143"/>
      <c r="J11" s="143"/>
      <c r="K11" s="143"/>
      <c r="L11" s="143"/>
      <c r="M11" s="143"/>
      <c r="N11" s="143"/>
    </row>
    <row r="12" spans="1:14" s="49" customFormat="1" ht="15.75" hidden="1" x14ac:dyDescent="0.25">
      <c r="A12" s="42"/>
      <c r="B12" s="43"/>
      <c r="C12" s="52"/>
      <c r="D12" s="75"/>
      <c r="E12" s="46"/>
      <c r="F12" s="47"/>
      <c r="G12" s="51" t="s">
        <v>51</v>
      </c>
      <c r="H12" s="44"/>
      <c r="I12" s="143"/>
      <c r="J12" s="143"/>
      <c r="K12" s="143"/>
      <c r="L12" s="143"/>
      <c r="M12" s="143"/>
      <c r="N12" s="143"/>
    </row>
    <row r="13" spans="1:14" s="49" customFormat="1" ht="15.75" x14ac:dyDescent="0.25">
      <c r="A13" s="42" t="s">
        <v>151</v>
      </c>
      <c r="B13" s="54"/>
      <c r="C13" s="50" t="s">
        <v>0</v>
      </c>
      <c r="D13" s="76">
        <f>IF(C13="kg",B13,B13/2.2)</f>
        <v>0</v>
      </c>
      <c r="E13" s="46"/>
      <c r="F13" s="47" t="s">
        <v>125</v>
      </c>
      <c r="G13" s="51" t="s">
        <v>152</v>
      </c>
      <c r="H13" s="44" t="str">
        <f>CONCATENATE(ROUND(H14,0)," ",H15)</f>
        <v>0 kg</v>
      </c>
      <c r="I13" s="117" t="str">
        <f>IF(ISERROR(D13&gt;1.3*B18),"TBW",IF(D13&gt;1.3*B18,"AdjBW","TBW"))</f>
        <v>TBW</v>
      </c>
      <c r="J13" s="143"/>
      <c r="K13" s="143"/>
      <c r="L13" s="143"/>
      <c r="M13" s="143"/>
      <c r="N13" s="143"/>
    </row>
    <row r="14" spans="1:14" s="49" customFormat="1" ht="15.75" hidden="1" x14ac:dyDescent="0.25">
      <c r="A14" s="44"/>
      <c r="B14" s="55"/>
      <c r="C14" s="56" t="s">
        <v>0</v>
      </c>
      <c r="D14" s="45"/>
      <c r="E14" s="46"/>
      <c r="F14" s="47"/>
      <c r="G14" s="51" t="s">
        <v>152</v>
      </c>
      <c r="H14" s="44">
        <f>IF(G13="TBW",D13,IF(G13="AdjBW",B20,IF(G13="IBW",B18,G25)))</f>
        <v>0</v>
      </c>
      <c r="I14" s="143"/>
      <c r="J14" s="143"/>
      <c r="K14" s="143"/>
      <c r="L14" s="143"/>
      <c r="M14" s="143"/>
      <c r="N14" s="143"/>
    </row>
    <row r="15" spans="1:14" s="49" customFormat="1" ht="15.75" hidden="1" x14ac:dyDescent="0.25">
      <c r="A15" s="44"/>
      <c r="B15" s="55"/>
      <c r="C15" s="56" t="s">
        <v>40</v>
      </c>
      <c r="D15" s="45"/>
      <c r="E15" s="46"/>
      <c r="F15" s="47"/>
      <c r="G15" s="51" t="s">
        <v>49</v>
      </c>
      <c r="H15" s="44" t="s">
        <v>0</v>
      </c>
      <c r="I15" s="143"/>
      <c r="J15" s="143"/>
      <c r="K15" s="143"/>
      <c r="L15" s="143"/>
      <c r="M15" s="143"/>
      <c r="N15" s="143"/>
    </row>
    <row r="16" spans="1:14" s="49" customFormat="1" ht="15.75" hidden="1" x14ac:dyDescent="0.25">
      <c r="A16" s="44"/>
      <c r="B16" s="55"/>
      <c r="C16" s="56"/>
      <c r="D16" s="45"/>
      <c r="E16" s="46"/>
      <c r="F16" s="47"/>
      <c r="G16" s="51" t="s">
        <v>50</v>
      </c>
      <c r="H16" s="44"/>
      <c r="I16" s="143"/>
      <c r="J16" s="143"/>
      <c r="K16" s="143"/>
      <c r="L16" s="143"/>
      <c r="M16" s="143"/>
      <c r="N16" s="143"/>
    </row>
    <row r="17" spans="1:15" s="49" customFormat="1" ht="15.75" hidden="1" x14ac:dyDescent="0.25">
      <c r="A17" s="44"/>
      <c r="B17" s="55"/>
      <c r="C17" s="56"/>
      <c r="D17" s="45"/>
      <c r="E17" s="46"/>
      <c r="F17" s="47"/>
      <c r="G17" s="51"/>
      <c r="H17" s="44"/>
      <c r="I17" s="143"/>
      <c r="J17" s="143"/>
      <c r="K17" s="143"/>
      <c r="L17" s="143"/>
      <c r="M17" s="143"/>
      <c r="N17" s="143"/>
    </row>
    <row r="18" spans="1:15" s="49" customFormat="1" ht="15.75" x14ac:dyDescent="0.25">
      <c r="A18" s="57" t="s">
        <v>42</v>
      </c>
      <c r="B18" s="58" t="str">
        <f>IF(B8&lt;1,"",IF(B4="male",50+2.3*(D8-60),45.5+2.3*(D8-60)))</f>
        <v/>
      </c>
      <c r="C18" s="44" t="s">
        <v>0</v>
      </c>
      <c r="D18" s="60" t="s">
        <v>43</v>
      </c>
      <c r="E18" s="46"/>
      <c r="F18" s="47" t="s">
        <v>9</v>
      </c>
      <c r="G18" s="48">
        <v>0.65</v>
      </c>
      <c r="H18" s="44" t="s">
        <v>2</v>
      </c>
      <c r="I18" s="143" t="s">
        <v>60</v>
      </c>
      <c r="J18" s="143"/>
      <c r="K18" s="143"/>
      <c r="L18" s="143"/>
      <c r="M18" s="143"/>
      <c r="N18" s="143"/>
    </row>
    <row r="19" spans="1:15" s="49" customFormat="1" ht="15.75" hidden="1" x14ac:dyDescent="0.25">
      <c r="A19" s="57"/>
      <c r="B19" s="58"/>
      <c r="C19" s="44"/>
      <c r="D19" s="60"/>
      <c r="E19" s="46"/>
      <c r="F19" s="47"/>
      <c r="G19" s="48"/>
      <c r="H19" s="44">
        <f>G18*H14</f>
        <v>0</v>
      </c>
      <c r="I19" s="149"/>
      <c r="J19" s="149"/>
      <c r="K19" s="143"/>
      <c r="L19" s="143"/>
      <c r="M19" s="143"/>
      <c r="N19" s="143"/>
    </row>
    <row r="20" spans="1:15" s="49" customFormat="1" ht="18.75" customHeight="1" x14ac:dyDescent="0.35">
      <c r="A20" s="57" t="s">
        <v>49</v>
      </c>
      <c r="B20" s="58" t="str">
        <f>IF(B8&lt;1,"",IF(D13&gt;1.3*B18,B18+0.4*(D13-B18),""))</f>
        <v/>
      </c>
      <c r="C20" s="44" t="s">
        <v>0</v>
      </c>
      <c r="D20" s="60" t="s">
        <v>198</v>
      </c>
      <c r="E20" s="46"/>
      <c r="F20" s="47" t="s">
        <v>91</v>
      </c>
      <c r="G20" s="165"/>
      <c r="H20" s="44" t="str">
        <f>IF(G20="","",CONCATENATE(ROUND(H21,3)," ",H22))</f>
        <v/>
      </c>
      <c r="I20" s="273" t="str">
        <f>IF(G20=G21,I28,IF(G20=G22,I29,IF(G20=G23,I30,"")))</f>
        <v/>
      </c>
      <c r="J20" s="274"/>
      <c r="K20" s="274"/>
      <c r="L20" s="274"/>
      <c r="M20" s="274"/>
      <c r="N20" s="166"/>
    </row>
    <row r="21" spans="1:15" s="49" customFormat="1" ht="12.75" hidden="1" customHeight="1" x14ac:dyDescent="0.25">
      <c r="A21" s="57"/>
      <c r="B21" s="58"/>
      <c r="C21" s="44"/>
      <c r="D21" s="60"/>
      <c r="E21" s="46"/>
      <c r="F21" s="47"/>
      <c r="G21" s="48" t="s">
        <v>55</v>
      </c>
      <c r="H21" s="44" t="str">
        <f>IF(G20=G21,H9*0.0016,IF(G20=G22,H9*0.00083+0.0044,IF(G20=G23,H9/H19*60/1000,"")))</f>
        <v/>
      </c>
      <c r="I21" s="275"/>
      <c r="J21" s="274"/>
      <c r="K21" s="274"/>
      <c r="L21" s="274"/>
      <c r="M21" s="274"/>
      <c r="N21" s="166"/>
    </row>
    <row r="22" spans="1:15" s="49" customFormat="1" ht="12.75" hidden="1" customHeight="1" x14ac:dyDescent="0.25">
      <c r="A22" s="57"/>
      <c r="B22" s="58"/>
      <c r="C22" s="44"/>
      <c r="D22" s="60"/>
      <c r="E22" s="46"/>
      <c r="F22" s="47"/>
      <c r="G22" s="48" t="s">
        <v>56</v>
      </c>
      <c r="H22" s="44" t="s">
        <v>92</v>
      </c>
      <c r="I22" s="275"/>
      <c r="J22" s="274"/>
      <c r="K22" s="274"/>
      <c r="L22" s="274"/>
      <c r="M22" s="274"/>
      <c r="N22" s="166"/>
    </row>
    <row r="23" spans="1:15" s="49" customFormat="1" ht="12.75" hidden="1" customHeight="1" x14ac:dyDescent="0.25">
      <c r="A23" s="57"/>
      <c r="B23" s="58"/>
      <c r="C23" s="44"/>
      <c r="D23" s="60"/>
      <c r="E23" s="46"/>
      <c r="F23" s="47"/>
      <c r="G23" s="48" t="s">
        <v>57</v>
      </c>
      <c r="H23" s="44"/>
      <c r="I23" s="275"/>
      <c r="J23" s="274"/>
      <c r="K23" s="274"/>
      <c r="L23" s="274"/>
      <c r="M23" s="274"/>
      <c r="N23" s="166"/>
    </row>
    <row r="24" spans="1:15" s="49" customFormat="1" ht="15.75" x14ac:dyDescent="0.25">
      <c r="A24" s="57" t="s">
        <v>182</v>
      </c>
      <c r="B24" s="59" t="str">
        <f>IF(B13&lt;1,"",IF(B4="Male",(140-B3)*B13/72/B7,0.85*(140-B3)*B13/72/B7))</f>
        <v/>
      </c>
      <c r="C24" s="44" t="s">
        <v>1</v>
      </c>
      <c r="D24" s="60" t="s">
        <v>197</v>
      </c>
      <c r="E24" s="46"/>
      <c r="F24" s="47" t="s">
        <v>46</v>
      </c>
      <c r="G24" s="48"/>
      <c r="H24" s="44" t="s">
        <v>1</v>
      </c>
      <c r="I24" s="275"/>
      <c r="J24" s="274"/>
      <c r="K24" s="274"/>
      <c r="L24" s="274"/>
      <c r="M24" s="274"/>
      <c r="N24" s="166"/>
    </row>
    <row r="25" spans="1:15" s="49" customFormat="1" ht="15.75" x14ac:dyDescent="0.25">
      <c r="A25" s="57" t="s">
        <v>196</v>
      </c>
      <c r="B25" s="59" t="str">
        <f>IF(B20="","",IF(D13&lt;1.3*B18,"",IF(B4="Male",(140-B3)*B20/72/B7,0.85*(140-B3)*B20/72/B7)))</f>
        <v/>
      </c>
      <c r="C25" s="44" t="s">
        <v>1</v>
      </c>
      <c r="D25" s="60" t="s">
        <v>44</v>
      </c>
      <c r="E25" s="46"/>
      <c r="F25" s="47" t="s">
        <v>47</v>
      </c>
      <c r="G25" s="48"/>
      <c r="H25" s="44" t="s">
        <v>0</v>
      </c>
      <c r="I25" s="275"/>
      <c r="J25" s="274"/>
      <c r="K25" s="274"/>
      <c r="L25" s="274"/>
      <c r="M25" s="274"/>
      <c r="N25" s="166"/>
    </row>
    <row r="26" spans="1:15" s="49" customFormat="1" ht="15.75" x14ac:dyDescent="0.25">
      <c r="A26" s="57" t="s">
        <v>183</v>
      </c>
      <c r="B26" s="59" t="str">
        <f>IF(B8&lt;1,"",IF(B4="Male",(140-B3)*B18/72/B7,0.85*(140-B3)*B18/72/B7))</f>
        <v/>
      </c>
      <c r="C26" s="44" t="s">
        <v>1</v>
      </c>
      <c r="D26" s="60" t="s">
        <v>45</v>
      </c>
      <c r="E26" s="46"/>
      <c r="F26" s="47" t="s">
        <v>48</v>
      </c>
      <c r="G26" s="48">
        <v>1</v>
      </c>
      <c r="H26" s="44" t="s">
        <v>58</v>
      </c>
      <c r="I26" s="275"/>
      <c r="J26" s="274"/>
      <c r="K26" s="274"/>
      <c r="L26" s="274"/>
      <c r="M26" s="274"/>
      <c r="N26" s="166"/>
    </row>
    <row r="27" spans="1:15" ht="18" x14ac:dyDescent="0.25">
      <c r="A27" s="9"/>
      <c r="B27" s="9"/>
      <c r="C27" s="9"/>
      <c r="D27" s="9"/>
      <c r="E27" s="9"/>
      <c r="F27" s="9"/>
      <c r="G27" s="9"/>
      <c r="H27" s="9"/>
      <c r="I27" s="9"/>
      <c r="J27" s="2"/>
      <c r="K27" s="2"/>
      <c r="L27" s="2"/>
      <c r="M27" s="2"/>
      <c r="N27" s="2"/>
    </row>
    <row r="28" spans="1:15" ht="18" hidden="1" x14ac:dyDescent="0.25">
      <c r="A28" s="9"/>
      <c r="B28" s="9"/>
      <c r="C28" s="9"/>
      <c r="D28" s="9"/>
      <c r="E28" s="9"/>
      <c r="F28" s="9"/>
      <c r="G28" s="9"/>
      <c r="H28" s="14"/>
      <c r="I28" s="271" t="s">
        <v>61</v>
      </c>
      <c r="J28" s="272"/>
      <c r="K28" s="272"/>
      <c r="L28" s="272"/>
      <c r="M28" s="272"/>
      <c r="N28" s="272"/>
      <c r="O28" s="272"/>
    </row>
    <row r="29" spans="1:15" ht="18" hidden="1" x14ac:dyDescent="0.25">
      <c r="A29" s="9"/>
      <c r="B29" s="9"/>
      <c r="C29" s="9"/>
      <c r="D29" s="9"/>
      <c r="E29" s="9"/>
      <c r="F29" s="9"/>
      <c r="G29" s="9"/>
      <c r="H29" s="14"/>
      <c r="I29" s="271" t="s">
        <v>62</v>
      </c>
      <c r="J29" s="272"/>
      <c r="K29" s="272"/>
      <c r="L29" s="272"/>
      <c r="M29" s="272"/>
      <c r="N29" s="272"/>
      <c r="O29" s="272"/>
    </row>
    <row r="30" spans="1:15" ht="18" hidden="1" x14ac:dyDescent="0.25">
      <c r="A30" s="9"/>
      <c r="B30" s="9"/>
      <c r="C30" s="9"/>
      <c r="D30" s="9"/>
      <c r="E30" s="9"/>
      <c r="F30" s="9"/>
      <c r="G30" s="9"/>
      <c r="H30" s="14"/>
      <c r="I30" s="271" t="s">
        <v>63</v>
      </c>
      <c r="J30" s="272"/>
      <c r="K30" s="272"/>
      <c r="L30" s="272"/>
      <c r="M30" s="272"/>
      <c r="N30" s="272"/>
      <c r="O30" s="272"/>
    </row>
    <row r="31" spans="1:15" ht="15.75" customHeight="1" x14ac:dyDescent="0.3">
      <c r="A31" s="16"/>
      <c r="B31" s="2"/>
      <c r="C31" s="61" t="s">
        <v>93</v>
      </c>
      <c r="D31" s="5" t="str">
        <f>IF(B13="","",G18*H14)</f>
        <v/>
      </c>
      <c r="E31" s="2" t="s">
        <v>5</v>
      </c>
      <c r="F31" s="77" t="str">
        <f>CONCATENATE(H13," * ",G18, " ",H18)</f>
        <v>0 kg * 0.65 L/kg</v>
      </c>
      <c r="G31" s="2"/>
      <c r="H31" s="2"/>
      <c r="I31" s="2"/>
      <c r="J31" s="2"/>
      <c r="K31" s="2"/>
      <c r="L31" s="2"/>
      <c r="M31" s="2"/>
      <c r="N31" s="2"/>
    </row>
    <row r="32" spans="1:15" ht="15.75" customHeight="1" x14ac:dyDescent="0.3">
      <c r="A32" s="16"/>
      <c r="B32" s="2"/>
      <c r="C32" s="61" t="s">
        <v>94</v>
      </c>
      <c r="D32" s="6" t="str">
        <f>IF(B13="","",H21)</f>
        <v/>
      </c>
      <c r="E32" s="3" t="s">
        <v>59</v>
      </c>
      <c r="F32" s="78" t="str">
        <f>CONCATENATE("CrCl = ",H8,"  Ke = ",G20)</f>
        <v xml:space="preserve">CrCl =   Ke = </v>
      </c>
      <c r="G32" s="2"/>
      <c r="H32" s="2"/>
      <c r="I32" s="2"/>
      <c r="J32" s="2"/>
      <c r="K32" s="2"/>
      <c r="L32" s="2"/>
      <c r="M32" s="2"/>
      <c r="N32" s="2"/>
    </row>
    <row r="33" spans="1:15" ht="15.75" customHeight="1" x14ac:dyDescent="0.3">
      <c r="A33" s="16"/>
      <c r="B33" s="2"/>
      <c r="C33" s="61" t="s">
        <v>95</v>
      </c>
      <c r="D33" s="5" t="str">
        <f>IF(B13="","",0.693/D32)</f>
        <v/>
      </c>
      <c r="E33" s="2" t="s">
        <v>58</v>
      </c>
      <c r="F33" s="77" t="e">
        <f>CONCATENATE("ln(2)/",ROUND(D32,3))</f>
        <v>#VALUE!</v>
      </c>
      <c r="G33" s="2"/>
      <c r="H33" s="2"/>
      <c r="I33" s="2"/>
      <c r="J33" s="2"/>
      <c r="K33" s="2"/>
      <c r="L33" s="2"/>
      <c r="M33" s="2"/>
      <c r="N33" s="2"/>
    </row>
    <row r="34" spans="1:15" ht="15.75" hidden="1" customHeight="1" x14ac:dyDescent="0.2">
      <c r="A34" s="16"/>
      <c r="B34" s="2"/>
      <c r="C34" s="61" t="s">
        <v>96</v>
      </c>
      <c r="D34" s="4" t="str">
        <f>IF(B13="","",G3*H21*H19)</f>
        <v/>
      </c>
      <c r="E34" s="2" t="s">
        <v>4</v>
      </c>
      <c r="F34" s="77" t="e">
        <f>CONCATENATE("(Desired AUC)*(Ke)*(Vd) = ",G3," * ",ROUND(D32,3), " * ", D31)</f>
        <v>#VALUE!</v>
      </c>
      <c r="G34" s="2"/>
      <c r="H34" s="2"/>
      <c r="I34" s="2"/>
      <c r="J34" s="2"/>
      <c r="K34" s="2"/>
      <c r="L34" s="2"/>
      <c r="M34" s="2"/>
      <c r="N34" s="2"/>
    </row>
    <row r="35" spans="1:15" ht="15.75" customHeight="1" x14ac:dyDescent="0.25">
      <c r="A35" s="16"/>
      <c r="B35" s="3"/>
      <c r="C35" s="62" t="s">
        <v>71</v>
      </c>
      <c r="D35" s="17" t="str">
        <f>IF(B13="","",D34/(24/D36))</f>
        <v/>
      </c>
      <c r="E35" s="3" t="s">
        <v>4</v>
      </c>
      <c r="F35" s="78" t="s">
        <v>109</v>
      </c>
      <c r="G35" s="3"/>
      <c r="H35" s="2"/>
      <c r="I35" s="2"/>
      <c r="J35" s="2"/>
      <c r="K35" s="2"/>
      <c r="L35" s="2"/>
      <c r="M35" s="2"/>
      <c r="N35" s="2"/>
    </row>
    <row r="36" spans="1:15" ht="15.75" customHeight="1" thickBot="1" x14ac:dyDescent="0.3">
      <c r="A36" s="16"/>
      <c r="B36" s="63"/>
      <c r="C36" s="64" t="s">
        <v>70</v>
      </c>
      <c r="D36" s="65" t="str">
        <f>IF(B13="","",(LN(G7/G4)/-H21)+G26)</f>
        <v/>
      </c>
      <c r="E36" s="63" t="s">
        <v>58</v>
      </c>
      <c r="F36" s="79" t="s">
        <v>110</v>
      </c>
      <c r="G36" s="63"/>
      <c r="H36" s="2"/>
      <c r="I36" s="2"/>
      <c r="J36" s="2"/>
      <c r="K36" s="2"/>
      <c r="L36" s="2"/>
      <c r="M36" s="2"/>
      <c r="N36" s="2"/>
    </row>
    <row r="37" spans="1:15" ht="6.75" customHeight="1" thickTop="1" x14ac:dyDescent="0.2">
      <c r="A37" s="16"/>
      <c r="B37" s="3"/>
      <c r="C37" s="62"/>
      <c r="D37" s="17"/>
      <c r="E37" s="3"/>
      <c r="F37" s="13"/>
      <c r="G37" s="3"/>
      <c r="H37" s="2"/>
      <c r="I37" s="2"/>
      <c r="J37" s="2"/>
      <c r="K37" s="2"/>
      <c r="L37" s="2"/>
      <c r="M37" s="2"/>
      <c r="N37" s="2"/>
    </row>
    <row r="38" spans="1:15" ht="18" x14ac:dyDescent="0.25">
      <c r="A38" s="129"/>
      <c r="B38" s="2"/>
      <c r="C38" s="233" t="s">
        <v>38</v>
      </c>
      <c r="D38" s="128" t="e">
        <f>F40</f>
        <v>#VALUE!</v>
      </c>
      <c r="E38" s="2" t="s">
        <v>4</v>
      </c>
      <c r="F38" s="270" t="e">
        <f>CONCATENATE("Next best match: ",H40,"mg IV every ",I40,"h")</f>
        <v>#VALUE!</v>
      </c>
      <c r="H38" s="14"/>
      <c r="I38" s="14"/>
      <c r="J38" s="14"/>
      <c r="K38" s="14"/>
      <c r="L38" s="14"/>
      <c r="M38" s="14"/>
      <c r="N38" s="14"/>
    </row>
    <row r="39" spans="1:15" ht="18" customHeight="1" x14ac:dyDescent="0.25">
      <c r="A39" s="129"/>
      <c r="B39" s="2"/>
      <c r="C39" s="233" t="s">
        <v>188</v>
      </c>
      <c r="D39" s="128" t="e">
        <f>G40</f>
        <v>#VALUE!</v>
      </c>
      <c r="E39" s="2" t="s">
        <v>58</v>
      </c>
      <c r="F39" s="270"/>
      <c r="G39" s="2"/>
      <c r="H39" s="171" t="e">
        <f>I72</f>
        <v>#VALUE!</v>
      </c>
      <c r="I39" s="184"/>
      <c r="J39" s="184"/>
      <c r="K39" s="184"/>
      <c r="L39" s="184"/>
      <c r="M39" s="184"/>
      <c r="N39" s="184"/>
    </row>
    <row r="40" spans="1:15" ht="16.5" customHeight="1" x14ac:dyDescent="0.25">
      <c r="A40" s="129"/>
      <c r="B40" s="2"/>
      <c r="C40" s="61" t="s">
        <v>48</v>
      </c>
      <c r="D40" s="148" t="e">
        <f>IF(D38&lt;750,0.5,IF(D38&lt;1125,1,IF(D38&lt;1625,1.5,IF(D38&lt;2225,2,IF(D38&lt;2725,2.5,"Enter time")))))</f>
        <v>#VALUE!</v>
      </c>
      <c r="E40" s="2" t="s">
        <v>58</v>
      </c>
      <c r="F40" s="243" t="e">
        <f>VLOOKUP(Q74,Q75:S119,2,FALSE)</f>
        <v>#VALUE!</v>
      </c>
      <c r="G40" s="243" t="e">
        <f>VLOOKUP(Q74,Q75:S119,3,FALSE)</f>
        <v>#VALUE!</v>
      </c>
      <c r="H40" s="184" t="e">
        <f>VLOOKUP(R74,Q75:S119,2,FALSE)</f>
        <v>#VALUE!</v>
      </c>
      <c r="I40" s="184" t="e">
        <f>VLOOKUP(R74,Q75:S119,3,FALSE)</f>
        <v>#VALUE!</v>
      </c>
      <c r="J40" s="184"/>
      <c r="K40" s="184"/>
      <c r="L40" s="184"/>
      <c r="M40" s="184"/>
      <c r="N40" s="184"/>
    </row>
    <row r="41" spans="1:15" ht="15.75" customHeight="1" x14ac:dyDescent="0.2">
      <c r="A41" s="129"/>
      <c r="B41" s="2"/>
      <c r="C41" s="233" t="s">
        <v>199</v>
      </c>
      <c r="D41" s="5" t="e">
        <f>D38*24/D39/H21/H19</f>
        <v>#VALUE!</v>
      </c>
      <c r="E41" s="2" t="s">
        <v>18</v>
      </c>
      <c r="F41" s="130"/>
      <c r="G41" s="19" t="e">
        <f>D34/(24/D39)</f>
        <v>#VALUE!</v>
      </c>
      <c r="H41" s="184"/>
      <c r="I41" s="184"/>
      <c r="J41" s="184"/>
      <c r="K41" s="184"/>
      <c r="L41" s="184"/>
      <c r="M41" s="184"/>
      <c r="N41" s="184"/>
      <c r="O41" s="113"/>
    </row>
    <row r="42" spans="1:15" ht="15.75" customHeight="1" x14ac:dyDescent="0.2">
      <c r="A42" s="129"/>
      <c r="B42" s="2"/>
      <c r="C42" s="233" t="s">
        <v>200</v>
      </c>
      <c r="D42" s="5" t="e">
        <f>F42/(1-EXP(-D32*D39))</f>
        <v>#VALUE!</v>
      </c>
      <c r="E42" s="2" t="s">
        <v>8</v>
      </c>
      <c r="F42" s="19" t="e">
        <f>D38/D31</f>
        <v>#VALUE!</v>
      </c>
      <c r="G42" s="130"/>
      <c r="H42" s="184"/>
      <c r="I42" s="184"/>
      <c r="J42" s="184"/>
      <c r="K42" s="184"/>
      <c r="L42" s="184"/>
      <c r="M42" s="184"/>
      <c r="N42" s="184"/>
      <c r="O42" s="113"/>
    </row>
    <row r="43" spans="1:15" ht="15.75" customHeight="1" x14ac:dyDescent="0.2">
      <c r="A43" s="129"/>
      <c r="B43" s="2"/>
      <c r="C43" s="233" t="s">
        <v>201</v>
      </c>
      <c r="D43" s="5" t="e">
        <f>D42*EXP(-H21*(D39-D40))</f>
        <v>#VALUE!</v>
      </c>
      <c r="E43" s="2" t="s">
        <v>8</v>
      </c>
      <c r="F43" s="2"/>
      <c r="G43" s="2"/>
      <c r="H43" s="184"/>
      <c r="I43" s="184"/>
      <c r="J43" s="184"/>
      <c r="K43" s="184"/>
      <c r="L43" s="184"/>
      <c r="M43" s="184"/>
      <c r="N43" s="184"/>
    </row>
    <row r="44" spans="1:15" x14ac:dyDescent="0.2">
      <c r="A44" s="240"/>
      <c r="B44" s="11"/>
      <c r="C44" s="12"/>
      <c r="D44" s="2"/>
      <c r="E44" s="2"/>
      <c r="F44" s="2"/>
      <c r="G44" s="2"/>
      <c r="H44" s="184"/>
      <c r="I44" s="184"/>
      <c r="J44" s="184"/>
      <c r="K44" s="184"/>
      <c r="L44" s="184"/>
      <c r="M44" s="184"/>
      <c r="N44" s="184"/>
    </row>
    <row r="45" spans="1:15" ht="22.5" x14ac:dyDescent="0.3">
      <c r="A45" s="7" t="str">
        <f>IF(B13&gt;0,CONCATENATE("Graph of ",D38," mg IV over ",D40," hour(s) every ", D39," hours"),"")</f>
        <v/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5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5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5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22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22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22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22" x14ac:dyDescent="0.2">
      <c r="A68" s="18"/>
      <c r="B68" s="18"/>
      <c r="C68" s="18"/>
      <c r="D68" s="18"/>
      <c r="E68" s="18"/>
      <c r="F68" s="18"/>
      <c r="G68" s="18"/>
      <c r="H68" s="2"/>
      <c r="I68" s="2"/>
      <c r="J68" s="2"/>
      <c r="K68" s="2"/>
      <c r="L68" s="2"/>
      <c r="M68" s="2"/>
      <c r="N68" s="2"/>
    </row>
    <row r="69" spans="1:22" x14ac:dyDescent="0.2">
      <c r="A69" s="18"/>
      <c r="B69" s="18"/>
      <c r="C69" s="18"/>
      <c r="D69" s="18"/>
      <c r="E69" s="18"/>
      <c r="F69" s="18"/>
      <c r="G69" s="18"/>
      <c r="H69" s="2"/>
      <c r="I69" s="2"/>
      <c r="J69" s="2"/>
      <c r="K69" s="2"/>
      <c r="L69" s="2"/>
      <c r="M69" s="2"/>
      <c r="N69" s="2"/>
    </row>
    <row r="70" spans="1:22" x14ac:dyDescent="0.2">
      <c r="A70" s="242"/>
      <c r="B70" s="242"/>
      <c r="C70" s="242"/>
      <c r="D70" s="242"/>
      <c r="E70" s="242"/>
      <c r="F70" s="242"/>
      <c r="G70" s="242"/>
    </row>
    <row r="71" spans="1:22" x14ac:dyDescent="0.2">
      <c r="A71" s="242"/>
      <c r="B71" s="242"/>
      <c r="C71" s="242"/>
      <c r="D71" s="242"/>
      <c r="E71" s="242"/>
      <c r="F71" s="242"/>
      <c r="G71" s="242"/>
      <c r="H71" s="242"/>
      <c r="I71" s="242"/>
    </row>
    <row r="72" spans="1:22" x14ac:dyDescent="0.2">
      <c r="A72" s="244"/>
      <c r="B72" s="244"/>
      <c r="C72" s="244"/>
      <c r="D72" s="244"/>
      <c r="E72" s="244"/>
      <c r="F72" s="244"/>
      <c r="G72" s="247"/>
      <c r="H72" s="247"/>
      <c r="I72" s="247" t="e">
        <f>CONCATENATE("Patient is a ",B3," year old ", B4," on empiric vancomycin therapy for [insert diagnosis]. Current SCr = ",B7," mg/dL. Using a desired AUC of ",G3, " mcg*h/mL, a desired Cmax of ",G4, " and Cmin of ",G7," a calculated dose of ",ROUND(D35,1)," mg every ",ROUND(D36,1)," hours is calculated (total daily dose = Desired AUC*calculated Ke*calculated Vd;interval determined by natural log trough/peak divided by -Ke plus the infusion time). Will start patient on ",D38," mg every ",D39," hours to conform to traditional dosages and dosing intervals. Predicted Cmax =",ROUND(D42,1)," Cmin = ",ROUND(D43,1))</f>
        <v>#VALUE!</v>
      </c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  <c r="U72" s="244"/>
      <c r="V72" s="244"/>
    </row>
    <row r="73" spans="1:22" x14ac:dyDescent="0.2">
      <c r="A73" s="244"/>
      <c r="B73" s="244"/>
      <c r="C73" s="244"/>
      <c r="D73" s="244"/>
      <c r="E73" s="244"/>
      <c r="F73" s="244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8" t="s">
        <v>192</v>
      </c>
      <c r="R73" s="248" t="s">
        <v>193</v>
      </c>
      <c r="S73" s="247"/>
      <c r="T73" s="247"/>
      <c r="U73" s="244"/>
      <c r="V73" s="244"/>
    </row>
    <row r="74" spans="1:22" x14ac:dyDescent="0.2">
      <c r="A74" s="244"/>
      <c r="B74" s="244"/>
      <c r="C74" s="244" t="s">
        <v>67</v>
      </c>
      <c r="D74" s="244" t="s">
        <v>68</v>
      </c>
      <c r="E74" s="244" t="s">
        <v>69</v>
      </c>
      <c r="F74" s="246" t="s">
        <v>189</v>
      </c>
      <c r="G74" s="249" t="s">
        <v>190</v>
      </c>
      <c r="H74" s="247" t="s">
        <v>191</v>
      </c>
      <c r="I74" s="250" t="s">
        <v>38</v>
      </c>
      <c r="J74" s="250" t="s">
        <v>184</v>
      </c>
      <c r="K74" s="250" t="s">
        <v>185</v>
      </c>
      <c r="L74" s="250" t="s">
        <v>186</v>
      </c>
      <c r="M74" s="250" t="s">
        <v>187</v>
      </c>
      <c r="N74" s="247"/>
      <c r="O74" s="247"/>
      <c r="P74" s="247"/>
      <c r="Q74" s="248" t="e">
        <f>MIN(Q75:Q119)</f>
        <v>#VALUE!</v>
      </c>
      <c r="R74" s="248" t="e">
        <f>SMALL(Q75:Q119,2)</f>
        <v>#VALUE!</v>
      </c>
      <c r="S74" s="247"/>
      <c r="T74" s="247"/>
      <c r="U74" s="244"/>
      <c r="V74" s="244"/>
    </row>
    <row r="75" spans="1:22" x14ac:dyDescent="0.2">
      <c r="A75" s="244">
        <v>-1</v>
      </c>
      <c r="B75" s="245" t="e">
        <f>IF($D$39=8,C75,IF($D$39=12,D75,IF($D$39=24,E75,IF($D$39=36,F75,IF($D$39=48,G75,"")))))</f>
        <v>#VALUE!</v>
      </c>
      <c r="C75" s="244">
        <v>0</v>
      </c>
      <c r="D75" s="244">
        <v>0</v>
      </c>
      <c r="E75" s="244">
        <v>0</v>
      </c>
      <c r="F75" s="244">
        <v>0</v>
      </c>
      <c r="G75" s="247">
        <v>0</v>
      </c>
      <c r="H75" s="247">
        <f t="shared" ref="H75:H119" si="0">I75*24/J75</f>
        <v>250</v>
      </c>
      <c r="I75" s="249">
        <v>500</v>
      </c>
      <c r="J75" s="247">
        <v>48</v>
      </c>
      <c r="K75" s="247" t="e">
        <f t="shared" ref="K75:K119" si="1">I75/$D$31/(1-EXP(-$D$32*J75))</f>
        <v>#VALUE!</v>
      </c>
      <c r="L75" s="247" t="e">
        <f t="shared" ref="L75:L80" si="2">K75*EXP(-$D$32*(J75-1))</f>
        <v>#VALUE!</v>
      </c>
      <c r="M75" s="247" t="e">
        <f t="shared" ref="M75:M119" si="3">I75*24/J75/$D$32/$D$31</f>
        <v>#VALUE!</v>
      </c>
      <c r="N75" s="247" t="e">
        <f>((K75-$G$4)^2)/$G$4</f>
        <v>#VALUE!</v>
      </c>
      <c r="O75" s="247" t="e">
        <f>((L75-$G$7)^2)/$G$7</f>
        <v>#VALUE!</v>
      </c>
      <c r="P75" s="247" t="e">
        <f>((M75-$G$3)^2)/$G$3</f>
        <v>#VALUE!</v>
      </c>
      <c r="Q75" s="251" t="e">
        <f>(N75+O75+P75)</f>
        <v>#VALUE!</v>
      </c>
      <c r="R75" s="249">
        <v>500</v>
      </c>
      <c r="S75" s="247">
        <v>48</v>
      </c>
      <c r="T75" s="247"/>
      <c r="U75" s="244"/>
      <c r="V75" s="244"/>
    </row>
    <row r="76" spans="1:22" x14ac:dyDescent="0.2">
      <c r="A76" s="244">
        <v>0</v>
      </c>
      <c r="B76" s="245" t="e">
        <f t="shared" ref="B76:B139" si="4">IF($D$39=8,C76,IF($D$39=12,D76,IF($D$39=24,E76,IF($D$39=36,F76,IF($D$39=48,G76,"")))))</f>
        <v>#VALUE!</v>
      </c>
      <c r="C76" s="245" t="e">
        <f>F42</f>
        <v>#VALUE!</v>
      </c>
      <c r="D76" s="245" t="e">
        <f>F42</f>
        <v>#VALUE!</v>
      </c>
      <c r="E76" s="245" t="e">
        <f>F42</f>
        <v>#VALUE!</v>
      </c>
      <c r="F76" s="245" t="e">
        <f>F42</f>
        <v>#VALUE!</v>
      </c>
      <c r="G76" s="252" t="e">
        <f>F42</f>
        <v>#VALUE!</v>
      </c>
      <c r="H76" s="247">
        <f t="shared" si="0"/>
        <v>333.33333333333331</v>
      </c>
      <c r="I76" s="249">
        <v>500</v>
      </c>
      <c r="J76" s="247">
        <v>36</v>
      </c>
      <c r="K76" s="247" t="e">
        <f t="shared" si="1"/>
        <v>#VALUE!</v>
      </c>
      <c r="L76" s="247" t="e">
        <f t="shared" si="2"/>
        <v>#VALUE!</v>
      </c>
      <c r="M76" s="247" t="e">
        <f t="shared" si="3"/>
        <v>#VALUE!</v>
      </c>
      <c r="N76" s="247" t="e">
        <f t="shared" ref="N76:N119" si="5">((K76-$G$4)^2)/$G$4</f>
        <v>#VALUE!</v>
      </c>
      <c r="O76" s="247" t="e">
        <f t="shared" ref="O76:O119" si="6">((L76-$G$7)^2)/$G$7</f>
        <v>#VALUE!</v>
      </c>
      <c r="P76" s="247" t="e">
        <f t="shared" ref="P76:P119" si="7">((M76-$G$3)^2)/$G$3</f>
        <v>#VALUE!</v>
      </c>
      <c r="Q76" s="251" t="e">
        <f t="shared" ref="Q76:Q119" si="8">(N76+O76+P76)</f>
        <v>#VALUE!</v>
      </c>
      <c r="R76" s="249">
        <v>500</v>
      </c>
      <c r="S76" s="247">
        <v>36</v>
      </c>
      <c r="T76" s="247"/>
      <c r="U76" s="244"/>
      <c r="V76" s="244"/>
    </row>
    <row r="77" spans="1:22" x14ac:dyDescent="0.2">
      <c r="A77" s="244">
        <v>0.5</v>
      </c>
      <c r="B77" s="245" t="e">
        <f t="shared" si="4"/>
        <v>#VALUE!</v>
      </c>
      <c r="C77" s="244" t="e">
        <f>$F$42*EXP(-$D$32*A77)</f>
        <v>#VALUE!</v>
      </c>
      <c r="D77" s="244" t="e">
        <f>$F$42*EXP(-$D$32*A77)</f>
        <v>#VALUE!</v>
      </c>
      <c r="E77" s="244" t="e">
        <f>$F$42*EXP(-$D$32*A77)</f>
        <v>#VALUE!</v>
      </c>
      <c r="F77" s="244" t="e">
        <f>$F$42*EXP(-$D$32*A77)</f>
        <v>#VALUE!</v>
      </c>
      <c r="G77" s="247" t="e">
        <f>$F$42*EXP(-$D$32*A77)</f>
        <v>#VALUE!</v>
      </c>
      <c r="H77" s="247">
        <f t="shared" si="0"/>
        <v>375</v>
      </c>
      <c r="I77" s="247">
        <v>750</v>
      </c>
      <c r="J77" s="247">
        <v>48</v>
      </c>
      <c r="K77" s="247" t="e">
        <f t="shared" si="1"/>
        <v>#VALUE!</v>
      </c>
      <c r="L77" s="247" t="e">
        <f t="shared" si="2"/>
        <v>#VALUE!</v>
      </c>
      <c r="M77" s="247" t="e">
        <f t="shared" si="3"/>
        <v>#VALUE!</v>
      </c>
      <c r="N77" s="247" t="e">
        <f t="shared" si="5"/>
        <v>#VALUE!</v>
      </c>
      <c r="O77" s="247" t="e">
        <f t="shared" si="6"/>
        <v>#VALUE!</v>
      </c>
      <c r="P77" s="247" t="e">
        <f t="shared" si="7"/>
        <v>#VALUE!</v>
      </c>
      <c r="Q77" s="251" t="e">
        <f t="shared" si="8"/>
        <v>#VALUE!</v>
      </c>
      <c r="R77" s="247">
        <v>750</v>
      </c>
      <c r="S77" s="247">
        <v>48</v>
      </c>
      <c r="T77" s="247"/>
      <c r="U77" s="244"/>
      <c r="V77" s="244"/>
    </row>
    <row r="78" spans="1:22" x14ac:dyDescent="0.2">
      <c r="A78" s="244">
        <f>A77+0.5</f>
        <v>1</v>
      </c>
      <c r="B78" s="245" t="e">
        <f t="shared" si="4"/>
        <v>#VALUE!</v>
      </c>
      <c r="C78" s="244" t="e">
        <f>$F$42*EXP(-$D$32*A78)</f>
        <v>#VALUE!</v>
      </c>
      <c r="D78" s="244" t="e">
        <f t="shared" ref="D78:D100" si="9">$F$42*EXP(-$D$32*A78)</f>
        <v>#VALUE!</v>
      </c>
      <c r="E78" s="244" t="e">
        <f t="shared" ref="E78:E124" si="10">$F$42*EXP(-$D$32*A78)</f>
        <v>#VALUE!</v>
      </c>
      <c r="F78" s="244" t="e">
        <f t="shared" ref="F78:F141" si="11">$F$42*EXP(-$D$32*A78)</f>
        <v>#VALUE!</v>
      </c>
      <c r="G78" s="247" t="e">
        <f t="shared" ref="G78:G141" si="12">$F$42*EXP(-$D$32*A78)</f>
        <v>#VALUE!</v>
      </c>
      <c r="H78" s="247">
        <f t="shared" si="0"/>
        <v>500</v>
      </c>
      <c r="I78" s="249">
        <v>500</v>
      </c>
      <c r="J78" s="247">
        <v>24</v>
      </c>
      <c r="K78" s="247" t="e">
        <f t="shared" si="1"/>
        <v>#VALUE!</v>
      </c>
      <c r="L78" s="247" t="e">
        <f t="shared" si="2"/>
        <v>#VALUE!</v>
      </c>
      <c r="M78" s="247" t="e">
        <f t="shared" si="3"/>
        <v>#VALUE!</v>
      </c>
      <c r="N78" s="247" t="e">
        <f t="shared" si="5"/>
        <v>#VALUE!</v>
      </c>
      <c r="O78" s="247" t="e">
        <f t="shared" si="6"/>
        <v>#VALUE!</v>
      </c>
      <c r="P78" s="247" t="e">
        <f t="shared" si="7"/>
        <v>#VALUE!</v>
      </c>
      <c r="Q78" s="251" t="e">
        <f t="shared" si="8"/>
        <v>#VALUE!</v>
      </c>
      <c r="R78" s="249">
        <v>500</v>
      </c>
      <c r="S78" s="247">
        <v>24</v>
      </c>
      <c r="T78" s="247"/>
      <c r="U78" s="244"/>
      <c r="V78" s="244"/>
    </row>
    <row r="79" spans="1:22" x14ac:dyDescent="0.2">
      <c r="A79" s="244">
        <f t="shared" ref="A79:A142" si="13">A78+0.5</f>
        <v>1.5</v>
      </c>
      <c r="B79" s="245" t="e">
        <f t="shared" si="4"/>
        <v>#VALUE!</v>
      </c>
      <c r="C79" s="244" t="e">
        <f t="shared" ref="C79:C92" si="14">$F$42*EXP(-$D$32*A79)</f>
        <v>#VALUE!</v>
      </c>
      <c r="D79" s="244" t="e">
        <f t="shared" si="9"/>
        <v>#VALUE!</v>
      </c>
      <c r="E79" s="244" t="e">
        <f t="shared" si="10"/>
        <v>#VALUE!</v>
      </c>
      <c r="F79" s="244" t="e">
        <f t="shared" si="11"/>
        <v>#VALUE!</v>
      </c>
      <c r="G79" s="247" t="e">
        <f t="shared" si="12"/>
        <v>#VALUE!</v>
      </c>
      <c r="H79" s="247">
        <f t="shared" si="0"/>
        <v>500</v>
      </c>
      <c r="I79" s="247">
        <v>750</v>
      </c>
      <c r="J79" s="247">
        <v>36</v>
      </c>
      <c r="K79" s="247" t="e">
        <f t="shared" si="1"/>
        <v>#VALUE!</v>
      </c>
      <c r="L79" s="247" t="e">
        <f t="shared" si="2"/>
        <v>#VALUE!</v>
      </c>
      <c r="M79" s="247" t="e">
        <f t="shared" si="3"/>
        <v>#VALUE!</v>
      </c>
      <c r="N79" s="247" t="e">
        <f t="shared" si="5"/>
        <v>#VALUE!</v>
      </c>
      <c r="O79" s="247" t="e">
        <f t="shared" si="6"/>
        <v>#VALUE!</v>
      </c>
      <c r="P79" s="247" t="e">
        <f t="shared" si="7"/>
        <v>#VALUE!</v>
      </c>
      <c r="Q79" s="251" t="e">
        <f t="shared" si="8"/>
        <v>#VALUE!</v>
      </c>
      <c r="R79" s="247">
        <v>750</v>
      </c>
      <c r="S79" s="247">
        <v>36</v>
      </c>
      <c r="T79" s="247"/>
      <c r="U79" s="244"/>
      <c r="V79" s="244"/>
    </row>
    <row r="80" spans="1:22" x14ac:dyDescent="0.2">
      <c r="A80" s="244">
        <f t="shared" si="13"/>
        <v>2</v>
      </c>
      <c r="B80" s="245" t="e">
        <f t="shared" si="4"/>
        <v>#VALUE!</v>
      </c>
      <c r="C80" s="244" t="e">
        <f t="shared" si="14"/>
        <v>#VALUE!</v>
      </c>
      <c r="D80" s="244" t="e">
        <f t="shared" si="9"/>
        <v>#VALUE!</v>
      </c>
      <c r="E80" s="244" t="e">
        <f t="shared" si="10"/>
        <v>#VALUE!</v>
      </c>
      <c r="F80" s="244" t="e">
        <f t="shared" si="11"/>
        <v>#VALUE!</v>
      </c>
      <c r="G80" s="247" t="e">
        <f t="shared" si="12"/>
        <v>#VALUE!</v>
      </c>
      <c r="H80" s="247">
        <f t="shared" si="0"/>
        <v>500</v>
      </c>
      <c r="I80" s="253">
        <v>1000</v>
      </c>
      <c r="J80" s="247">
        <v>48</v>
      </c>
      <c r="K80" s="247" t="e">
        <f t="shared" si="1"/>
        <v>#VALUE!</v>
      </c>
      <c r="L80" s="247" t="e">
        <f t="shared" si="2"/>
        <v>#VALUE!</v>
      </c>
      <c r="M80" s="247" t="e">
        <f t="shared" si="3"/>
        <v>#VALUE!</v>
      </c>
      <c r="N80" s="247" t="e">
        <f t="shared" si="5"/>
        <v>#VALUE!</v>
      </c>
      <c r="O80" s="247" t="e">
        <f t="shared" si="6"/>
        <v>#VALUE!</v>
      </c>
      <c r="P80" s="247" t="e">
        <f t="shared" si="7"/>
        <v>#VALUE!</v>
      </c>
      <c r="Q80" s="251" t="e">
        <f t="shared" si="8"/>
        <v>#VALUE!</v>
      </c>
      <c r="R80" s="253">
        <v>1000</v>
      </c>
      <c r="S80" s="247">
        <v>48</v>
      </c>
      <c r="T80" s="247"/>
      <c r="U80" s="244"/>
      <c r="V80" s="244"/>
    </row>
    <row r="81" spans="1:22" x14ac:dyDescent="0.2">
      <c r="A81" s="244">
        <f t="shared" si="13"/>
        <v>2.5</v>
      </c>
      <c r="B81" s="245" t="e">
        <f t="shared" si="4"/>
        <v>#VALUE!</v>
      </c>
      <c r="C81" s="244" t="e">
        <f t="shared" si="14"/>
        <v>#VALUE!</v>
      </c>
      <c r="D81" s="244" t="e">
        <f t="shared" si="9"/>
        <v>#VALUE!</v>
      </c>
      <c r="E81" s="244" t="e">
        <f t="shared" si="10"/>
        <v>#VALUE!</v>
      </c>
      <c r="F81" s="244" t="e">
        <f t="shared" si="11"/>
        <v>#VALUE!</v>
      </c>
      <c r="G81" s="247" t="e">
        <f t="shared" si="12"/>
        <v>#VALUE!</v>
      </c>
      <c r="H81" s="247">
        <f t="shared" si="0"/>
        <v>625</v>
      </c>
      <c r="I81" s="253">
        <v>1250</v>
      </c>
      <c r="J81" s="247">
        <v>48</v>
      </c>
      <c r="K81" s="247" t="e">
        <f t="shared" si="1"/>
        <v>#VALUE!</v>
      </c>
      <c r="L81" s="247" t="e">
        <f>K81*EXP(-$D$32*(J81-1.5))</f>
        <v>#VALUE!</v>
      </c>
      <c r="M81" s="247" t="e">
        <f t="shared" si="3"/>
        <v>#VALUE!</v>
      </c>
      <c r="N81" s="247" t="e">
        <f t="shared" si="5"/>
        <v>#VALUE!</v>
      </c>
      <c r="O81" s="247" t="e">
        <f t="shared" si="6"/>
        <v>#VALUE!</v>
      </c>
      <c r="P81" s="247" t="e">
        <f t="shared" si="7"/>
        <v>#VALUE!</v>
      </c>
      <c r="Q81" s="251" t="e">
        <f t="shared" si="8"/>
        <v>#VALUE!</v>
      </c>
      <c r="R81" s="253">
        <v>1250</v>
      </c>
      <c r="S81" s="247">
        <v>48</v>
      </c>
      <c r="T81" s="247"/>
      <c r="U81" s="244"/>
      <c r="V81" s="244"/>
    </row>
    <row r="82" spans="1:22" x14ac:dyDescent="0.2">
      <c r="A82" s="244">
        <f t="shared" si="13"/>
        <v>3</v>
      </c>
      <c r="B82" s="245" t="e">
        <f t="shared" si="4"/>
        <v>#VALUE!</v>
      </c>
      <c r="C82" s="244" t="e">
        <f t="shared" si="14"/>
        <v>#VALUE!</v>
      </c>
      <c r="D82" s="244" t="e">
        <f t="shared" si="9"/>
        <v>#VALUE!</v>
      </c>
      <c r="E82" s="244" t="e">
        <f t="shared" si="10"/>
        <v>#VALUE!</v>
      </c>
      <c r="F82" s="244" t="e">
        <f t="shared" si="11"/>
        <v>#VALUE!</v>
      </c>
      <c r="G82" s="247" t="e">
        <f t="shared" si="12"/>
        <v>#VALUE!</v>
      </c>
      <c r="H82" s="247">
        <f t="shared" si="0"/>
        <v>666.66666666666663</v>
      </c>
      <c r="I82" s="253">
        <v>1000</v>
      </c>
      <c r="J82" s="247">
        <v>36</v>
      </c>
      <c r="K82" s="247" t="e">
        <f t="shared" si="1"/>
        <v>#VALUE!</v>
      </c>
      <c r="L82" s="247" t="e">
        <f>K82*EXP(-$D$32*(J82-1))</f>
        <v>#VALUE!</v>
      </c>
      <c r="M82" s="247" t="e">
        <f t="shared" si="3"/>
        <v>#VALUE!</v>
      </c>
      <c r="N82" s="247" t="e">
        <f t="shared" si="5"/>
        <v>#VALUE!</v>
      </c>
      <c r="O82" s="247" t="e">
        <f t="shared" si="6"/>
        <v>#VALUE!</v>
      </c>
      <c r="P82" s="247" t="e">
        <f t="shared" si="7"/>
        <v>#VALUE!</v>
      </c>
      <c r="Q82" s="251" t="e">
        <f t="shared" si="8"/>
        <v>#VALUE!</v>
      </c>
      <c r="R82" s="253">
        <v>1000</v>
      </c>
      <c r="S82" s="247">
        <v>36</v>
      </c>
      <c r="T82" s="247"/>
      <c r="U82" s="244"/>
      <c r="V82" s="244"/>
    </row>
    <row r="83" spans="1:22" x14ac:dyDescent="0.2">
      <c r="A83" s="244">
        <f t="shared" si="13"/>
        <v>3.5</v>
      </c>
      <c r="B83" s="245" t="e">
        <f t="shared" si="4"/>
        <v>#VALUE!</v>
      </c>
      <c r="C83" s="244" t="e">
        <f t="shared" si="14"/>
        <v>#VALUE!</v>
      </c>
      <c r="D83" s="244" t="e">
        <f t="shared" si="9"/>
        <v>#VALUE!</v>
      </c>
      <c r="E83" s="244" t="e">
        <f t="shared" si="10"/>
        <v>#VALUE!</v>
      </c>
      <c r="F83" s="244" t="e">
        <f t="shared" si="11"/>
        <v>#VALUE!</v>
      </c>
      <c r="G83" s="247" t="e">
        <f t="shared" si="12"/>
        <v>#VALUE!</v>
      </c>
      <c r="H83" s="247">
        <f t="shared" si="0"/>
        <v>750</v>
      </c>
      <c r="I83" s="247">
        <v>750</v>
      </c>
      <c r="J83" s="247">
        <v>24</v>
      </c>
      <c r="K83" s="247" t="e">
        <f t="shared" si="1"/>
        <v>#VALUE!</v>
      </c>
      <c r="L83" s="247" t="e">
        <f>K83*EXP(-$D$32*(J83-1))</f>
        <v>#VALUE!</v>
      </c>
      <c r="M83" s="247" t="e">
        <f t="shared" si="3"/>
        <v>#VALUE!</v>
      </c>
      <c r="N83" s="247" t="e">
        <f t="shared" si="5"/>
        <v>#VALUE!</v>
      </c>
      <c r="O83" s="247" t="e">
        <f t="shared" si="6"/>
        <v>#VALUE!</v>
      </c>
      <c r="P83" s="247" t="e">
        <f t="shared" si="7"/>
        <v>#VALUE!</v>
      </c>
      <c r="Q83" s="251" t="e">
        <f t="shared" si="8"/>
        <v>#VALUE!</v>
      </c>
      <c r="R83" s="247">
        <v>750</v>
      </c>
      <c r="S83" s="247">
        <v>24</v>
      </c>
      <c r="T83" s="247"/>
      <c r="U83" s="244"/>
      <c r="V83" s="244"/>
    </row>
    <row r="84" spans="1:22" x14ac:dyDescent="0.2">
      <c r="A84" s="244">
        <f t="shared" si="13"/>
        <v>4</v>
      </c>
      <c r="B84" s="245" t="e">
        <f t="shared" si="4"/>
        <v>#VALUE!</v>
      </c>
      <c r="C84" s="244" t="e">
        <f t="shared" si="14"/>
        <v>#VALUE!</v>
      </c>
      <c r="D84" s="244" t="e">
        <f t="shared" si="9"/>
        <v>#VALUE!</v>
      </c>
      <c r="E84" s="244" t="e">
        <f t="shared" si="10"/>
        <v>#VALUE!</v>
      </c>
      <c r="F84" s="244" t="e">
        <f t="shared" si="11"/>
        <v>#VALUE!</v>
      </c>
      <c r="G84" s="247" t="e">
        <f t="shared" si="12"/>
        <v>#VALUE!</v>
      </c>
      <c r="H84" s="247">
        <f t="shared" si="0"/>
        <v>750</v>
      </c>
      <c r="I84" s="253">
        <v>1500</v>
      </c>
      <c r="J84" s="247">
        <v>48</v>
      </c>
      <c r="K84" s="247" t="e">
        <f t="shared" si="1"/>
        <v>#VALUE!</v>
      </c>
      <c r="L84" s="247" t="e">
        <f>K84*EXP(-$D$32*(J84-1.5))</f>
        <v>#VALUE!</v>
      </c>
      <c r="M84" s="247" t="e">
        <f t="shared" si="3"/>
        <v>#VALUE!</v>
      </c>
      <c r="N84" s="247" t="e">
        <f t="shared" si="5"/>
        <v>#VALUE!</v>
      </c>
      <c r="O84" s="247" t="e">
        <f t="shared" si="6"/>
        <v>#VALUE!</v>
      </c>
      <c r="P84" s="247" t="e">
        <f t="shared" si="7"/>
        <v>#VALUE!</v>
      </c>
      <c r="Q84" s="251" t="e">
        <f t="shared" si="8"/>
        <v>#VALUE!</v>
      </c>
      <c r="R84" s="253">
        <v>1500</v>
      </c>
      <c r="S84" s="247">
        <v>48</v>
      </c>
      <c r="T84" s="247"/>
      <c r="U84" s="244"/>
      <c r="V84" s="244"/>
    </row>
    <row r="85" spans="1:22" x14ac:dyDescent="0.2">
      <c r="A85" s="244">
        <f t="shared" si="13"/>
        <v>4.5</v>
      </c>
      <c r="B85" s="245" t="e">
        <f t="shared" si="4"/>
        <v>#VALUE!</v>
      </c>
      <c r="C85" s="244" t="e">
        <f t="shared" si="14"/>
        <v>#VALUE!</v>
      </c>
      <c r="D85" s="244" t="e">
        <f t="shared" si="9"/>
        <v>#VALUE!</v>
      </c>
      <c r="E85" s="244" t="e">
        <f t="shared" si="10"/>
        <v>#VALUE!</v>
      </c>
      <c r="F85" s="244" t="e">
        <f t="shared" si="11"/>
        <v>#VALUE!</v>
      </c>
      <c r="G85" s="247" t="e">
        <f t="shared" si="12"/>
        <v>#VALUE!</v>
      </c>
      <c r="H85" s="247">
        <f t="shared" si="0"/>
        <v>833.33333333333337</v>
      </c>
      <c r="I85" s="253">
        <v>1250</v>
      </c>
      <c r="J85" s="247">
        <v>36</v>
      </c>
      <c r="K85" s="247" t="e">
        <f t="shared" si="1"/>
        <v>#VALUE!</v>
      </c>
      <c r="L85" s="247" t="e">
        <f>K85*EXP(-$D$32*(J85-1.5))</f>
        <v>#VALUE!</v>
      </c>
      <c r="M85" s="247" t="e">
        <f t="shared" si="3"/>
        <v>#VALUE!</v>
      </c>
      <c r="N85" s="247" t="e">
        <f t="shared" si="5"/>
        <v>#VALUE!</v>
      </c>
      <c r="O85" s="247" t="e">
        <f t="shared" si="6"/>
        <v>#VALUE!</v>
      </c>
      <c r="P85" s="247" t="e">
        <f t="shared" si="7"/>
        <v>#VALUE!</v>
      </c>
      <c r="Q85" s="251" t="e">
        <f t="shared" si="8"/>
        <v>#VALUE!</v>
      </c>
      <c r="R85" s="253">
        <v>1250</v>
      </c>
      <c r="S85" s="247">
        <v>36</v>
      </c>
      <c r="T85" s="247"/>
      <c r="U85" s="244"/>
      <c r="V85" s="244"/>
    </row>
    <row r="86" spans="1:22" x14ac:dyDescent="0.2">
      <c r="A86" s="244">
        <f t="shared" si="13"/>
        <v>5</v>
      </c>
      <c r="B86" s="245" t="e">
        <f t="shared" si="4"/>
        <v>#VALUE!</v>
      </c>
      <c r="C86" s="244" t="e">
        <f t="shared" si="14"/>
        <v>#VALUE!</v>
      </c>
      <c r="D86" s="244" t="e">
        <f t="shared" si="9"/>
        <v>#VALUE!</v>
      </c>
      <c r="E86" s="244" t="e">
        <f t="shared" si="10"/>
        <v>#VALUE!</v>
      </c>
      <c r="F86" s="244" t="e">
        <f t="shared" si="11"/>
        <v>#VALUE!</v>
      </c>
      <c r="G86" s="247" t="e">
        <f t="shared" si="12"/>
        <v>#VALUE!</v>
      </c>
      <c r="H86" s="247">
        <f t="shared" si="0"/>
        <v>875</v>
      </c>
      <c r="I86" s="247">
        <v>1750</v>
      </c>
      <c r="J86" s="247">
        <v>48</v>
      </c>
      <c r="K86" s="247" t="e">
        <f t="shared" si="1"/>
        <v>#VALUE!</v>
      </c>
      <c r="L86" s="247" t="e">
        <f>K86*EXP(-$D$32*(J86-2))</f>
        <v>#VALUE!</v>
      </c>
      <c r="M86" s="247" t="e">
        <f t="shared" si="3"/>
        <v>#VALUE!</v>
      </c>
      <c r="N86" s="247" t="e">
        <f t="shared" si="5"/>
        <v>#VALUE!</v>
      </c>
      <c r="O86" s="247" t="e">
        <f t="shared" si="6"/>
        <v>#VALUE!</v>
      </c>
      <c r="P86" s="247" t="e">
        <f t="shared" si="7"/>
        <v>#VALUE!</v>
      </c>
      <c r="Q86" s="251" t="e">
        <f t="shared" si="8"/>
        <v>#VALUE!</v>
      </c>
      <c r="R86" s="247">
        <v>1750</v>
      </c>
      <c r="S86" s="247">
        <v>48</v>
      </c>
      <c r="T86" s="247"/>
      <c r="U86" s="244"/>
      <c r="V86" s="244"/>
    </row>
    <row r="87" spans="1:22" x14ac:dyDescent="0.2">
      <c r="A87" s="244">
        <f t="shared" si="13"/>
        <v>5.5</v>
      </c>
      <c r="B87" s="245" t="e">
        <f t="shared" si="4"/>
        <v>#VALUE!</v>
      </c>
      <c r="C87" s="244" t="e">
        <f t="shared" si="14"/>
        <v>#VALUE!</v>
      </c>
      <c r="D87" s="244" t="e">
        <f t="shared" si="9"/>
        <v>#VALUE!</v>
      </c>
      <c r="E87" s="244" t="e">
        <f t="shared" si="10"/>
        <v>#VALUE!</v>
      </c>
      <c r="F87" s="244" t="e">
        <f t="shared" si="11"/>
        <v>#VALUE!</v>
      </c>
      <c r="G87" s="247" t="e">
        <f t="shared" si="12"/>
        <v>#VALUE!</v>
      </c>
      <c r="H87" s="247">
        <f t="shared" si="0"/>
        <v>1000</v>
      </c>
      <c r="I87" s="249">
        <v>500</v>
      </c>
      <c r="J87" s="247">
        <v>12</v>
      </c>
      <c r="K87" s="247" t="e">
        <f t="shared" si="1"/>
        <v>#VALUE!</v>
      </c>
      <c r="L87" s="247" t="e">
        <f>K87*EXP(-$D$32*(J87-1))</f>
        <v>#VALUE!</v>
      </c>
      <c r="M87" s="247" t="e">
        <f t="shared" si="3"/>
        <v>#VALUE!</v>
      </c>
      <c r="N87" s="247" t="e">
        <f t="shared" si="5"/>
        <v>#VALUE!</v>
      </c>
      <c r="O87" s="247" t="e">
        <f t="shared" si="6"/>
        <v>#VALUE!</v>
      </c>
      <c r="P87" s="247" t="e">
        <f t="shared" si="7"/>
        <v>#VALUE!</v>
      </c>
      <c r="Q87" s="251" t="e">
        <f t="shared" si="8"/>
        <v>#VALUE!</v>
      </c>
      <c r="R87" s="249">
        <v>500</v>
      </c>
      <c r="S87" s="247">
        <v>12</v>
      </c>
      <c r="T87" s="247"/>
      <c r="U87" s="244"/>
      <c r="V87" s="244"/>
    </row>
    <row r="88" spans="1:22" x14ac:dyDescent="0.2">
      <c r="A88" s="244">
        <f t="shared" si="13"/>
        <v>6</v>
      </c>
      <c r="B88" s="245" t="e">
        <f t="shared" si="4"/>
        <v>#VALUE!</v>
      </c>
      <c r="C88" s="244" t="e">
        <f t="shared" si="14"/>
        <v>#VALUE!</v>
      </c>
      <c r="D88" s="244" t="e">
        <f t="shared" si="9"/>
        <v>#VALUE!</v>
      </c>
      <c r="E88" s="244" t="e">
        <f t="shared" si="10"/>
        <v>#VALUE!</v>
      </c>
      <c r="F88" s="244" t="e">
        <f t="shared" si="11"/>
        <v>#VALUE!</v>
      </c>
      <c r="G88" s="247" t="e">
        <f t="shared" si="12"/>
        <v>#VALUE!</v>
      </c>
      <c r="H88" s="247">
        <f t="shared" si="0"/>
        <v>1000</v>
      </c>
      <c r="I88" s="253">
        <v>1000</v>
      </c>
      <c r="J88" s="247">
        <v>24</v>
      </c>
      <c r="K88" s="247" t="e">
        <f t="shared" si="1"/>
        <v>#VALUE!</v>
      </c>
      <c r="L88" s="247" t="e">
        <f>K88*EXP(-$D$32*(J88-1))</f>
        <v>#VALUE!</v>
      </c>
      <c r="M88" s="247" t="e">
        <f t="shared" si="3"/>
        <v>#VALUE!</v>
      </c>
      <c r="N88" s="247" t="e">
        <f t="shared" si="5"/>
        <v>#VALUE!</v>
      </c>
      <c r="O88" s="247" t="e">
        <f t="shared" si="6"/>
        <v>#VALUE!</v>
      </c>
      <c r="P88" s="247" t="e">
        <f t="shared" si="7"/>
        <v>#VALUE!</v>
      </c>
      <c r="Q88" s="251" t="e">
        <f t="shared" si="8"/>
        <v>#VALUE!</v>
      </c>
      <c r="R88" s="253">
        <v>1000</v>
      </c>
      <c r="S88" s="247">
        <v>24</v>
      </c>
      <c r="T88" s="247"/>
      <c r="U88" s="244"/>
      <c r="V88" s="244"/>
    </row>
    <row r="89" spans="1:22" x14ac:dyDescent="0.2">
      <c r="A89" s="244">
        <f t="shared" si="13"/>
        <v>6.5</v>
      </c>
      <c r="B89" s="245" t="e">
        <f t="shared" si="4"/>
        <v>#VALUE!</v>
      </c>
      <c r="C89" s="244" t="e">
        <f t="shared" si="14"/>
        <v>#VALUE!</v>
      </c>
      <c r="D89" s="244" t="e">
        <f t="shared" si="9"/>
        <v>#VALUE!</v>
      </c>
      <c r="E89" s="244" t="e">
        <f t="shared" si="10"/>
        <v>#VALUE!</v>
      </c>
      <c r="F89" s="244" t="e">
        <f t="shared" si="11"/>
        <v>#VALUE!</v>
      </c>
      <c r="G89" s="247" t="e">
        <f t="shared" si="12"/>
        <v>#VALUE!</v>
      </c>
      <c r="H89" s="247">
        <f t="shared" si="0"/>
        <v>1000</v>
      </c>
      <c r="I89" s="253">
        <v>1500</v>
      </c>
      <c r="J89" s="247">
        <v>36</v>
      </c>
      <c r="K89" s="247" t="e">
        <f t="shared" si="1"/>
        <v>#VALUE!</v>
      </c>
      <c r="L89" s="247" t="e">
        <f>K89*EXP(-$D$32*(J89-1.5))</f>
        <v>#VALUE!</v>
      </c>
      <c r="M89" s="247" t="e">
        <f t="shared" si="3"/>
        <v>#VALUE!</v>
      </c>
      <c r="N89" s="247" t="e">
        <f t="shared" si="5"/>
        <v>#VALUE!</v>
      </c>
      <c r="O89" s="247" t="e">
        <f t="shared" si="6"/>
        <v>#VALUE!</v>
      </c>
      <c r="P89" s="247" t="e">
        <f t="shared" si="7"/>
        <v>#VALUE!</v>
      </c>
      <c r="Q89" s="251" t="e">
        <f t="shared" si="8"/>
        <v>#VALUE!</v>
      </c>
      <c r="R89" s="253">
        <v>1500</v>
      </c>
      <c r="S89" s="247">
        <v>36</v>
      </c>
      <c r="T89" s="247"/>
      <c r="U89" s="244"/>
      <c r="V89" s="244"/>
    </row>
    <row r="90" spans="1:22" x14ac:dyDescent="0.2">
      <c r="A90" s="244">
        <f t="shared" si="13"/>
        <v>7</v>
      </c>
      <c r="B90" s="245" t="e">
        <f t="shared" si="4"/>
        <v>#VALUE!</v>
      </c>
      <c r="C90" s="244" t="e">
        <f t="shared" si="14"/>
        <v>#VALUE!</v>
      </c>
      <c r="D90" s="244" t="e">
        <f t="shared" si="9"/>
        <v>#VALUE!</v>
      </c>
      <c r="E90" s="244" t="e">
        <f t="shared" si="10"/>
        <v>#VALUE!</v>
      </c>
      <c r="F90" s="244" t="e">
        <f t="shared" si="11"/>
        <v>#VALUE!</v>
      </c>
      <c r="G90" s="247" t="e">
        <f t="shared" si="12"/>
        <v>#VALUE!</v>
      </c>
      <c r="H90" s="247">
        <f t="shared" si="0"/>
        <v>1000</v>
      </c>
      <c r="I90" s="247">
        <v>2000</v>
      </c>
      <c r="J90" s="247">
        <v>48</v>
      </c>
      <c r="K90" s="247" t="e">
        <f t="shared" si="1"/>
        <v>#VALUE!</v>
      </c>
      <c r="L90" s="247" t="e">
        <f>K90*EXP(-$D$32*(J90-2))</f>
        <v>#VALUE!</v>
      </c>
      <c r="M90" s="247" t="e">
        <f t="shared" si="3"/>
        <v>#VALUE!</v>
      </c>
      <c r="N90" s="247" t="e">
        <f t="shared" si="5"/>
        <v>#VALUE!</v>
      </c>
      <c r="O90" s="247" t="e">
        <f t="shared" si="6"/>
        <v>#VALUE!</v>
      </c>
      <c r="P90" s="247" t="e">
        <f t="shared" si="7"/>
        <v>#VALUE!</v>
      </c>
      <c r="Q90" s="251" t="e">
        <f t="shared" si="8"/>
        <v>#VALUE!</v>
      </c>
      <c r="R90" s="247">
        <v>2000</v>
      </c>
      <c r="S90" s="247">
        <v>48</v>
      </c>
      <c r="T90" s="247"/>
      <c r="U90" s="244"/>
      <c r="V90" s="244"/>
    </row>
    <row r="91" spans="1:22" x14ac:dyDescent="0.2">
      <c r="A91" s="244">
        <f t="shared" si="13"/>
        <v>7.5</v>
      </c>
      <c r="B91" s="245" t="e">
        <f t="shared" si="4"/>
        <v>#VALUE!</v>
      </c>
      <c r="C91" s="244" t="e">
        <f t="shared" si="14"/>
        <v>#VALUE!</v>
      </c>
      <c r="D91" s="244" t="e">
        <f t="shared" si="9"/>
        <v>#VALUE!</v>
      </c>
      <c r="E91" s="244" t="e">
        <f t="shared" si="10"/>
        <v>#VALUE!</v>
      </c>
      <c r="F91" s="244" t="e">
        <f t="shared" si="11"/>
        <v>#VALUE!</v>
      </c>
      <c r="G91" s="247" t="e">
        <f t="shared" si="12"/>
        <v>#VALUE!</v>
      </c>
      <c r="H91" s="247">
        <f t="shared" si="0"/>
        <v>1125</v>
      </c>
      <c r="I91" s="247">
        <v>2250</v>
      </c>
      <c r="J91" s="247">
        <v>48</v>
      </c>
      <c r="K91" s="247" t="e">
        <f t="shared" si="1"/>
        <v>#VALUE!</v>
      </c>
      <c r="L91" s="247" t="e">
        <f>K91*EXP(-$D$32*(J91-2.5))</f>
        <v>#VALUE!</v>
      </c>
      <c r="M91" s="247" t="e">
        <f t="shared" si="3"/>
        <v>#VALUE!</v>
      </c>
      <c r="N91" s="247" t="e">
        <f t="shared" si="5"/>
        <v>#VALUE!</v>
      </c>
      <c r="O91" s="247" t="e">
        <f t="shared" si="6"/>
        <v>#VALUE!</v>
      </c>
      <c r="P91" s="247" t="e">
        <f t="shared" si="7"/>
        <v>#VALUE!</v>
      </c>
      <c r="Q91" s="251" t="e">
        <f t="shared" si="8"/>
        <v>#VALUE!</v>
      </c>
      <c r="R91" s="247">
        <v>2250</v>
      </c>
      <c r="S91" s="247">
        <v>48</v>
      </c>
      <c r="T91" s="247"/>
      <c r="U91" s="244"/>
      <c r="V91" s="244"/>
    </row>
    <row r="92" spans="1:22" x14ac:dyDescent="0.2">
      <c r="A92" s="244">
        <f t="shared" si="13"/>
        <v>8</v>
      </c>
      <c r="B92" s="245" t="e">
        <f t="shared" si="4"/>
        <v>#VALUE!</v>
      </c>
      <c r="C92" s="244" t="e">
        <f t="shared" si="14"/>
        <v>#VALUE!</v>
      </c>
      <c r="D92" s="244" t="e">
        <f t="shared" si="9"/>
        <v>#VALUE!</v>
      </c>
      <c r="E92" s="244" t="e">
        <f t="shared" si="10"/>
        <v>#VALUE!</v>
      </c>
      <c r="F92" s="244" t="e">
        <f t="shared" si="11"/>
        <v>#VALUE!</v>
      </c>
      <c r="G92" s="247" t="e">
        <f t="shared" si="12"/>
        <v>#VALUE!</v>
      </c>
      <c r="H92" s="247">
        <f t="shared" si="0"/>
        <v>1166.6666666666667</v>
      </c>
      <c r="I92" s="247">
        <v>1750</v>
      </c>
      <c r="J92" s="247">
        <v>36</v>
      </c>
      <c r="K92" s="247" t="e">
        <f t="shared" si="1"/>
        <v>#VALUE!</v>
      </c>
      <c r="L92" s="247" t="e">
        <f>K92*EXP(-$D$32*(J92-2))</f>
        <v>#VALUE!</v>
      </c>
      <c r="M92" s="247" t="e">
        <f t="shared" si="3"/>
        <v>#VALUE!</v>
      </c>
      <c r="N92" s="247" t="e">
        <f t="shared" si="5"/>
        <v>#VALUE!</v>
      </c>
      <c r="O92" s="247" t="e">
        <f t="shared" si="6"/>
        <v>#VALUE!</v>
      </c>
      <c r="P92" s="247" t="e">
        <f t="shared" si="7"/>
        <v>#VALUE!</v>
      </c>
      <c r="Q92" s="251" t="e">
        <f t="shared" si="8"/>
        <v>#VALUE!</v>
      </c>
      <c r="R92" s="247">
        <v>1750</v>
      </c>
      <c r="S92" s="247">
        <v>36</v>
      </c>
      <c r="T92" s="247"/>
      <c r="U92" s="244"/>
      <c r="V92" s="244"/>
    </row>
    <row r="93" spans="1:22" x14ac:dyDescent="0.2">
      <c r="A93" s="244">
        <f t="shared" si="13"/>
        <v>8.5</v>
      </c>
      <c r="B93" s="245" t="e">
        <f t="shared" si="4"/>
        <v>#VALUE!</v>
      </c>
      <c r="C93" s="244" t="e">
        <f>($F$42+C92)</f>
        <v>#VALUE!</v>
      </c>
      <c r="D93" s="244" t="e">
        <f t="shared" si="9"/>
        <v>#VALUE!</v>
      </c>
      <c r="E93" s="244" t="e">
        <f t="shared" si="10"/>
        <v>#VALUE!</v>
      </c>
      <c r="F93" s="244" t="e">
        <f t="shared" si="11"/>
        <v>#VALUE!</v>
      </c>
      <c r="G93" s="247" t="e">
        <f t="shared" si="12"/>
        <v>#VALUE!</v>
      </c>
      <c r="H93" s="247">
        <f t="shared" si="0"/>
        <v>1250</v>
      </c>
      <c r="I93" s="253">
        <v>1250</v>
      </c>
      <c r="J93" s="247">
        <v>24</v>
      </c>
      <c r="K93" s="247" t="e">
        <f t="shared" si="1"/>
        <v>#VALUE!</v>
      </c>
      <c r="L93" s="247" t="e">
        <f>K93*EXP(-$D$32*(J93-1.5))</f>
        <v>#VALUE!</v>
      </c>
      <c r="M93" s="247" t="e">
        <f t="shared" si="3"/>
        <v>#VALUE!</v>
      </c>
      <c r="N93" s="247" t="e">
        <f t="shared" si="5"/>
        <v>#VALUE!</v>
      </c>
      <c r="O93" s="247" t="e">
        <f t="shared" si="6"/>
        <v>#VALUE!</v>
      </c>
      <c r="P93" s="247" t="e">
        <f t="shared" si="7"/>
        <v>#VALUE!</v>
      </c>
      <c r="Q93" s="251" t="e">
        <f t="shared" si="8"/>
        <v>#VALUE!</v>
      </c>
      <c r="R93" s="253">
        <v>1250</v>
      </c>
      <c r="S93" s="247">
        <v>24</v>
      </c>
      <c r="T93" s="247"/>
      <c r="U93" s="244"/>
      <c r="V93" s="244"/>
    </row>
    <row r="94" spans="1:22" x14ac:dyDescent="0.2">
      <c r="A94" s="244">
        <f t="shared" si="13"/>
        <v>9</v>
      </c>
      <c r="B94" s="245" t="e">
        <f t="shared" si="4"/>
        <v>#VALUE!</v>
      </c>
      <c r="C94" s="244" t="e">
        <f>($C$93)*EXP(-$D$32*(A94-8.5))</f>
        <v>#VALUE!</v>
      </c>
      <c r="D94" s="244" t="e">
        <f t="shared" si="9"/>
        <v>#VALUE!</v>
      </c>
      <c r="E94" s="244" t="e">
        <f t="shared" si="10"/>
        <v>#VALUE!</v>
      </c>
      <c r="F94" s="244" t="e">
        <f t="shared" si="11"/>
        <v>#VALUE!</v>
      </c>
      <c r="G94" s="247" t="e">
        <f t="shared" si="12"/>
        <v>#VALUE!</v>
      </c>
      <c r="H94" s="247">
        <f t="shared" si="0"/>
        <v>1250</v>
      </c>
      <c r="I94" s="247">
        <v>2500</v>
      </c>
      <c r="J94" s="247">
        <v>48</v>
      </c>
      <c r="K94" s="247" t="e">
        <f t="shared" si="1"/>
        <v>#VALUE!</v>
      </c>
      <c r="L94" s="247" t="e">
        <f>K94*EXP(-$D$32*(J94-2.5))</f>
        <v>#VALUE!</v>
      </c>
      <c r="M94" s="247" t="e">
        <f t="shared" si="3"/>
        <v>#VALUE!</v>
      </c>
      <c r="N94" s="247" t="e">
        <f t="shared" si="5"/>
        <v>#VALUE!</v>
      </c>
      <c r="O94" s="247" t="e">
        <f t="shared" si="6"/>
        <v>#VALUE!</v>
      </c>
      <c r="P94" s="247" t="e">
        <f t="shared" si="7"/>
        <v>#VALUE!</v>
      </c>
      <c r="Q94" s="251" t="e">
        <f t="shared" si="8"/>
        <v>#VALUE!</v>
      </c>
      <c r="R94" s="247">
        <v>2500</v>
      </c>
      <c r="S94" s="247">
        <v>48</v>
      </c>
      <c r="T94" s="247"/>
      <c r="U94" s="244"/>
      <c r="V94" s="244"/>
    </row>
    <row r="95" spans="1:22" x14ac:dyDescent="0.2">
      <c r="A95" s="244">
        <f t="shared" si="13"/>
        <v>9.5</v>
      </c>
      <c r="B95" s="245" t="e">
        <f t="shared" si="4"/>
        <v>#VALUE!</v>
      </c>
      <c r="C95" s="244" t="e">
        <f t="shared" ref="C95:C108" si="15">($C$93)*EXP(-$D$32*(A95-8.5))</f>
        <v>#VALUE!</v>
      </c>
      <c r="D95" s="244" t="e">
        <f t="shared" si="9"/>
        <v>#VALUE!</v>
      </c>
      <c r="E95" s="244" t="e">
        <f t="shared" si="10"/>
        <v>#VALUE!</v>
      </c>
      <c r="F95" s="244" t="e">
        <f t="shared" si="11"/>
        <v>#VALUE!</v>
      </c>
      <c r="G95" s="247" t="e">
        <f t="shared" si="12"/>
        <v>#VALUE!</v>
      </c>
      <c r="H95" s="247">
        <f t="shared" si="0"/>
        <v>1333.3333333333333</v>
      </c>
      <c r="I95" s="247">
        <v>2000</v>
      </c>
      <c r="J95" s="247">
        <v>36</v>
      </c>
      <c r="K95" s="247" t="e">
        <f t="shared" si="1"/>
        <v>#VALUE!</v>
      </c>
      <c r="L95" s="247" t="e">
        <f>K95*EXP(-$D$32*(J95-2))</f>
        <v>#VALUE!</v>
      </c>
      <c r="M95" s="247" t="e">
        <f t="shared" si="3"/>
        <v>#VALUE!</v>
      </c>
      <c r="N95" s="247" t="e">
        <f t="shared" si="5"/>
        <v>#VALUE!</v>
      </c>
      <c r="O95" s="247" t="e">
        <f t="shared" si="6"/>
        <v>#VALUE!</v>
      </c>
      <c r="P95" s="247" t="e">
        <f t="shared" si="7"/>
        <v>#VALUE!</v>
      </c>
      <c r="Q95" s="251" t="e">
        <f t="shared" si="8"/>
        <v>#VALUE!</v>
      </c>
      <c r="R95" s="247">
        <v>2000</v>
      </c>
      <c r="S95" s="247">
        <v>36</v>
      </c>
      <c r="T95" s="247"/>
      <c r="U95" s="244"/>
      <c r="V95" s="244"/>
    </row>
    <row r="96" spans="1:22" x14ac:dyDescent="0.2">
      <c r="A96" s="244">
        <f t="shared" si="13"/>
        <v>10</v>
      </c>
      <c r="B96" s="245" t="e">
        <f t="shared" si="4"/>
        <v>#VALUE!</v>
      </c>
      <c r="C96" s="244" t="e">
        <f t="shared" si="15"/>
        <v>#VALUE!</v>
      </c>
      <c r="D96" s="244" t="e">
        <f t="shared" si="9"/>
        <v>#VALUE!</v>
      </c>
      <c r="E96" s="244" t="e">
        <f t="shared" si="10"/>
        <v>#VALUE!</v>
      </c>
      <c r="F96" s="244" t="e">
        <f t="shared" si="11"/>
        <v>#VALUE!</v>
      </c>
      <c r="G96" s="247" t="e">
        <f t="shared" si="12"/>
        <v>#VALUE!</v>
      </c>
      <c r="H96" s="247">
        <f t="shared" si="0"/>
        <v>1500</v>
      </c>
      <c r="I96" s="249">
        <v>500</v>
      </c>
      <c r="J96" s="247">
        <v>8</v>
      </c>
      <c r="K96" s="247" t="e">
        <f t="shared" si="1"/>
        <v>#VALUE!</v>
      </c>
      <c r="L96" s="247" t="e">
        <f>K96*EXP(-$D$32*(J96-1))</f>
        <v>#VALUE!</v>
      </c>
      <c r="M96" s="247" t="e">
        <f t="shared" si="3"/>
        <v>#VALUE!</v>
      </c>
      <c r="N96" s="247" t="e">
        <f t="shared" si="5"/>
        <v>#VALUE!</v>
      </c>
      <c r="O96" s="247" t="e">
        <f t="shared" si="6"/>
        <v>#VALUE!</v>
      </c>
      <c r="P96" s="247" t="e">
        <f t="shared" si="7"/>
        <v>#VALUE!</v>
      </c>
      <c r="Q96" s="251" t="e">
        <f t="shared" si="8"/>
        <v>#VALUE!</v>
      </c>
      <c r="R96" s="249">
        <v>500</v>
      </c>
      <c r="S96" s="247">
        <v>8</v>
      </c>
      <c r="T96" s="247"/>
      <c r="U96" s="244"/>
      <c r="V96" s="244"/>
    </row>
    <row r="97" spans="1:22" x14ac:dyDescent="0.2">
      <c r="A97" s="244">
        <f t="shared" si="13"/>
        <v>10.5</v>
      </c>
      <c r="B97" s="245" t="e">
        <f t="shared" si="4"/>
        <v>#VALUE!</v>
      </c>
      <c r="C97" s="244" t="e">
        <f t="shared" si="15"/>
        <v>#VALUE!</v>
      </c>
      <c r="D97" s="244" t="e">
        <f t="shared" si="9"/>
        <v>#VALUE!</v>
      </c>
      <c r="E97" s="244" t="e">
        <f t="shared" si="10"/>
        <v>#VALUE!</v>
      </c>
      <c r="F97" s="244" t="e">
        <f t="shared" si="11"/>
        <v>#VALUE!</v>
      </c>
      <c r="G97" s="247" t="e">
        <f t="shared" si="12"/>
        <v>#VALUE!</v>
      </c>
      <c r="H97" s="247">
        <f t="shared" si="0"/>
        <v>1500</v>
      </c>
      <c r="I97" s="247">
        <v>750</v>
      </c>
      <c r="J97" s="247">
        <v>12</v>
      </c>
      <c r="K97" s="247" t="e">
        <f t="shared" si="1"/>
        <v>#VALUE!</v>
      </c>
      <c r="L97" s="247" t="e">
        <f>K97*EXP(-$D$32*(J97-1))</f>
        <v>#VALUE!</v>
      </c>
      <c r="M97" s="247" t="e">
        <f t="shared" si="3"/>
        <v>#VALUE!</v>
      </c>
      <c r="N97" s="247" t="e">
        <f t="shared" si="5"/>
        <v>#VALUE!</v>
      </c>
      <c r="O97" s="247" t="e">
        <f t="shared" si="6"/>
        <v>#VALUE!</v>
      </c>
      <c r="P97" s="247" t="e">
        <f t="shared" si="7"/>
        <v>#VALUE!</v>
      </c>
      <c r="Q97" s="251" t="e">
        <f t="shared" si="8"/>
        <v>#VALUE!</v>
      </c>
      <c r="R97" s="247">
        <v>750</v>
      </c>
      <c r="S97" s="247">
        <v>12</v>
      </c>
      <c r="T97" s="247"/>
      <c r="U97" s="244"/>
      <c r="V97" s="244"/>
    </row>
    <row r="98" spans="1:22" x14ac:dyDescent="0.2">
      <c r="A98" s="244">
        <f t="shared" si="13"/>
        <v>11</v>
      </c>
      <c r="B98" s="245" t="e">
        <f t="shared" si="4"/>
        <v>#VALUE!</v>
      </c>
      <c r="C98" s="244" t="e">
        <f t="shared" si="15"/>
        <v>#VALUE!</v>
      </c>
      <c r="D98" s="244" t="e">
        <f t="shared" si="9"/>
        <v>#VALUE!</v>
      </c>
      <c r="E98" s="244" t="e">
        <f t="shared" si="10"/>
        <v>#VALUE!</v>
      </c>
      <c r="F98" s="244" t="e">
        <f t="shared" si="11"/>
        <v>#VALUE!</v>
      </c>
      <c r="G98" s="247" t="e">
        <f t="shared" si="12"/>
        <v>#VALUE!</v>
      </c>
      <c r="H98" s="247">
        <f t="shared" si="0"/>
        <v>1500</v>
      </c>
      <c r="I98" s="253">
        <v>1500</v>
      </c>
      <c r="J98" s="247">
        <v>24</v>
      </c>
      <c r="K98" s="247" t="e">
        <f t="shared" si="1"/>
        <v>#VALUE!</v>
      </c>
      <c r="L98" s="247" t="e">
        <f>K98*EXP(-$D$32*(J98-1.5))</f>
        <v>#VALUE!</v>
      </c>
      <c r="M98" s="247" t="e">
        <f t="shared" si="3"/>
        <v>#VALUE!</v>
      </c>
      <c r="N98" s="247" t="e">
        <f t="shared" si="5"/>
        <v>#VALUE!</v>
      </c>
      <c r="O98" s="247" t="e">
        <f t="shared" si="6"/>
        <v>#VALUE!</v>
      </c>
      <c r="P98" s="247" t="e">
        <f t="shared" si="7"/>
        <v>#VALUE!</v>
      </c>
      <c r="Q98" s="251" t="e">
        <f t="shared" si="8"/>
        <v>#VALUE!</v>
      </c>
      <c r="R98" s="253">
        <v>1500</v>
      </c>
      <c r="S98" s="247">
        <v>24</v>
      </c>
      <c r="T98" s="247"/>
      <c r="U98" s="244"/>
      <c r="V98" s="244"/>
    </row>
    <row r="99" spans="1:22" x14ac:dyDescent="0.2">
      <c r="A99" s="244">
        <f t="shared" si="13"/>
        <v>11.5</v>
      </c>
      <c r="B99" s="245" t="e">
        <f t="shared" si="4"/>
        <v>#VALUE!</v>
      </c>
      <c r="C99" s="244" t="e">
        <f t="shared" si="15"/>
        <v>#VALUE!</v>
      </c>
      <c r="D99" s="244" t="e">
        <f t="shared" si="9"/>
        <v>#VALUE!</v>
      </c>
      <c r="E99" s="244" t="e">
        <f t="shared" si="10"/>
        <v>#VALUE!</v>
      </c>
      <c r="F99" s="244" t="e">
        <f t="shared" si="11"/>
        <v>#VALUE!</v>
      </c>
      <c r="G99" s="247" t="e">
        <f t="shared" si="12"/>
        <v>#VALUE!</v>
      </c>
      <c r="H99" s="247">
        <f t="shared" si="0"/>
        <v>1500</v>
      </c>
      <c r="I99" s="247">
        <v>2250</v>
      </c>
      <c r="J99" s="247">
        <v>36</v>
      </c>
      <c r="K99" s="247" t="e">
        <f t="shared" si="1"/>
        <v>#VALUE!</v>
      </c>
      <c r="L99" s="247" t="e">
        <f>K99*EXP(-$D$32*(J99-2.5))</f>
        <v>#VALUE!</v>
      </c>
      <c r="M99" s="247" t="e">
        <f t="shared" si="3"/>
        <v>#VALUE!</v>
      </c>
      <c r="N99" s="247" t="e">
        <f t="shared" si="5"/>
        <v>#VALUE!</v>
      </c>
      <c r="O99" s="247" t="e">
        <f t="shared" si="6"/>
        <v>#VALUE!</v>
      </c>
      <c r="P99" s="247" t="e">
        <f t="shared" si="7"/>
        <v>#VALUE!</v>
      </c>
      <c r="Q99" s="251" t="e">
        <f t="shared" si="8"/>
        <v>#VALUE!</v>
      </c>
      <c r="R99" s="247">
        <v>2250</v>
      </c>
      <c r="S99" s="247">
        <v>36</v>
      </c>
      <c r="T99" s="247"/>
      <c r="U99" s="244"/>
      <c r="V99" s="244"/>
    </row>
    <row r="100" spans="1:22" x14ac:dyDescent="0.2">
      <c r="A100" s="244">
        <f t="shared" si="13"/>
        <v>12</v>
      </c>
      <c r="B100" s="245" t="e">
        <f t="shared" si="4"/>
        <v>#VALUE!</v>
      </c>
      <c r="C100" s="244" t="e">
        <f t="shared" si="15"/>
        <v>#VALUE!</v>
      </c>
      <c r="D100" s="244" t="e">
        <f t="shared" si="9"/>
        <v>#VALUE!</v>
      </c>
      <c r="E100" s="244" t="e">
        <f t="shared" si="10"/>
        <v>#VALUE!</v>
      </c>
      <c r="F100" s="244" t="e">
        <f t="shared" si="11"/>
        <v>#VALUE!</v>
      </c>
      <c r="G100" s="247" t="e">
        <f t="shared" si="12"/>
        <v>#VALUE!</v>
      </c>
      <c r="H100" s="247">
        <f t="shared" si="0"/>
        <v>1666.6666666666667</v>
      </c>
      <c r="I100" s="247">
        <v>2500</v>
      </c>
      <c r="J100" s="247">
        <v>36</v>
      </c>
      <c r="K100" s="247" t="e">
        <f t="shared" si="1"/>
        <v>#VALUE!</v>
      </c>
      <c r="L100" s="247" t="e">
        <f>K100*EXP(-$D$32*(J100-2.5))</f>
        <v>#VALUE!</v>
      </c>
      <c r="M100" s="247" t="e">
        <f t="shared" si="3"/>
        <v>#VALUE!</v>
      </c>
      <c r="N100" s="247" t="e">
        <f t="shared" si="5"/>
        <v>#VALUE!</v>
      </c>
      <c r="O100" s="247" t="e">
        <f t="shared" si="6"/>
        <v>#VALUE!</v>
      </c>
      <c r="P100" s="247" t="e">
        <f t="shared" si="7"/>
        <v>#VALUE!</v>
      </c>
      <c r="Q100" s="251" t="e">
        <f t="shared" si="8"/>
        <v>#VALUE!</v>
      </c>
      <c r="R100" s="247">
        <v>2500</v>
      </c>
      <c r="S100" s="247">
        <v>36</v>
      </c>
      <c r="T100" s="247"/>
      <c r="U100" s="244"/>
      <c r="V100" s="244"/>
    </row>
    <row r="101" spans="1:22" x14ac:dyDescent="0.2">
      <c r="A101" s="244">
        <f t="shared" si="13"/>
        <v>12.5</v>
      </c>
      <c r="B101" s="245" t="e">
        <f t="shared" si="4"/>
        <v>#VALUE!</v>
      </c>
      <c r="C101" s="244" t="e">
        <f t="shared" si="15"/>
        <v>#VALUE!</v>
      </c>
      <c r="D101" s="244" t="e">
        <f>($F$42+D100)</f>
        <v>#VALUE!</v>
      </c>
      <c r="E101" s="244" t="e">
        <f t="shared" si="10"/>
        <v>#VALUE!</v>
      </c>
      <c r="F101" s="244" t="e">
        <f t="shared" si="11"/>
        <v>#VALUE!</v>
      </c>
      <c r="G101" s="247" t="e">
        <f t="shared" si="12"/>
        <v>#VALUE!</v>
      </c>
      <c r="H101" s="247">
        <f t="shared" si="0"/>
        <v>1750</v>
      </c>
      <c r="I101" s="247">
        <v>1750</v>
      </c>
      <c r="J101" s="247">
        <v>24</v>
      </c>
      <c r="K101" s="247" t="e">
        <f t="shared" si="1"/>
        <v>#VALUE!</v>
      </c>
      <c r="L101" s="247" t="e">
        <f>K101*EXP(-$D$32*(J101-2))</f>
        <v>#VALUE!</v>
      </c>
      <c r="M101" s="247" t="e">
        <f t="shared" si="3"/>
        <v>#VALUE!</v>
      </c>
      <c r="N101" s="247" t="e">
        <f t="shared" si="5"/>
        <v>#VALUE!</v>
      </c>
      <c r="O101" s="247" t="e">
        <f t="shared" si="6"/>
        <v>#VALUE!</v>
      </c>
      <c r="P101" s="247" t="e">
        <f t="shared" si="7"/>
        <v>#VALUE!</v>
      </c>
      <c r="Q101" s="251" t="e">
        <f t="shared" si="8"/>
        <v>#VALUE!</v>
      </c>
      <c r="R101" s="247">
        <v>1750</v>
      </c>
      <c r="S101" s="247">
        <v>24</v>
      </c>
      <c r="T101" s="247"/>
      <c r="U101" s="244"/>
      <c r="V101" s="244"/>
    </row>
    <row r="102" spans="1:22" x14ac:dyDescent="0.2">
      <c r="A102" s="244">
        <f t="shared" si="13"/>
        <v>13</v>
      </c>
      <c r="B102" s="245" t="e">
        <f t="shared" si="4"/>
        <v>#VALUE!</v>
      </c>
      <c r="C102" s="244" t="e">
        <f t="shared" si="15"/>
        <v>#VALUE!</v>
      </c>
      <c r="D102" s="244" t="e">
        <f>($D$101)*EXP(-$D$32*(A102-12.5))</f>
        <v>#VALUE!</v>
      </c>
      <c r="E102" s="244" t="e">
        <f t="shared" si="10"/>
        <v>#VALUE!</v>
      </c>
      <c r="F102" s="244" t="e">
        <f t="shared" si="11"/>
        <v>#VALUE!</v>
      </c>
      <c r="G102" s="247" t="e">
        <f t="shared" si="12"/>
        <v>#VALUE!</v>
      </c>
      <c r="H102" s="247">
        <f t="shared" si="0"/>
        <v>2000</v>
      </c>
      <c r="I102" s="253">
        <v>1000</v>
      </c>
      <c r="J102" s="247">
        <v>12</v>
      </c>
      <c r="K102" s="247" t="e">
        <f t="shared" si="1"/>
        <v>#VALUE!</v>
      </c>
      <c r="L102" s="247" t="e">
        <f>K102*EXP(-$D$32*(J102-1))</f>
        <v>#VALUE!</v>
      </c>
      <c r="M102" s="247" t="e">
        <f t="shared" si="3"/>
        <v>#VALUE!</v>
      </c>
      <c r="N102" s="247" t="e">
        <f t="shared" si="5"/>
        <v>#VALUE!</v>
      </c>
      <c r="O102" s="247" t="e">
        <f t="shared" si="6"/>
        <v>#VALUE!</v>
      </c>
      <c r="P102" s="247" t="e">
        <f t="shared" si="7"/>
        <v>#VALUE!</v>
      </c>
      <c r="Q102" s="251" t="e">
        <f t="shared" si="8"/>
        <v>#VALUE!</v>
      </c>
      <c r="R102" s="253">
        <v>1000</v>
      </c>
      <c r="S102" s="247">
        <v>12</v>
      </c>
      <c r="T102" s="247"/>
      <c r="U102" s="244"/>
      <c r="V102" s="244"/>
    </row>
    <row r="103" spans="1:22" x14ac:dyDescent="0.2">
      <c r="A103" s="244">
        <f t="shared" si="13"/>
        <v>13.5</v>
      </c>
      <c r="B103" s="245" t="e">
        <f t="shared" si="4"/>
        <v>#VALUE!</v>
      </c>
      <c r="C103" s="244" t="e">
        <f t="shared" si="15"/>
        <v>#VALUE!</v>
      </c>
      <c r="D103" s="244" t="e">
        <f t="shared" ref="D103:D124" si="16">($D$101)*EXP(-$D$32*(A103-12.5))</f>
        <v>#VALUE!</v>
      </c>
      <c r="E103" s="244" t="e">
        <f t="shared" si="10"/>
        <v>#VALUE!</v>
      </c>
      <c r="F103" s="244" t="e">
        <f t="shared" si="11"/>
        <v>#VALUE!</v>
      </c>
      <c r="G103" s="247" t="e">
        <f t="shared" si="12"/>
        <v>#VALUE!</v>
      </c>
      <c r="H103" s="247">
        <f t="shared" si="0"/>
        <v>2000</v>
      </c>
      <c r="I103" s="247">
        <v>2000</v>
      </c>
      <c r="J103" s="247">
        <v>24</v>
      </c>
      <c r="K103" s="247" t="e">
        <f t="shared" si="1"/>
        <v>#VALUE!</v>
      </c>
      <c r="L103" s="247" t="e">
        <f>K103*EXP(-$D$32*(J103-2))</f>
        <v>#VALUE!</v>
      </c>
      <c r="M103" s="247" t="e">
        <f t="shared" si="3"/>
        <v>#VALUE!</v>
      </c>
      <c r="N103" s="247" t="e">
        <f t="shared" si="5"/>
        <v>#VALUE!</v>
      </c>
      <c r="O103" s="247" t="e">
        <f t="shared" si="6"/>
        <v>#VALUE!</v>
      </c>
      <c r="P103" s="247" t="e">
        <f t="shared" si="7"/>
        <v>#VALUE!</v>
      </c>
      <c r="Q103" s="251" t="e">
        <f t="shared" si="8"/>
        <v>#VALUE!</v>
      </c>
      <c r="R103" s="247">
        <v>2000</v>
      </c>
      <c r="S103" s="247">
        <v>24</v>
      </c>
      <c r="T103" s="247"/>
      <c r="U103" s="244"/>
      <c r="V103" s="244"/>
    </row>
    <row r="104" spans="1:22" x14ac:dyDescent="0.2">
      <c r="A104" s="244">
        <f t="shared" si="13"/>
        <v>14</v>
      </c>
      <c r="B104" s="245" t="e">
        <f t="shared" si="4"/>
        <v>#VALUE!</v>
      </c>
      <c r="C104" s="244" t="e">
        <f t="shared" si="15"/>
        <v>#VALUE!</v>
      </c>
      <c r="D104" s="244" t="e">
        <f t="shared" si="16"/>
        <v>#VALUE!</v>
      </c>
      <c r="E104" s="244" t="e">
        <f t="shared" si="10"/>
        <v>#VALUE!</v>
      </c>
      <c r="F104" s="244" t="e">
        <f t="shared" si="11"/>
        <v>#VALUE!</v>
      </c>
      <c r="G104" s="247" t="e">
        <f t="shared" si="12"/>
        <v>#VALUE!</v>
      </c>
      <c r="H104" s="247">
        <f t="shared" si="0"/>
        <v>2250</v>
      </c>
      <c r="I104" s="247">
        <v>750</v>
      </c>
      <c r="J104" s="247">
        <v>8</v>
      </c>
      <c r="K104" s="247" t="e">
        <f t="shared" si="1"/>
        <v>#VALUE!</v>
      </c>
      <c r="L104" s="247" t="e">
        <f>K104*EXP(-$D$32*(J104-1))</f>
        <v>#VALUE!</v>
      </c>
      <c r="M104" s="247" t="e">
        <f t="shared" si="3"/>
        <v>#VALUE!</v>
      </c>
      <c r="N104" s="247" t="e">
        <f t="shared" si="5"/>
        <v>#VALUE!</v>
      </c>
      <c r="O104" s="247" t="e">
        <f t="shared" si="6"/>
        <v>#VALUE!</v>
      </c>
      <c r="P104" s="247" t="e">
        <f t="shared" si="7"/>
        <v>#VALUE!</v>
      </c>
      <c r="Q104" s="251" t="e">
        <f t="shared" si="8"/>
        <v>#VALUE!</v>
      </c>
      <c r="R104" s="247">
        <v>750</v>
      </c>
      <c r="S104" s="247">
        <v>8</v>
      </c>
      <c r="T104" s="247"/>
      <c r="U104" s="244"/>
      <c r="V104" s="244"/>
    </row>
    <row r="105" spans="1:22" x14ac:dyDescent="0.2">
      <c r="A105" s="244">
        <f t="shared" si="13"/>
        <v>14.5</v>
      </c>
      <c r="B105" s="245" t="e">
        <f t="shared" si="4"/>
        <v>#VALUE!</v>
      </c>
      <c r="C105" s="244" t="e">
        <f t="shared" si="15"/>
        <v>#VALUE!</v>
      </c>
      <c r="D105" s="244" t="e">
        <f t="shared" si="16"/>
        <v>#VALUE!</v>
      </c>
      <c r="E105" s="244" t="e">
        <f t="shared" si="10"/>
        <v>#VALUE!</v>
      </c>
      <c r="F105" s="244" t="e">
        <f t="shared" si="11"/>
        <v>#VALUE!</v>
      </c>
      <c r="G105" s="247" t="e">
        <f t="shared" si="12"/>
        <v>#VALUE!</v>
      </c>
      <c r="H105" s="247">
        <f t="shared" si="0"/>
        <v>2250</v>
      </c>
      <c r="I105" s="247">
        <v>2250</v>
      </c>
      <c r="J105" s="247">
        <v>24</v>
      </c>
      <c r="K105" s="247" t="e">
        <f t="shared" si="1"/>
        <v>#VALUE!</v>
      </c>
      <c r="L105" s="247" t="e">
        <f>K105*EXP(-$D$32*(J105-2.5))</f>
        <v>#VALUE!</v>
      </c>
      <c r="M105" s="247" t="e">
        <f t="shared" si="3"/>
        <v>#VALUE!</v>
      </c>
      <c r="N105" s="247" t="e">
        <f t="shared" si="5"/>
        <v>#VALUE!</v>
      </c>
      <c r="O105" s="247" t="e">
        <f t="shared" si="6"/>
        <v>#VALUE!</v>
      </c>
      <c r="P105" s="247" t="e">
        <f t="shared" si="7"/>
        <v>#VALUE!</v>
      </c>
      <c r="Q105" s="251" t="e">
        <f t="shared" si="8"/>
        <v>#VALUE!</v>
      </c>
      <c r="R105" s="247">
        <v>2250</v>
      </c>
      <c r="S105" s="247">
        <v>24</v>
      </c>
      <c r="T105" s="247"/>
      <c r="U105" s="244"/>
      <c r="V105" s="244"/>
    </row>
    <row r="106" spans="1:22" x14ac:dyDescent="0.2">
      <c r="A106" s="244">
        <f t="shared" si="13"/>
        <v>15</v>
      </c>
      <c r="B106" s="245" t="e">
        <f t="shared" si="4"/>
        <v>#VALUE!</v>
      </c>
      <c r="C106" s="244" t="e">
        <f t="shared" si="15"/>
        <v>#VALUE!</v>
      </c>
      <c r="D106" s="244" t="e">
        <f t="shared" si="16"/>
        <v>#VALUE!</v>
      </c>
      <c r="E106" s="244" t="e">
        <f t="shared" si="10"/>
        <v>#VALUE!</v>
      </c>
      <c r="F106" s="244" t="e">
        <f t="shared" si="11"/>
        <v>#VALUE!</v>
      </c>
      <c r="G106" s="247" t="e">
        <f t="shared" si="12"/>
        <v>#VALUE!</v>
      </c>
      <c r="H106" s="247">
        <f t="shared" si="0"/>
        <v>2500</v>
      </c>
      <c r="I106" s="253">
        <v>1250</v>
      </c>
      <c r="J106" s="247">
        <v>12</v>
      </c>
      <c r="K106" s="247" t="e">
        <f t="shared" si="1"/>
        <v>#VALUE!</v>
      </c>
      <c r="L106" s="247" t="e">
        <f>K106*EXP(-$D$32*(J106-1.5))</f>
        <v>#VALUE!</v>
      </c>
      <c r="M106" s="247" t="e">
        <f t="shared" si="3"/>
        <v>#VALUE!</v>
      </c>
      <c r="N106" s="247" t="e">
        <f t="shared" si="5"/>
        <v>#VALUE!</v>
      </c>
      <c r="O106" s="247" t="e">
        <f t="shared" si="6"/>
        <v>#VALUE!</v>
      </c>
      <c r="P106" s="247" t="e">
        <f t="shared" si="7"/>
        <v>#VALUE!</v>
      </c>
      <c r="Q106" s="251" t="e">
        <f t="shared" si="8"/>
        <v>#VALUE!</v>
      </c>
      <c r="R106" s="253">
        <v>1250</v>
      </c>
      <c r="S106" s="247">
        <v>12</v>
      </c>
      <c r="T106" s="247"/>
      <c r="U106" s="244"/>
      <c r="V106" s="244"/>
    </row>
    <row r="107" spans="1:22" x14ac:dyDescent="0.2">
      <c r="A107" s="244">
        <f t="shared" si="13"/>
        <v>15.5</v>
      </c>
      <c r="B107" s="245" t="e">
        <f t="shared" si="4"/>
        <v>#VALUE!</v>
      </c>
      <c r="C107" s="244" t="e">
        <f t="shared" si="15"/>
        <v>#VALUE!</v>
      </c>
      <c r="D107" s="244" t="e">
        <f t="shared" si="16"/>
        <v>#VALUE!</v>
      </c>
      <c r="E107" s="244" t="e">
        <f t="shared" si="10"/>
        <v>#VALUE!</v>
      </c>
      <c r="F107" s="244" t="e">
        <f t="shared" si="11"/>
        <v>#VALUE!</v>
      </c>
      <c r="G107" s="247" t="e">
        <f t="shared" si="12"/>
        <v>#VALUE!</v>
      </c>
      <c r="H107" s="247">
        <f t="shared" si="0"/>
        <v>2500</v>
      </c>
      <c r="I107" s="247">
        <v>2500</v>
      </c>
      <c r="J107" s="247">
        <v>24</v>
      </c>
      <c r="K107" s="247" t="e">
        <f t="shared" si="1"/>
        <v>#VALUE!</v>
      </c>
      <c r="L107" s="247" t="e">
        <f>K107*EXP(-$D$32*(J107-2.5))</f>
        <v>#VALUE!</v>
      </c>
      <c r="M107" s="247" t="e">
        <f t="shared" si="3"/>
        <v>#VALUE!</v>
      </c>
      <c r="N107" s="247" t="e">
        <f t="shared" si="5"/>
        <v>#VALUE!</v>
      </c>
      <c r="O107" s="247" t="e">
        <f t="shared" si="6"/>
        <v>#VALUE!</v>
      </c>
      <c r="P107" s="247" t="e">
        <f t="shared" si="7"/>
        <v>#VALUE!</v>
      </c>
      <c r="Q107" s="251" t="e">
        <f t="shared" si="8"/>
        <v>#VALUE!</v>
      </c>
      <c r="R107" s="247">
        <v>2500</v>
      </c>
      <c r="S107" s="247">
        <v>24</v>
      </c>
      <c r="T107" s="247"/>
      <c r="U107" s="244"/>
      <c r="V107" s="244"/>
    </row>
    <row r="108" spans="1:22" x14ac:dyDescent="0.2">
      <c r="A108" s="244">
        <f t="shared" si="13"/>
        <v>16</v>
      </c>
      <c r="B108" s="245" t="e">
        <f t="shared" si="4"/>
        <v>#VALUE!</v>
      </c>
      <c r="C108" s="244" t="e">
        <f t="shared" si="15"/>
        <v>#VALUE!</v>
      </c>
      <c r="D108" s="244" t="e">
        <f t="shared" si="16"/>
        <v>#VALUE!</v>
      </c>
      <c r="E108" s="244" t="e">
        <f t="shared" si="10"/>
        <v>#VALUE!</v>
      </c>
      <c r="F108" s="244" t="e">
        <f t="shared" si="11"/>
        <v>#VALUE!</v>
      </c>
      <c r="G108" s="247" t="e">
        <f t="shared" si="12"/>
        <v>#VALUE!</v>
      </c>
      <c r="H108" s="247">
        <f t="shared" si="0"/>
        <v>3000</v>
      </c>
      <c r="I108" s="253">
        <v>1000</v>
      </c>
      <c r="J108" s="247">
        <v>8</v>
      </c>
      <c r="K108" s="247" t="e">
        <f t="shared" si="1"/>
        <v>#VALUE!</v>
      </c>
      <c r="L108" s="247" t="e">
        <f>K108*EXP(-$D$32*(J108-1))</f>
        <v>#VALUE!</v>
      </c>
      <c r="M108" s="247" t="e">
        <f t="shared" si="3"/>
        <v>#VALUE!</v>
      </c>
      <c r="N108" s="247" t="e">
        <f t="shared" si="5"/>
        <v>#VALUE!</v>
      </c>
      <c r="O108" s="247" t="e">
        <f t="shared" si="6"/>
        <v>#VALUE!</v>
      </c>
      <c r="P108" s="247" t="e">
        <f t="shared" si="7"/>
        <v>#VALUE!</v>
      </c>
      <c r="Q108" s="251" t="e">
        <f t="shared" si="8"/>
        <v>#VALUE!</v>
      </c>
      <c r="R108" s="253">
        <v>1000</v>
      </c>
      <c r="S108" s="247">
        <v>8</v>
      </c>
      <c r="T108" s="247"/>
      <c r="U108" s="244"/>
      <c r="V108" s="244"/>
    </row>
    <row r="109" spans="1:22" x14ac:dyDescent="0.2">
      <c r="A109" s="244">
        <f t="shared" si="13"/>
        <v>16.5</v>
      </c>
      <c r="B109" s="245" t="e">
        <f t="shared" si="4"/>
        <v>#VALUE!</v>
      </c>
      <c r="C109" s="244" t="e">
        <f>(C108+F42)</f>
        <v>#VALUE!</v>
      </c>
      <c r="D109" s="244" t="e">
        <f t="shared" si="16"/>
        <v>#VALUE!</v>
      </c>
      <c r="E109" s="244" t="e">
        <f t="shared" si="10"/>
        <v>#VALUE!</v>
      </c>
      <c r="F109" s="244" t="e">
        <f t="shared" si="11"/>
        <v>#VALUE!</v>
      </c>
      <c r="G109" s="247" t="e">
        <f t="shared" si="12"/>
        <v>#VALUE!</v>
      </c>
      <c r="H109" s="247">
        <f t="shared" si="0"/>
        <v>3000</v>
      </c>
      <c r="I109" s="253">
        <v>1500</v>
      </c>
      <c r="J109" s="247">
        <v>12</v>
      </c>
      <c r="K109" s="247" t="e">
        <f t="shared" si="1"/>
        <v>#VALUE!</v>
      </c>
      <c r="L109" s="247" t="e">
        <f>K109*EXP(-$D$32*(J109-1.5))</f>
        <v>#VALUE!</v>
      </c>
      <c r="M109" s="247" t="e">
        <f t="shared" si="3"/>
        <v>#VALUE!</v>
      </c>
      <c r="N109" s="247" t="e">
        <f t="shared" si="5"/>
        <v>#VALUE!</v>
      </c>
      <c r="O109" s="247" t="e">
        <f t="shared" si="6"/>
        <v>#VALUE!</v>
      </c>
      <c r="P109" s="247" t="e">
        <f t="shared" si="7"/>
        <v>#VALUE!</v>
      </c>
      <c r="Q109" s="251" t="e">
        <f t="shared" si="8"/>
        <v>#VALUE!</v>
      </c>
      <c r="R109" s="253">
        <v>1500</v>
      </c>
      <c r="S109" s="247">
        <v>12</v>
      </c>
      <c r="T109" s="247"/>
      <c r="U109" s="244"/>
      <c r="V109" s="244"/>
    </row>
    <row r="110" spans="1:22" x14ac:dyDescent="0.2">
      <c r="A110" s="244">
        <f t="shared" si="13"/>
        <v>17</v>
      </c>
      <c r="B110" s="245" t="e">
        <f t="shared" si="4"/>
        <v>#VALUE!</v>
      </c>
      <c r="C110" s="244" t="e">
        <f>($C$109)*EXP(-$D$32*(A110-16.5))</f>
        <v>#VALUE!</v>
      </c>
      <c r="D110" s="244" t="e">
        <f t="shared" si="16"/>
        <v>#VALUE!</v>
      </c>
      <c r="E110" s="244" t="e">
        <f t="shared" si="10"/>
        <v>#VALUE!</v>
      </c>
      <c r="F110" s="244" t="e">
        <f t="shared" si="11"/>
        <v>#VALUE!</v>
      </c>
      <c r="G110" s="247" t="e">
        <f t="shared" si="12"/>
        <v>#VALUE!</v>
      </c>
      <c r="H110" s="247">
        <f t="shared" si="0"/>
        <v>3500</v>
      </c>
      <c r="I110" s="247">
        <v>1750</v>
      </c>
      <c r="J110" s="247">
        <v>12</v>
      </c>
      <c r="K110" s="247" t="e">
        <f t="shared" si="1"/>
        <v>#VALUE!</v>
      </c>
      <c r="L110" s="247" t="e">
        <f>K110*EXP(-$D$32*(J110-2))</f>
        <v>#VALUE!</v>
      </c>
      <c r="M110" s="247" t="e">
        <f t="shared" si="3"/>
        <v>#VALUE!</v>
      </c>
      <c r="N110" s="247" t="e">
        <f t="shared" si="5"/>
        <v>#VALUE!</v>
      </c>
      <c r="O110" s="247" t="e">
        <f t="shared" si="6"/>
        <v>#VALUE!</v>
      </c>
      <c r="P110" s="247" t="e">
        <f t="shared" si="7"/>
        <v>#VALUE!</v>
      </c>
      <c r="Q110" s="251" t="e">
        <f t="shared" si="8"/>
        <v>#VALUE!</v>
      </c>
      <c r="R110" s="247">
        <v>1750</v>
      </c>
      <c r="S110" s="247">
        <v>12</v>
      </c>
      <c r="T110" s="247"/>
      <c r="U110" s="244"/>
      <c r="V110" s="244"/>
    </row>
    <row r="111" spans="1:22" x14ac:dyDescent="0.2">
      <c r="A111" s="244">
        <f t="shared" si="13"/>
        <v>17.5</v>
      </c>
      <c r="B111" s="245" t="e">
        <f t="shared" si="4"/>
        <v>#VALUE!</v>
      </c>
      <c r="C111" s="244" t="e">
        <f t="shared" ref="C111:C124" si="17">($C$109)*EXP(-$D$32*(A111-16.5))</f>
        <v>#VALUE!</v>
      </c>
      <c r="D111" s="244" t="e">
        <f t="shared" si="16"/>
        <v>#VALUE!</v>
      </c>
      <c r="E111" s="244" t="e">
        <f t="shared" si="10"/>
        <v>#VALUE!</v>
      </c>
      <c r="F111" s="244" t="e">
        <f t="shared" si="11"/>
        <v>#VALUE!</v>
      </c>
      <c r="G111" s="247" t="e">
        <f t="shared" si="12"/>
        <v>#VALUE!</v>
      </c>
      <c r="H111" s="247">
        <f t="shared" si="0"/>
        <v>3750</v>
      </c>
      <c r="I111" s="253">
        <v>1250</v>
      </c>
      <c r="J111" s="247">
        <v>8</v>
      </c>
      <c r="K111" s="247" t="e">
        <f t="shared" si="1"/>
        <v>#VALUE!</v>
      </c>
      <c r="L111" s="247" t="e">
        <f>K111*EXP(-$D$32*(J111-1.5))</f>
        <v>#VALUE!</v>
      </c>
      <c r="M111" s="247" t="e">
        <f t="shared" si="3"/>
        <v>#VALUE!</v>
      </c>
      <c r="N111" s="247" t="e">
        <f t="shared" si="5"/>
        <v>#VALUE!</v>
      </c>
      <c r="O111" s="247" t="e">
        <f t="shared" si="6"/>
        <v>#VALUE!</v>
      </c>
      <c r="P111" s="247" t="e">
        <f t="shared" si="7"/>
        <v>#VALUE!</v>
      </c>
      <c r="Q111" s="251" t="e">
        <f t="shared" si="8"/>
        <v>#VALUE!</v>
      </c>
      <c r="R111" s="253">
        <v>1250</v>
      </c>
      <c r="S111" s="247">
        <v>8</v>
      </c>
      <c r="T111" s="247"/>
      <c r="U111" s="244"/>
      <c r="V111" s="244"/>
    </row>
    <row r="112" spans="1:22" x14ac:dyDescent="0.2">
      <c r="A112" s="244">
        <f t="shared" si="13"/>
        <v>18</v>
      </c>
      <c r="B112" s="245" t="e">
        <f t="shared" si="4"/>
        <v>#VALUE!</v>
      </c>
      <c r="C112" s="244" t="e">
        <f t="shared" si="17"/>
        <v>#VALUE!</v>
      </c>
      <c r="D112" s="244" t="e">
        <f t="shared" si="16"/>
        <v>#VALUE!</v>
      </c>
      <c r="E112" s="244" t="e">
        <f t="shared" si="10"/>
        <v>#VALUE!</v>
      </c>
      <c r="F112" s="244" t="e">
        <f t="shared" si="11"/>
        <v>#VALUE!</v>
      </c>
      <c r="G112" s="247" t="e">
        <f t="shared" si="12"/>
        <v>#VALUE!</v>
      </c>
      <c r="H112" s="247">
        <f t="shared" si="0"/>
        <v>4000</v>
      </c>
      <c r="I112" s="247">
        <v>2000</v>
      </c>
      <c r="J112" s="247">
        <v>12</v>
      </c>
      <c r="K112" s="247" t="e">
        <f t="shared" si="1"/>
        <v>#VALUE!</v>
      </c>
      <c r="L112" s="247" t="e">
        <f>K112*EXP(-$D$32*(J112-2))</f>
        <v>#VALUE!</v>
      </c>
      <c r="M112" s="247" t="e">
        <f t="shared" si="3"/>
        <v>#VALUE!</v>
      </c>
      <c r="N112" s="247" t="e">
        <f t="shared" si="5"/>
        <v>#VALUE!</v>
      </c>
      <c r="O112" s="247" t="e">
        <f t="shared" si="6"/>
        <v>#VALUE!</v>
      </c>
      <c r="P112" s="247" t="e">
        <f t="shared" si="7"/>
        <v>#VALUE!</v>
      </c>
      <c r="Q112" s="251" t="e">
        <f t="shared" si="8"/>
        <v>#VALUE!</v>
      </c>
      <c r="R112" s="247">
        <v>2000</v>
      </c>
      <c r="S112" s="247">
        <v>12</v>
      </c>
      <c r="T112" s="247"/>
      <c r="U112" s="244"/>
      <c r="V112" s="244"/>
    </row>
    <row r="113" spans="1:22" x14ac:dyDescent="0.2">
      <c r="A113" s="244">
        <f t="shared" si="13"/>
        <v>18.5</v>
      </c>
      <c r="B113" s="245" t="e">
        <f t="shared" si="4"/>
        <v>#VALUE!</v>
      </c>
      <c r="C113" s="244" t="e">
        <f t="shared" si="17"/>
        <v>#VALUE!</v>
      </c>
      <c r="D113" s="244" t="e">
        <f t="shared" si="16"/>
        <v>#VALUE!</v>
      </c>
      <c r="E113" s="244" t="e">
        <f t="shared" si="10"/>
        <v>#VALUE!</v>
      </c>
      <c r="F113" s="244" t="e">
        <f t="shared" si="11"/>
        <v>#VALUE!</v>
      </c>
      <c r="G113" s="247" t="e">
        <f t="shared" si="12"/>
        <v>#VALUE!</v>
      </c>
      <c r="H113" s="247">
        <f t="shared" si="0"/>
        <v>4500</v>
      </c>
      <c r="I113" s="253">
        <v>1500</v>
      </c>
      <c r="J113" s="247">
        <v>8</v>
      </c>
      <c r="K113" s="247" t="e">
        <f t="shared" si="1"/>
        <v>#VALUE!</v>
      </c>
      <c r="L113" s="247" t="e">
        <f>K113*EXP(-$D$32*(J113-1.5))</f>
        <v>#VALUE!</v>
      </c>
      <c r="M113" s="247" t="e">
        <f t="shared" si="3"/>
        <v>#VALUE!</v>
      </c>
      <c r="N113" s="247" t="e">
        <f t="shared" si="5"/>
        <v>#VALUE!</v>
      </c>
      <c r="O113" s="247" t="e">
        <f t="shared" si="6"/>
        <v>#VALUE!</v>
      </c>
      <c r="P113" s="247" t="e">
        <f t="shared" si="7"/>
        <v>#VALUE!</v>
      </c>
      <c r="Q113" s="251" t="e">
        <f t="shared" si="8"/>
        <v>#VALUE!</v>
      </c>
      <c r="R113" s="253">
        <v>1500</v>
      </c>
      <c r="S113" s="247">
        <v>8</v>
      </c>
      <c r="T113" s="247"/>
      <c r="U113" s="244"/>
      <c r="V113" s="244"/>
    </row>
    <row r="114" spans="1:22" x14ac:dyDescent="0.2">
      <c r="A114" s="244">
        <f t="shared" si="13"/>
        <v>19</v>
      </c>
      <c r="B114" s="245" t="e">
        <f t="shared" si="4"/>
        <v>#VALUE!</v>
      </c>
      <c r="C114" s="244" t="e">
        <f t="shared" si="17"/>
        <v>#VALUE!</v>
      </c>
      <c r="D114" s="244" t="e">
        <f t="shared" si="16"/>
        <v>#VALUE!</v>
      </c>
      <c r="E114" s="244" t="e">
        <f t="shared" si="10"/>
        <v>#VALUE!</v>
      </c>
      <c r="F114" s="244" t="e">
        <f t="shared" si="11"/>
        <v>#VALUE!</v>
      </c>
      <c r="G114" s="247" t="e">
        <f t="shared" si="12"/>
        <v>#VALUE!</v>
      </c>
      <c r="H114" s="247">
        <f t="shared" si="0"/>
        <v>4500</v>
      </c>
      <c r="I114" s="247">
        <v>2250</v>
      </c>
      <c r="J114" s="247">
        <v>12</v>
      </c>
      <c r="K114" s="247" t="e">
        <f t="shared" si="1"/>
        <v>#VALUE!</v>
      </c>
      <c r="L114" s="247" t="e">
        <f>K114*EXP(-$D$32*(J114-2.5))</f>
        <v>#VALUE!</v>
      </c>
      <c r="M114" s="247" t="e">
        <f t="shared" si="3"/>
        <v>#VALUE!</v>
      </c>
      <c r="N114" s="247" t="e">
        <f t="shared" si="5"/>
        <v>#VALUE!</v>
      </c>
      <c r="O114" s="247" t="e">
        <f t="shared" si="6"/>
        <v>#VALUE!</v>
      </c>
      <c r="P114" s="247" t="e">
        <f t="shared" si="7"/>
        <v>#VALUE!</v>
      </c>
      <c r="Q114" s="251" t="e">
        <f t="shared" si="8"/>
        <v>#VALUE!</v>
      </c>
      <c r="R114" s="247">
        <v>2250</v>
      </c>
      <c r="S114" s="247">
        <v>12</v>
      </c>
      <c r="T114" s="247"/>
      <c r="U114" s="244"/>
      <c r="V114" s="244"/>
    </row>
    <row r="115" spans="1:22" x14ac:dyDescent="0.2">
      <c r="A115" s="244">
        <f t="shared" si="13"/>
        <v>19.5</v>
      </c>
      <c r="B115" s="245" t="e">
        <f t="shared" si="4"/>
        <v>#VALUE!</v>
      </c>
      <c r="C115" s="244" t="e">
        <f t="shared" si="17"/>
        <v>#VALUE!</v>
      </c>
      <c r="D115" s="244" t="e">
        <f t="shared" si="16"/>
        <v>#VALUE!</v>
      </c>
      <c r="E115" s="244" t="e">
        <f t="shared" si="10"/>
        <v>#VALUE!</v>
      </c>
      <c r="F115" s="244" t="e">
        <f t="shared" si="11"/>
        <v>#VALUE!</v>
      </c>
      <c r="G115" s="247" t="e">
        <f t="shared" si="12"/>
        <v>#VALUE!</v>
      </c>
      <c r="H115" s="247">
        <f t="shared" si="0"/>
        <v>5000</v>
      </c>
      <c r="I115" s="247">
        <v>2500</v>
      </c>
      <c r="J115" s="247">
        <v>12</v>
      </c>
      <c r="K115" s="247" t="e">
        <f t="shared" si="1"/>
        <v>#VALUE!</v>
      </c>
      <c r="L115" s="247" t="e">
        <f>K115*EXP(-$D$32*(J115-2.5))</f>
        <v>#VALUE!</v>
      </c>
      <c r="M115" s="247" t="e">
        <f t="shared" si="3"/>
        <v>#VALUE!</v>
      </c>
      <c r="N115" s="247" t="e">
        <f t="shared" si="5"/>
        <v>#VALUE!</v>
      </c>
      <c r="O115" s="247" t="e">
        <f t="shared" si="6"/>
        <v>#VALUE!</v>
      </c>
      <c r="P115" s="247" t="e">
        <f t="shared" si="7"/>
        <v>#VALUE!</v>
      </c>
      <c r="Q115" s="251" t="e">
        <f t="shared" si="8"/>
        <v>#VALUE!</v>
      </c>
      <c r="R115" s="247">
        <v>2500</v>
      </c>
      <c r="S115" s="247">
        <v>12</v>
      </c>
      <c r="T115" s="247"/>
      <c r="U115" s="244"/>
      <c r="V115" s="244"/>
    </row>
    <row r="116" spans="1:22" x14ac:dyDescent="0.2">
      <c r="A116" s="244">
        <f t="shared" si="13"/>
        <v>20</v>
      </c>
      <c r="B116" s="245" t="e">
        <f t="shared" si="4"/>
        <v>#VALUE!</v>
      </c>
      <c r="C116" s="244" t="e">
        <f t="shared" si="17"/>
        <v>#VALUE!</v>
      </c>
      <c r="D116" s="244" t="e">
        <f t="shared" si="16"/>
        <v>#VALUE!</v>
      </c>
      <c r="E116" s="244" t="e">
        <f t="shared" si="10"/>
        <v>#VALUE!</v>
      </c>
      <c r="F116" s="244" t="e">
        <f t="shared" si="11"/>
        <v>#VALUE!</v>
      </c>
      <c r="G116" s="247" t="e">
        <f t="shared" si="12"/>
        <v>#VALUE!</v>
      </c>
      <c r="H116" s="247">
        <f t="shared" si="0"/>
        <v>5250</v>
      </c>
      <c r="I116" s="247">
        <v>1750</v>
      </c>
      <c r="J116" s="247">
        <v>8</v>
      </c>
      <c r="K116" s="247" t="e">
        <f t="shared" si="1"/>
        <v>#VALUE!</v>
      </c>
      <c r="L116" s="247" t="e">
        <f>K116*EXP(-$D$32*(J116-2))</f>
        <v>#VALUE!</v>
      </c>
      <c r="M116" s="247" t="e">
        <f t="shared" si="3"/>
        <v>#VALUE!</v>
      </c>
      <c r="N116" s="247" t="e">
        <f t="shared" si="5"/>
        <v>#VALUE!</v>
      </c>
      <c r="O116" s="247" t="e">
        <f t="shared" si="6"/>
        <v>#VALUE!</v>
      </c>
      <c r="P116" s="247" t="e">
        <f t="shared" si="7"/>
        <v>#VALUE!</v>
      </c>
      <c r="Q116" s="251" t="e">
        <f t="shared" si="8"/>
        <v>#VALUE!</v>
      </c>
      <c r="R116" s="247">
        <v>1750</v>
      </c>
      <c r="S116" s="247">
        <v>8</v>
      </c>
      <c r="T116" s="247"/>
      <c r="U116" s="244"/>
      <c r="V116" s="244"/>
    </row>
    <row r="117" spans="1:22" x14ac:dyDescent="0.2">
      <c r="A117" s="244">
        <f t="shared" si="13"/>
        <v>20.5</v>
      </c>
      <c r="B117" s="245" t="e">
        <f t="shared" si="4"/>
        <v>#VALUE!</v>
      </c>
      <c r="C117" s="244" t="e">
        <f t="shared" si="17"/>
        <v>#VALUE!</v>
      </c>
      <c r="D117" s="244" t="e">
        <f t="shared" si="16"/>
        <v>#VALUE!</v>
      </c>
      <c r="E117" s="244" t="e">
        <f t="shared" si="10"/>
        <v>#VALUE!</v>
      </c>
      <c r="F117" s="244" t="e">
        <f t="shared" si="11"/>
        <v>#VALUE!</v>
      </c>
      <c r="G117" s="247" t="e">
        <f t="shared" si="12"/>
        <v>#VALUE!</v>
      </c>
      <c r="H117" s="247">
        <f t="shared" si="0"/>
        <v>6000</v>
      </c>
      <c r="I117" s="247">
        <v>2000</v>
      </c>
      <c r="J117" s="247">
        <v>8</v>
      </c>
      <c r="K117" s="247" t="e">
        <f t="shared" si="1"/>
        <v>#VALUE!</v>
      </c>
      <c r="L117" s="247" t="e">
        <f>K117*EXP(-$D$32*(J117-2))</f>
        <v>#VALUE!</v>
      </c>
      <c r="M117" s="247" t="e">
        <f t="shared" si="3"/>
        <v>#VALUE!</v>
      </c>
      <c r="N117" s="247" t="e">
        <f t="shared" si="5"/>
        <v>#VALUE!</v>
      </c>
      <c r="O117" s="247" t="e">
        <f t="shared" si="6"/>
        <v>#VALUE!</v>
      </c>
      <c r="P117" s="247" t="e">
        <f t="shared" si="7"/>
        <v>#VALUE!</v>
      </c>
      <c r="Q117" s="251" t="e">
        <f t="shared" si="8"/>
        <v>#VALUE!</v>
      </c>
      <c r="R117" s="247">
        <v>2000</v>
      </c>
      <c r="S117" s="247">
        <v>8</v>
      </c>
      <c r="T117" s="247"/>
      <c r="U117" s="244"/>
      <c r="V117" s="244"/>
    </row>
    <row r="118" spans="1:22" x14ac:dyDescent="0.2">
      <c r="A118" s="244">
        <f t="shared" si="13"/>
        <v>21</v>
      </c>
      <c r="B118" s="245" t="e">
        <f t="shared" si="4"/>
        <v>#VALUE!</v>
      </c>
      <c r="C118" s="244" t="e">
        <f t="shared" si="17"/>
        <v>#VALUE!</v>
      </c>
      <c r="D118" s="244" t="e">
        <f t="shared" si="16"/>
        <v>#VALUE!</v>
      </c>
      <c r="E118" s="244" t="e">
        <f t="shared" si="10"/>
        <v>#VALUE!</v>
      </c>
      <c r="F118" s="244" t="e">
        <f t="shared" si="11"/>
        <v>#VALUE!</v>
      </c>
      <c r="G118" s="247" t="e">
        <f t="shared" si="12"/>
        <v>#VALUE!</v>
      </c>
      <c r="H118" s="247">
        <f t="shared" si="0"/>
        <v>6750</v>
      </c>
      <c r="I118" s="247">
        <v>2250</v>
      </c>
      <c r="J118" s="247">
        <v>8</v>
      </c>
      <c r="K118" s="247" t="e">
        <f t="shared" si="1"/>
        <v>#VALUE!</v>
      </c>
      <c r="L118" s="247" t="e">
        <f>K118*EXP(-$D$32*(J118-2.5))</f>
        <v>#VALUE!</v>
      </c>
      <c r="M118" s="247" t="e">
        <f t="shared" si="3"/>
        <v>#VALUE!</v>
      </c>
      <c r="N118" s="247" t="e">
        <f t="shared" si="5"/>
        <v>#VALUE!</v>
      </c>
      <c r="O118" s="247" t="e">
        <f t="shared" si="6"/>
        <v>#VALUE!</v>
      </c>
      <c r="P118" s="247" t="e">
        <f t="shared" si="7"/>
        <v>#VALUE!</v>
      </c>
      <c r="Q118" s="251" t="e">
        <f t="shared" si="8"/>
        <v>#VALUE!</v>
      </c>
      <c r="R118" s="247">
        <v>2250</v>
      </c>
      <c r="S118" s="247">
        <v>8</v>
      </c>
      <c r="T118" s="247"/>
      <c r="U118" s="244"/>
      <c r="V118" s="244"/>
    </row>
    <row r="119" spans="1:22" x14ac:dyDescent="0.2">
      <c r="A119" s="244">
        <f t="shared" si="13"/>
        <v>21.5</v>
      </c>
      <c r="B119" s="245" t="e">
        <f t="shared" si="4"/>
        <v>#VALUE!</v>
      </c>
      <c r="C119" s="244" t="e">
        <f t="shared" si="17"/>
        <v>#VALUE!</v>
      </c>
      <c r="D119" s="244" t="e">
        <f t="shared" si="16"/>
        <v>#VALUE!</v>
      </c>
      <c r="E119" s="244" t="e">
        <f t="shared" si="10"/>
        <v>#VALUE!</v>
      </c>
      <c r="F119" s="244" t="e">
        <f t="shared" si="11"/>
        <v>#VALUE!</v>
      </c>
      <c r="G119" s="247" t="e">
        <f t="shared" si="12"/>
        <v>#VALUE!</v>
      </c>
      <c r="H119" s="247">
        <f t="shared" si="0"/>
        <v>7500</v>
      </c>
      <c r="I119" s="247">
        <v>2500</v>
      </c>
      <c r="J119" s="247">
        <v>8</v>
      </c>
      <c r="K119" s="247" t="e">
        <f t="shared" si="1"/>
        <v>#VALUE!</v>
      </c>
      <c r="L119" s="247" t="e">
        <f>K119*EXP(-$D$32*(J119-2.5))</f>
        <v>#VALUE!</v>
      </c>
      <c r="M119" s="247" t="e">
        <f t="shared" si="3"/>
        <v>#VALUE!</v>
      </c>
      <c r="N119" s="247" t="e">
        <f t="shared" si="5"/>
        <v>#VALUE!</v>
      </c>
      <c r="O119" s="247" t="e">
        <f t="shared" si="6"/>
        <v>#VALUE!</v>
      </c>
      <c r="P119" s="247" t="e">
        <f t="shared" si="7"/>
        <v>#VALUE!</v>
      </c>
      <c r="Q119" s="251" t="e">
        <f t="shared" si="8"/>
        <v>#VALUE!</v>
      </c>
      <c r="R119" s="247">
        <v>2500</v>
      </c>
      <c r="S119" s="247">
        <v>8</v>
      </c>
      <c r="T119" s="247"/>
      <c r="U119" s="244"/>
      <c r="V119" s="244"/>
    </row>
    <row r="120" spans="1:22" x14ac:dyDescent="0.2">
      <c r="A120" s="244">
        <f t="shared" si="13"/>
        <v>22</v>
      </c>
      <c r="B120" s="245" t="e">
        <f t="shared" si="4"/>
        <v>#VALUE!</v>
      </c>
      <c r="C120" s="244" t="e">
        <f t="shared" si="17"/>
        <v>#VALUE!</v>
      </c>
      <c r="D120" s="244" t="e">
        <f t="shared" si="16"/>
        <v>#VALUE!</v>
      </c>
      <c r="E120" s="244" t="e">
        <f t="shared" si="10"/>
        <v>#VALUE!</v>
      </c>
      <c r="F120" s="244" t="e">
        <f t="shared" si="11"/>
        <v>#VALUE!</v>
      </c>
      <c r="G120" s="244" t="e">
        <f t="shared" si="12"/>
        <v>#VALUE!</v>
      </c>
      <c r="H120" s="244"/>
      <c r="I120" s="244"/>
      <c r="J120" s="244"/>
      <c r="K120" s="244"/>
      <c r="L120" s="244"/>
      <c r="M120" s="244"/>
      <c r="N120" s="244"/>
      <c r="O120" s="244"/>
      <c r="P120" s="244"/>
      <c r="Q120" s="244"/>
      <c r="R120" s="244"/>
      <c r="S120" s="244"/>
      <c r="T120" s="244"/>
      <c r="U120" s="244"/>
      <c r="V120" s="244"/>
    </row>
    <row r="121" spans="1:22" x14ac:dyDescent="0.2">
      <c r="A121" s="244">
        <f t="shared" si="13"/>
        <v>22.5</v>
      </c>
      <c r="B121" s="245" t="e">
        <f t="shared" si="4"/>
        <v>#VALUE!</v>
      </c>
      <c r="C121" s="244" t="e">
        <f t="shared" si="17"/>
        <v>#VALUE!</v>
      </c>
      <c r="D121" s="244" t="e">
        <f t="shared" si="16"/>
        <v>#VALUE!</v>
      </c>
      <c r="E121" s="244" t="e">
        <f t="shared" si="10"/>
        <v>#VALUE!</v>
      </c>
      <c r="F121" s="244" t="e">
        <f t="shared" si="11"/>
        <v>#VALUE!</v>
      </c>
      <c r="G121" s="244" t="e">
        <f t="shared" si="12"/>
        <v>#VALUE!</v>
      </c>
      <c r="H121" s="244"/>
      <c r="I121" s="244"/>
      <c r="J121" s="244"/>
      <c r="K121" s="244"/>
      <c r="L121" s="244"/>
      <c r="M121" s="244"/>
      <c r="N121" s="244"/>
      <c r="O121" s="244"/>
      <c r="P121" s="244"/>
      <c r="Q121" s="244"/>
      <c r="R121" s="244"/>
      <c r="S121" s="244"/>
      <c r="T121" s="244"/>
      <c r="U121" s="244"/>
      <c r="V121" s="244"/>
    </row>
    <row r="122" spans="1:22" x14ac:dyDescent="0.2">
      <c r="A122" s="244">
        <f t="shared" si="13"/>
        <v>23</v>
      </c>
      <c r="B122" s="245" t="e">
        <f t="shared" si="4"/>
        <v>#VALUE!</v>
      </c>
      <c r="C122" s="244" t="e">
        <f t="shared" si="17"/>
        <v>#VALUE!</v>
      </c>
      <c r="D122" s="244" t="e">
        <f t="shared" si="16"/>
        <v>#VALUE!</v>
      </c>
      <c r="E122" s="244" t="e">
        <f t="shared" si="10"/>
        <v>#VALUE!</v>
      </c>
      <c r="F122" s="244" t="e">
        <f t="shared" si="11"/>
        <v>#VALUE!</v>
      </c>
      <c r="G122" s="244" t="e">
        <f t="shared" si="12"/>
        <v>#VALUE!</v>
      </c>
      <c r="H122" s="244"/>
      <c r="I122" s="244"/>
      <c r="J122" s="244"/>
      <c r="K122" s="244"/>
      <c r="L122" s="244"/>
      <c r="M122" s="244"/>
      <c r="N122" s="244"/>
      <c r="O122" s="244"/>
      <c r="P122" s="244"/>
      <c r="Q122" s="244"/>
      <c r="R122" s="244"/>
      <c r="S122" s="244"/>
      <c r="T122" s="244"/>
      <c r="U122" s="244"/>
      <c r="V122" s="244"/>
    </row>
    <row r="123" spans="1:22" x14ac:dyDescent="0.2">
      <c r="A123" s="244">
        <f t="shared" si="13"/>
        <v>23.5</v>
      </c>
      <c r="B123" s="245" t="e">
        <f t="shared" si="4"/>
        <v>#VALUE!</v>
      </c>
      <c r="C123" s="244" t="e">
        <f t="shared" si="17"/>
        <v>#VALUE!</v>
      </c>
      <c r="D123" s="244" t="e">
        <f t="shared" si="16"/>
        <v>#VALUE!</v>
      </c>
      <c r="E123" s="244" t="e">
        <f t="shared" si="10"/>
        <v>#VALUE!</v>
      </c>
      <c r="F123" s="244" t="e">
        <f t="shared" si="11"/>
        <v>#VALUE!</v>
      </c>
      <c r="G123" s="244" t="e">
        <f t="shared" si="12"/>
        <v>#VALUE!</v>
      </c>
      <c r="H123" s="244"/>
      <c r="I123" s="244"/>
      <c r="J123" s="244"/>
      <c r="K123" s="244"/>
      <c r="L123" s="244"/>
      <c r="M123" s="244"/>
      <c r="N123" s="244"/>
      <c r="O123" s="244"/>
      <c r="P123" s="244"/>
      <c r="Q123" s="244"/>
      <c r="R123" s="244"/>
      <c r="S123" s="244"/>
      <c r="T123" s="244"/>
      <c r="U123" s="244"/>
      <c r="V123" s="244"/>
    </row>
    <row r="124" spans="1:22" x14ac:dyDescent="0.2">
      <c r="A124" s="244">
        <f t="shared" si="13"/>
        <v>24</v>
      </c>
      <c r="B124" s="245" t="e">
        <f t="shared" si="4"/>
        <v>#VALUE!</v>
      </c>
      <c r="C124" s="244" t="e">
        <f t="shared" si="17"/>
        <v>#VALUE!</v>
      </c>
      <c r="D124" s="244" t="e">
        <f t="shared" si="16"/>
        <v>#VALUE!</v>
      </c>
      <c r="E124" s="244" t="e">
        <f t="shared" si="10"/>
        <v>#VALUE!</v>
      </c>
      <c r="F124" s="244" t="e">
        <f t="shared" si="11"/>
        <v>#VALUE!</v>
      </c>
      <c r="G124" s="244" t="e">
        <f t="shared" si="12"/>
        <v>#VALUE!</v>
      </c>
      <c r="H124" s="244"/>
      <c r="I124" s="244"/>
      <c r="J124" s="244"/>
      <c r="K124" s="244"/>
      <c r="L124" s="244"/>
      <c r="M124" s="244"/>
      <c r="N124" s="244"/>
      <c r="O124" s="244"/>
      <c r="P124" s="244"/>
      <c r="Q124" s="244"/>
      <c r="R124" s="244"/>
      <c r="S124" s="244"/>
      <c r="T124" s="244"/>
      <c r="U124" s="244"/>
      <c r="V124" s="244"/>
    </row>
    <row r="125" spans="1:22" x14ac:dyDescent="0.2">
      <c r="A125" s="244">
        <f t="shared" si="13"/>
        <v>24.5</v>
      </c>
      <c r="B125" s="245" t="e">
        <f t="shared" si="4"/>
        <v>#VALUE!</v>
      </c>
      <c r="C125" s="244" t="e">
        <f>(F42+C124)</f>
        <v>#VALUE!</v>
      </c>
      <c r="D125" s="244" t="e">
        <f>($F$42+D124)</f>
        <v>#VALUE!</v>
      </c>
      <c r="E125" s="244" t="e">
        <f>($F$42+E124)</f>
        <v>#VALUE!</v>
      </c>
      <c r="F125" s="244" t="e">
        <f t="shared" si="11"/>
        <v>#VALUE!</v>
      </c>
      <c r="G125" s="244" t="e">
        <f t="shared" si="12"/>
        <v>#VALUE!</v>
      </c>
      <c r="H125" s="244"/>
      <c r="I125" s="244"/>
      <c r="J125" s="244"/>
      <c r="K125" s="244"/>
      <c r="L125" s="244"/>
      <c r="M125" s="244"/>
      <c r="N125" s="244"/>
      <c r="O125" s="244"/>
      <c r="P125" s="244"/>
      <c r="Q125" s="244"/>
      <c r="R125" s="244"/>
      <c r="S125" s="244"/>
      <c r="T125" s="244"/>
      <c r="U125" s="244"/>
      <c r="V125" s="244"/>
    </row>
    <row r="126" spans="1:22" x14ac:dyDescent="0.2">
      <c r="A126" s="244">
        <f t="shared" si="13"/>
        <v>25</v>
      </c>
      <c r="B126" s="245" t="e">
        <f t="shared" si="4"/>
        <v>#VALUE!</v>
      </c>
      <c r="C126" s="244" t="e">
        <f>($C$125)*EXP(-$D$32*(A126-24.5))</f>
        <v>#VALUE!</v>
      </c>
      <c r="D126" s="244" t="e">
        <f>($D$125)*EXP(-$D$32*(A126-24.5))</f>
        <v>#VALUE!</v>
      </c>
      <c r="E126" s="244" t="e">
        <f>($E$125)*EXP(-$D$32*(A126-24.5))</f>
        <v>#VALUE!</v>
      </c>
      <c r="F126" s="244" t="e">
        <f t="shared" si="11"/>
        <v>#VALUE!</v>
      </c>
      <c r="G126" s="244" t="e">
        <f t="shared" si="12"/>
        <v>#VALUE!</v>
      </c>
      <c r="H126" s="244"/>
      <c r="I126" s="244"/>
      <c r="J126" s="244"/>
      <c r="K126" s="244"/>
      <c r="L126" s="244"/>
      <c r="M126" s="244"/>
      <c r="N126" s="244"/>
      <c r="O126" s="244"/>
      <c r="P126" s="244"/>
      <c r="Q126" s="244"/>
      <c r="R126" s="244"/>
      <c r="S126" s="244"/>
      <c r="T126" s="244"/>
      <c r="U126" s="244"/>
      <c r="V126" s="244"/>
    </row>
    <row r="127" spans="1:22" x14ac:dyDescent="0.2">
      <c r="A127" s="244">
        <f t="shared" si="13"/>
        <v>25.5</v>
      </c>
      <c r="B127" s="245" t="e">
        <f t="shared" si="4"/>
        <v>#VALUE!</v>
      </c>
      <c r="C127" s="244" t="e">
        <f t="shared" ref="C127:C140" si="18">($C$125)*EXP(-$D$32*(A127-24.5))</f>
        <v>#VALUE!</v>
      </c>
      <c r="D127" s="244" t="e">
        <f t="shared" ref="D127:D148" si="19">($D$125)*EXP(-$D$32*(A127-24.5))</f>
        <v>#VALUE!</v>
      </c>
      <c r="E127" s="244" t="e">
        <f t="shared" ref="E127:E148" si="20">($E$125)*EXP(-$D$32*(A127-24.5))</f>
        <v>#VALUE!</v>
      </c>
      <c r="F127" s="244" t="e">
        <f t="shared" si="11"/>
        <v>#VALUE!</v>
      </c>
      <c r="G127" s="244" t="e">
        <f t="shared" si="12"/>
        <v>#VALUE!</v>
      </c>
      <c r="H127" s="244"/>
      <c r="I127" s="244"/>
      <c r="J127" s="244"/>
      <c r="K127" s="244"/>
      <c r="L127" s="244"/>
      <c r="M127" s="244"/>
      <c r="N127" s="244"/>
      <c r="O127" s="244"/>
      <c r="P127" s="244"/>
      <c r="Q127" s="244"/>
      <c r="R127" s="244"/>
      <c r="S127" s="244"/>
      <c r="T127" s="244"/>
      <c r="U127" s="244"/>
      <c r="V127" s="244"/>
    </row>
    <row r="128" spans="1:22" x14ac:dyDescent="0.2">
      <c r="A128" s="244">
        <f t="shared" si="13"/>
        <v>26</v>
      </c>
      <c r="B128" s="245" t="e">
        <f t="shared" si="4"/>
        <v>#VALUE!</v>
      </c>
      <c r="C128" s="244" t="e">
        <f t="shared" si="18"/>
        <v>#VALUE!</v>
      </c>
      <c r="D128" s="244" t="e">
        <f t="shared" si="19"/>
        <v>#VALUE!</v>
      </c>
      <c r="E128" s="244" t="e">
        <f t="shared" si="20"/>
        <v>#VALUE!</v>
      </c>
      <c r="F128" s="244" t="e">
        <f t="shared" si="11"/>
        <v>#VALUE!</v>
      </c>
      <c r="G128" s="244" t="e">
        <f t="shared" si="12"/>
        <v>#VALUE!</v>
      </c>
      <c r="H128" s="244"/>
      <c r="I128" s="244"/>
      <c r="J128" s="244"/>
      <c r="K128" s="244"/>
      <c r="L128" s="244"/>
      <c r="M128" s="244"/>
      <c r="N128" s="244"/>
      <c r="O128" s="244"/>
      <c r="P128" s="244"/>
      <c r="Q128" s="244"/>
      <c r="R128" s="244"/>
      <c r="S128" s="244"/>
      <c r="T128" s="244"/>
      <c r="U128" s="244"/>
      <c r="V128" s="244"/>
    </row>
    <row r="129" spans="1:22" x14ac:dyDescent="0.2">
      <c r="A129" s="244">
        <f t="shared" si="13"/>
        <v>26.5</v>
      </c>
      <c r="B129" s="245" t="e">
        <f t="shared" si="4"/>
        <v>#VALUE!</v>
      </c>
      <c r="C129" s="244" t="e">
        <f t="shared" si="18"/>
        <v>#VALUE!</v>
      </c>
      <c r="D129" s="244" t="e">
        <f t="shared" si="19"/>
        <v>#VALUE!</v>
      </c>
      <c r="E129" s="244" t="e">
        <f t="shared" si="20"/>
        <v>#VALUE!</v>
      </c>
      <c r="F129" s="244" t="e">
        <f t="shared" si="11"/>
        <v>#VALUE!</v>
      </c>
      <c r="G129" s="244" t="e">
        <f t="shared" si="12"/>
        <v>#VALUE!</v>
      </c>
      <c r="H129" s="244"/>
      <c r="I129" s="244"/>
      <c r="J129" s="244"/>
      <c r="K129" s="244"/>
      <c r="L129" s="244"/>
      <c r="M129" s="244"/>
      <c r="N129" s="244"/>
      <c r="O129" s="244"/>
      <c r="P129" s="244"/>
      <c r="Q129" s="244"/>
      <c r="R129" s="244"/>
      <c r="S129" s="244"/>
      <c r="T129" s="244"/>
      <c r="U129" s="244"/>
      <c r="V129" s="244"/>
    </row>
    <row r="130" spans="1:22" x14ac:dyDescent="0.2">
      <c r="A130" s="244">
        <f t="shared" si="13"/>
        <v>27</v>
      </c>
      <c r="B130" s="245" t="e">
        <f t="shared" si="4"/>
        <v>#VALUE!</v>
      </c>
      <c r="C130" s="244" t="e">
        <f t="shared" si="18"/>
        <v>#VALUE!</v>
      </c>
      <c r="D130" s="244" t="e">
        <f t="shared" si="19"/>
        <v>#VALUE!</v>
      </c>
      <c r="E130" s="244" t="e">
        <f t="shared" si="20"/>
        <v>#VALUE!</v>
      </c>
      <c r="F130" s="244" t="e">
        <f t="shared" si="11"/>
        <v>#VALUE!</v>
      </c>
      <c r="G130" s="244" t="e">
        <f t="shared" si="12"/>
        <v>#VALUE!</v>
      </c>
      <c r="H130" s="244"/>
      <c r="I130" s="244"/>
      <c r="J130" s="244"/>
      <c r="K130" s="244"/>
      <c r="L130" s="244"/>
      <c r="M130" s="244"/>
      <c r="N130" s="244"/>
      <c r="O130" s="244"/>
      <c r="P130" s="244"/>
      <c r="Q130" s="244"/>
      <c r="R130" s="244"/>
      <c r="S130" s="244"/>
      <c r="T130" s="244"/>
      <c r="U130" s="244"/>
      <c r="V130" s="244"/>
    </row>
    <row r="131" spans="1:22" x14ac:dyDescent="0.2">
      <c r="A131" s="244">
        <f t="shared" si="13"/>
        <v>27.5</v>
      </c>
      <c r="B131" s="245" t="e">
        <f t="shared" si="4"/>
        <v>#VALUE!</v>
      </c>
      <c r="C131" s="244" t="e">
        <f t="shared" si="18"/>
        <v>#VALUE!</v>
      </c>
      <c r="D131" s="244" t="e">
        <f t="shared" si="19"/>
        <v>#VALUE!</v>
      </c>
      <c r="E131" s="244" t="e">
        <f t="shared" si="20"/>
        <v>#VALUE!</v>
      </c>
      <c r="F131" s="244" t="e">
        <f t="shared" si="11"/>
        <v>#VALUE!</v>
      </c>
      <c r="G131" s="244" t="e">
        <f t="shared" si="12"/>
        <v>#VALUE!</v>
      </c>
      <c r="H131" s="244"/>
      <c r="I131" s="244"/>
      <c r="J131" s="244"/>
      <c r="K131" s="244"/>
      <c r="L131" s="244"/>
      <c r="M131" s="244"/>
      <c r="N131" s="244"/>
      <c r="O131" s="244"/>
      <c r="P131" s="244"/>
      <c r="Q131" s="244"/>
      <c r="R131" s="244"/>
      <c r="S131" s="244"/>
      <c r="T131" s="244"/>
      <c r="U131" s="244"/>
      <c r="V131" s="244"/>
    </row>
    <row r="132" spans="1:22" x14ac:dyDescent="0.2">
      <c r="A132" s="244">
        <f t="shared" si="13"/>
        <v>28</v>
      </c>
      <c r="B132" s="245" t="e">
        <f t="shared" si="4"/>
        <v>#VALUE!</v>
      </c>
      <c r="C132" s="244" t="e">
        <f t="shared" si="18"/>
        <v>#VALUE!</v>
      </c>
      <c r="D132" s="244" t="e">
        <f t="shared" si="19"/>
        <v>#VALUE!</v>
      </c>
      <c r="E132" s="244" t="e">
        <f t="shared" si="20"/>
        <v>#VALUE!</v>
      </c>
      <c r="F132" s="244" t="e">
        <f t="shared" si="11"/>
        <v>#VALUE!</v>
      </c>
      <c r="G132" s="244" t="e">
        <f t="shared" si="12"/>
        <v>#VALUE!</v>
      </c>
      <c r="H132" s="244"/>
      <c r="I132" s="244"/>
      <c r="J132" s="244"/>
      <c r="K132" s="244"/>
      <c r="L132" s="244"/>
      <c r="M132" s="244"/>
      <c r="N132" s="244"/>
      <c r="O132" s="244"/>
      <c r="P132" s="244"/>
      <c r="Q132" s="244"/>
      <c r="R132" s="244"/>
      <c r="S132" s="244"/>
      <c r="T132" s="244"/>
      <c r="U132" s="244"/>
      <c r="V132" s="244"/>
    </row>
    <row r="133" spans="1:22" x14ac:dyDescent="0.2">
      <c r="A133" s="244">
        <f t="shared" si="13"/>
        <v>28.5</v>
      </c>
      <c r="B133" s="245" t="e">
        <f t="shared" si="4"/>
        <v>#VALUE!</v>
      </c>
      <c r="C133" s="244" t="e">
        <f t="shared" si="18"/>
        <v>#VALUE!</v>
      </c>
      <c r="D133" s="244" t="e">
        <f t="shared" si="19"/>
        <v>#VALUE!</v>
      </c>
      <c r="E133" s="244" t="e">
        <f t="shared" si="20"/>
        <v>#VALUE!</v>
      </c>
      <c r="F133" s="244" t="e">
        <f t="shared" si="11"/>
        <v>#VALUE!</v>
      </c>
      <c r="G133" s="244" t="e">
        <f t="shared" si="12"/>
        <v>#VALUE!</v>
      </c>
      <c r="H133" s="244"/>
      <c r="I133" s="244"/>
      <c r="J133" s="244"/>
      <c r="K133" s="244"/>
      <c r="L133" s="244"/>
      <c r="M133" s="244"/>
      <c r="N133" s="244"/>
      <c r="O133" s="244"/>
      <c r="P133" s="244"/>
      <c r="Q133" s="244"/>
      <c r="R133" s="244"/>
      <c r="S133" s="244"/>
      <c r="T133" s="244"/>
      <c r="U133" s="244"/>
      <c r="V133" s="244"/>
    </row>
    <row r="134" spans="1:22" x14ac:dyDescent="0.2">
      <c r="A134" s="244">
        <f t="shared" si="13"/>
        <v>29</v>
      </c>
      <c r="B134" s="245" t="e">
        <f t="shared" si="4"/>
        <v>#VALUE!</v>
      </c>
      <c r="C134" s="244" t="e">
        <f t="shared" si="18"/>
        <v>#VALUE!</v>
      </c>
      <c r="D134" s="244" t="e">
        <f t="shared" si="19"/>
        <v>#VALUE!</v>
      </c>
      <c r="E134" s="244" t="e">
        <f t="shared" si="20"/>
        <v>#VALUE!</v>
      </c>
      <c r="F134" s="244" t="e">
        <f t="shared" si="11"/>
        <v>#VALUE!</v>
      </c>
      <c r="G134" s="244" t="e">
        <f t="shared" si="12"/>
        <v>#VALUE!</v>
      </c>
      <c r="H134" s="244"/>
      <c r="I134" s="244"/>
      <c r="J134" s="244"/>
      <c r="K134" s="244"/>
      <c r="L134" s="244"/>
      <c r="M134" s="244"/>
      <c r="N134" s="244"/>
      <c r="O134" s="244"/>
      <c r="P134" s="244"/>
      <c r="Q134" s="244"/>
      <c r="R134" s="244"/>
      <c r="S134" s="244"/>
      <c r="T134" s="244"/>
      <c r="U134" s="244"/>
      <c r="V134" s="244"/>
    </row>
    <row r="135" spans="1:22" x14ac:dyDescent="0.2">
      <c r="A135" s="244">
        <f t="shared" si="13"/>
        <v>29.5</v>
      </c>
      <c r="B135" s="245" t="e">
        <f t="shared" si="4"/>
        <v>#VALUE!</v>
      </c>
      <c r="C135" s="244" t="e">
        <f t="shared" si="18"/>
        <v>#VALUE!</v>
      </c>
      <c r="D135" s="244" t="e">
        <f t="shared" si="19"/>
        <v>#VALUE!</v>
      </c>
      <c r="E135" s="244" t="e">
        <f t="shared" si="20"/>
        <v>#VALUE!</v>
      </c>
      <c r="F135" s="244" t="e">
        <f t="shared" si="11"/>
        <v>#VALUE!</v>
      </c>
      <c r="G135" s="244" t="e">
        <f t="shared" si="12"/>
        <v>#VALUE!</v>
      </c>
      <c r="H135" s="244"/>
      <c r="I135" s="244"/>
      <c r="J135" s="244"/>
      <c r="K135" s="244"/>
      <c r="L135" s="244"/>
      <c r="M135" s="244"/>
      <c r="N135" s="244"/>
      <c r="O135" s="244"/>
      <c r="P135" s="244"/>
      <c r="Q135" s="244"/>
      <c r="R135" s="244"/>
      <c r="S135" s="244"/>
      <c r="T135" s="244"/>
      <c r="U135" s="244"/>
      <c r="V135" s="244"/>
    </row>
    <row r="136" spans="1:22" x14ac:dyDescent="0.2">
      <c r="A136" s="244">
        <f t="shared" si="13"/>
        <v>30</v>
      </c>
      <c r="B136" s="245" t="e">
        <f t="shared" si="4"/>
        <v>#VALUE!</v>
      </c>
      <c r="C136" s="244" t="e">
        <f t="shared" si="18"/>
        <v>#VALUE!</v>
      </c>
      <c r="D136" s="244" t="e">
        <f t="shared" si="19"/>
        <v>#VALUE!</v>
      </c>
      <c r="E136" s="244" t="e">
        <f t="shared" si="20"/>
        <v>#VALUE!</v>
      </c>
      <c r="F136" s="244" t="e">
        <f t="shared" si="11"/>
        <v>#VALUE!</v>
      </c>
      <c r="G136" s="244" t="e">
        <f t="shared" si="12"/>
        <v>#VALUE!</v>
      </c>
      <c r="H136" s="244"/>
      <c r="I136" s="244"/>
      <c r="J136" s="244"/>
      <c r="K136" s="244"/>
      <c r="L136" s="244"/>
      <c r="M136" s="244"/>
      <c r="N136" s="244"/>
      <c r="O136" s="244"/>
      <c r="P136" s="244"/>
      <c r="Q136" s="244"/>
      <c r="R136" s="244"/>
      <c r="S136" s="244"/>
      <c r="T136" s="244"/>
      <c r="U136" s="244"/>
      <c r="V136" s="244"/>
    </row>
    <row r="137" spans="1:22" x14ac:dyDescent="0.2">
      <c r="A137" s="244">
        <f t="shared" si="13"/>
        <v>30.5</v>
      </c>
      <c r="B137" s="245" t="e">
        <f t="shared" si="4"/>
        <v>#VALUE!</v>
      </c>
      <c r="C137" s="244" t="e">
        <f t="shared" si="18"/>
        <v>#VALUE!</v>
      </c>
      <c r="D137" s="244" t="e">
        <f t="shared" si="19"/>
        <v>#VALUE!</v>
      </c>
      <c r="E137" s="244" t="e">
        <f t="shared" si="20"/>
        <v>#VALUE!</v>
      </c>
      <c r="F137" s="244" t="e">
        <f t="shared" si="11"/>
        <v>#VALUE!</v>
      </c>
      <c r="G137" s="244" t="e">
        <f t="shared" si="12"/>
        <v>#VALUE!</v>
      </c>
      <c r="H137" s="244"/>
      <c r="I137" s="244"/>
      <c r="J137" s="244"/>
      <c r="K137" s="244"/>
      <c r="L137" s="244"/>
      <c r="M137" s="244"/>
      <c r="N137" s="244"/>
      <c r="O137" s="244"/>
      <c r="P137" s="244"/>
      <c r="Q137" s="244"/>
      <c r="R137" s="244"/>
      <c r="S137" s="244"/>
      <c r="T137" s="244"/>
      <c r="U137" s="244"/>
      <c r="V137" s="244"/>
    </row>
    <row r="138" spans="1:22" x14ac:dyDescent="0.2">
      <c r="A138" s="244">
        <f t="shared" si="13"/>
        <v>31</v>
      </c>
      <c r="B138" s="245" t="e">
        <f t="shared" si="4"/>
        <v>#VALUE!</v>
      </c>
      <c r="C138" s="244" t="e">
        <f t="shared" si="18"/>
        <v>#VALUE!</v>
      </c>
      <c r="D138" s="244" t="e">
        <f t="shared" si="19"/>
        <v>#VALUE!</v>
      </c>
      <c r="E138" s="244" t="e">
        <f t="shared" si="20"/>
        <v>#VALUE!</v>
      </c>
      <c r="F138" s="244" t="e">
        <f t="shared" si="11"/>
        <v>#VALUE!</v>
      </c>
      <c r="G138" s="244" t="e">
        <f t="shared" si="12"/>
        <v>#VALUE!</v>
      </c>
      <c r="H138" s="244"/>
      <c r="I138" s="244"/>
      <c r="J138" s="244"/>
      <c r="K138" s="244"/>
      <c r="L138" s="244"/>
      <c r="M138" s="244"/>
      <c r="N138" s="244"/>
      <c r="O138" s="244"/>
      <c r="P138" s="244"/>
      <c r="Q138" s="244"/>
      <c r="R138" s="244"/>
      <c r="S138" s="244"/>
      <c r="T138" s="244"/>
      <c r="U138" s="244"/>
      <c r="V138" s="244"/>
    </row>
    <row r="139" spans="1:22" x14ac:dyDescent="0.2">
      <c r="A139" s="244">
        <f t="shared" si="13"/>
        <v>31.5</v>
      </c>
      <c r="B139" s="245" t="e">
        <f t="shared" si="4"/>
        <v>#VALUE!</v>
      </c>
      <c r="C139" s="244" t="e">
        <f t="shared" si="18"/>
        <v>#VALUE!</v>
      </c>
      <c r="D139" s="244" t="e">
        <f t="shared" si="19"/>
        <v>#VALUE!</v>
      </c>
      <c r="E139" s="244" t="e">
        <f t="shared" si="20"/>
        <v>#VALUE!</v>
      </c>
      <c r="F139" s="244" t="e">
        <f t="shared" si="11"/>
        <v>#VALUE!</v>
      </c>
      <c r="G139" s="244" t="e">
        <f t="shared" si="12"/>
        <v>#VALUE!</v>
      </c>
      <c r="H139" s="244"/>
      <c r="I139" s="244"/>
      <c r="J139" s="244"/>
      <c r="K139" s="244"/>
      <c r="L139" s="244"/>
      <c r="M139" s="244"/>
      <c r="N139" s="244"/>
      <c r="O139" s="244"/>
      <c r="P139" s="244"/>
      <c r="Q139" s="244"/>
      <c r="R139" s="244"/>
      <c r="S139" s="244"/>
      <c r="T139" s="244"/>
      <c r="U139" s="244"/>
      <c r="V139" s="244"/>
    </row>
    <row r="140" spans="1:22" x14ac:dyDescent="0.2">
      <c r="A140" s="244">
        <f t="shared" si="13"/>
        <v>32</v>
      </c>
      <c r="B140" s="245" t="e">
        <f t="shared" ref="B140:B148" si="21">IF($D$39=8,C140,IF($D$39=12,D140,IF($D$39=24,E140,IF($D$39=36,F140,IF($D$39=48,G140,"")))))</f>
        <v>#VALUE!</v>
      </c>
      <c r="C140" s="244" t="e">
        <f t="shared" si="18"/>
        <v>#VALUE!</v>
      </c>
      <c r="D140" s="244" t="e">
        <f t="shared" si="19"/>
        <v>#VALUE!</v>
      </c>
      <c r="E140" s="244" t="e">
        <f t="shared" si="20"/>
        <v>#VALUE!</v>
      </c>
      <c r="F140" s="244" t="e">
        <f t="shared" si="11"/>
        <v>#VALUE!</v>
      </c>
      <c r="G140" s="244" t="e">
        <f t="shared" si="12"/>
        <v>#VALUE!</v>
      </c>
      <c r="H140" s="244"/>
      <c r="I140" s="244"/>
      <c r="J140" s="244"/>
      <c r="K140" s="244"/>
      <c r="L140" s="244"/>
      <c r="M140" s="244"/>
      <c r="N140" s="244"/>
      <c r="O140" s="244"/>
      <c r="P140" s="244"/>
      <c r="Q140" s="244"/>
      <c r="R140" s="244"/>
      <c r="S140" s="244"/>
      <c r="T140" s="244"/>
      <c r="U140" s="244"/>
      <c r="V140" s="244"/>
    </row>
    <row r="141" spans="1:22" x14ac:dyDescent="0.2">
      <c r="A141" s="244">
        <f t="shared" si="13"/>
        <v>32.5</v>
      </c>
      <c r="B141" s="245" t="e">
        <f t="shared" si="21"/>
        <v>#VALUE!</v>
      </c>
      <c r="C141" s="244" t="e">
        <f>($F$42+C140)</f>
        <v>#VALUE!</v>
      </c>
      <c r="D141" s="244" t="e">
        <f t="shared" si="19"/>
        <v>#VALUE!</v>
      </c>
      <c r="E141" s="244" t="e">
        <f t="shared" si="20"/>
        <v>#VALUE!</v>
      </c>
      <c r="F141" s="244" t="e">
        <f t="shared" si="11"/>
        <v>#VALUE!</v>
      </c>
      <c r="G141" s="244" t="e">
        <f t="shared" si="12"/>
        <v>#VALUE!</v>
      </c>
      <c r="H141" s="244"/>
      <c r="I141" s="244"/>
      <c r="J141" s="244"/>
      <c r="K141" s="244"/>
      <c r="L141" s="244"/>
      <c r="M141" s="244"/>
      <c r="N141" s="244"/>
      <c r="O141" s="244"/>
      <c r="P141" s="244"/>
      <c r="Q141" s="244"/>
      <c r="R141" s="244"/>
      <c r="S141" s="244"/>
      <c r="T141" s="244"/>
      <c r="U141" s="244"/>
      <c r="V141" s="244"/>
    </row>
    <row r="142" spans="1:22" x14ac:dyDescent="0.2">
      <c r="A142" s="244">
        <f t="shared" si="13"/>
        <v>33</v>
      </c>
      <c r="B142" s="245" t="e">
        <f t="shared" si="21"/>
        <v>#VALUE!</v>
      </c>
      <c r="C142" s="244" t="e">
        <f>($C$141)*EXP(-$D$32*(A142-32.5))</f>
        <v>#VALUE!</v>
      </c>
      <c r="D142" s="244" t="e">
        <f t="shared" si="19"/>
        <v>#VALUE!</v>
      </c>
      <c r="E142" s="244" t="e">
        <f t="shared" si="20"/>
        <v>#VALUE!</v>
      </c>
      <c r="F142" s="244" t="e">
        <f t="shared" ref="F142:F147" si="22">$F$42*EXP(-$D$32*A142)</f>
        <v>#VALUE!</v>
      </c>
      <c r="G142" s="244" t="e">
        <f t="shared" ref="G142:G148" si="23">$F$42*EXP(-$D$32*A142)</f>
        <v>#VALUE!</v>
      </c>
      <c r="H142" s="244"/>
      <c r="I142" s="244"/>
      <c r="J142" s="244"/>
      <c r="K142" s="244"/>
      <c r="L142" s="244"/>
      <c r="M142" s="244"/>
      <c r="N142" s="244"/>
      <c r="O142" s="244"/>
      <c r="P142" s="244"/>
      <c r="Q142" s="244"/>
      <c r="R142" s="244"/>
      <c r="S142" s="244"/>
      <c r="T142" s="244"/>
      <c r="U142" s="244"/>
      <c r="V142" s="244"/>
    </row>
    <row r="143" spans="1:22" x14ac:dyDescent="0.2">
      <c r="A143" s="244">
        <f t="shared" ref="A143:A148" si="24">A142+0.5</f>
        <v>33.5</v>
      </c>
      <c r="B143" s="245" t="e">
        <f t="shared" si="21"/>
        <v>#VALUE!</v>
      </c>
      <c r="C143" s="244" t="e">
        <f t="shared" ref="C143:C148" si="25">($C$141)*EXP(-$D$32*(A143-32.5))</f>
        <v>#VALUE!</v>
      </c>
      <c r="D143" s="244" t="e">
        <f t="shared" si="19"/>
        <v>#VALUE!</v>
      </c>
      <c r="E143" s="244" t="e">
        <f t="shared" si="20"/>
        <v>#VALUE!</v>
      </c>
      <c r="F143" s="244" t="e">
        <f t="shared" si="22"/>
        <v>#VALUE!</v>
      </c>
      <c r="G143" s="244" t="e">
        <f t="shared" si="23"/>
        <v>#VALUE!</v>
      </c>
      <c r="H143" s="244"/>
      <c r="I143" s="244"/>
      <c r="J143" s="244"/>
      <c r="K143" s="244"/>
      <c r="L143" s="244"/>
      <c r="M143" s="244"/>
      <c r="N143" s="244"/>
      <c r="O143" s="244"/>
      <c r="P143" s="244"/>
      <c r="Q143" s="244"/>
      <c r="R143" s="244"/>
      <c r="S143" s="244"/>
      <c r="T143" s="244"/>
      <c r="U143" s="244"/>
      <c r="V143" s="244"/>
    </row>
    <row r="144" spans="1:22" x14ac:dyDescent="0.2">
      <c r="A144" s="244">
        <f t="shared" si="24"/>
        <v>34</v>
      </c>
      <c r="B144" s="245" t="e">
        <f t="shared" si="21"/>
        <v>#VALUE!</v>
      </c>
      <c r="C144" s="244" t="e">
        <f t="shared" si="25"/>
        <v>#VALUE!</v>
      </c>
      <c r="D144" s="244" t="e">
        <f t="shared" si="19"/>
        <v>#VALUE!</v>
      </c>
      <c r="E144" s="244" t="e">
        <f t="shared" si="20"/>
        <v>#VALUE!</v>
      </c>
      <c r="F144" s="244" t="e">
        <f t="shared" si="22"/>
        <v>#VALUE!</v>
      </c>
      <c r="G144" s="244" t="e">
        <f t="shared" si="23"/>
        <v>#VALUE!</v>
      </c>
      <c r="H144" s="244"/>
      <c r="I144" s="244"/>
      <c r="J144" s="244"/>
      <c r="K144" s="244"/>
      <c r="L144" s="244"/>
      <c r="M144" s="244"/>
      <c r="N144" s="244"/>
      <c r="O144" s="244"/>
      <c r="P144" s="244"/>
      <c r="Q144" s="244"/>
      <c r="R144" s="244"/>
      <c r="S144" s="244"/>
      <c r="T144" s="244"/>
      <c r="U144" s="244"/>
      <c r="V144" s="244"/>
    </row>
    <row r="145" spans="1:22" x14ac:dyDescent="0.2">
      <c r="A145" s="244">
        <f t="shared" si="24"/>
        <v>34.5</v>
      </c>
      <c r="B145" s="245" t="e">
        <f t="shared" si="21"/>
        <v>#VALUE!</v>
      </c>
      <c r="C145" s="244" t="e">
        <f t="shared" si="25"/>
        <v>#VALUE!</v>
      </c>
      <c r="D145" s="244" t="e">
        <f t="shared" si="19"/>
        <v>#VALUE!</v>
      </c>
      <c r="E145" s="244" t="e">
        <f t="shared" si="20"/>
        <v>#VALUE!</v>
      </c>
      <c r="F145" s="244" t="e">
        <f t="shared" si="22"/>
        <v>#VALUE!</v>
      </c>
      <c r="G145" s="244" t="e">
        <f t="shared" si="23"/>
        <v>#VALUE!</v>
      </c>
      <c r="H145" s="244"/>
      <c r="I145" s="244"/>
      <c r="J145" s="244"/>
      <c r="K145" s="244"/>
      <c r="L145" s="244"/>
      <c r="M145" s="244"/>
      <c r="N145" s="244"/>
      <c r="O145" s="244"/>
      <c r="P145" s="244"/>
      <c r="Q145" s="244"/>
      <c r="R145" s="244"/>
      <c r="S145" s="244"/>
      <c r="T145" s="244"/>
      <c r="U145" s="244"/>
      <c r="V145" s="244"/>
    </row>
    <row r="146" spans="1:22" x14ac:dyDescent="0.2">
      <c r="A146" s="244">
        <f t="shared" si="24"/>
        <v>35</v>
      </c>
      <c r="B146" s="245" t="e">
        <f t="shared" si="21"/>
        <v>#VALUE!</v>
      </c>
      <c r="C146" s="244" t="e">
        <f t="shared" si="25"/>
        <v>#VALUE!</v>
      </c>
      <c r="D146" s="244" t="e">
        <f t="shared" si="19"/>
        <v>#VALUE!</v>
      </c>
      <c r="E146" s="244" t="e">
        <f t="shared" si="20"/>
        <v>#VALUE!</v>
      </c>
      <c r="F146" s="244" t="e">
        <f t="shared" si="22"/>
        <v>#VALUE!</v>
      </c>
      <c r="G146" s="244" t="e">
        <f t="shared" si="23"/>
        <v>#VALUE!</v>
      </c>
      <c r="H146" s="244"/>
      <c r="I146" s="244"/>
      <c r="J146" s="244"/>
      <c r="K146" s="244"/>
      <c r="L146" s="244"/>
      <c r="M146" s="244"/>
      <c r="N146" s="244"/>
      <c r="O146" s="244"/>
      <c r="P146" s="244"/>
      <c r="Q146" s="244"/>
      <c r="R146" s="244"/>
      <c r="S146" s="244"/>
      <c r="T146" s="244"/>
      <c r="U146" s="244"/>
      <c r="V146" s="244"/>
    </row>
    <row r="147" spans="1:22" x14ac:dyDescent="0.2">
      <c r="A147" s="244">
        <f t="shared" si="24"/>
        <v>35.5</v>
      </c>
      <c r="B147" s="245" t="e">
        <f t="shared" si="21"/>
        <v>#VALUE!</v>
      </c>
      <c r="C147" s="244" t="e">
        <f t="shared" si="25"/>
        <v>#VALUE!</v>
      </c>
      <c r="D147" s="244" t="e">
        <f t="shared" si="19"/>
        <v>#VALUE!</v>
      </c>
      <c r="E147" s="244" t="e">
        <f t="shared" si="20"/>
        <v>#VALUE!</v>
      </c>
      <c r="F147" s="244" t="e">
        <f t="shared" si="22"/>
        <v>#VALUE!</v>
      </c>
      <c r="G147" s="244" t="e">
        <f t="shared" si="23"/>
        <v>#VALUE!</v>
      </c>
      <c r="H147" s="244"/>
      <c r="I147" s="244"/>
      <c r="J147" s="244"/>
      <c r="K147" s="244"/>
      <c r="L147" s="244"/>
      <c r="M147" s="244"/>
      <c r="N147" s="244"/>
      <c r="O147" s="244"/>
      <c r="P147" s="244"/>
      <c r="Q147" s="244"/>
      <c r="R147" s="244"/>
      <c r="S147" s="244"/>
      <c r="T147" s="244"/>
      <c r="U147" s="244"/>
      <c r="V147" s="244"/>
    </row>
    <row r="148" spans="1:22" x14ac:dyDescent="0.2">
      <c r="A148" s="244">
        <f t="shared" si="24"/>
        <v>36</v>
      </c>
      <c r="B148" s="245" t="e">
        <f t="shared" si="21"/>
        <v>#VALUE!</v>
      </c>
      <c r="C148" s="244" t="e">
        <f t="shared" si="25"/>
        <v>#VALUE!</v>
      </c>
      <c r="D148" s="244" t="e">
        <f t="shared" si="19"/>
        <v>#VALUE!</v>
      </c>
      <c r="E148" s="244" t="e">
        <f t="shared" si="20"/>
        <v>#VALUE!</v>
      </c>
      <c r="F148" s="245" t="e">
        <f>F147+F76</f>
        <v>#VALUE!</v>
      </c>
      <c r="G148" s="244" t="e">
        <f t="shared" si="23"/>
        <v>#VALUE!</v>
      </c>
      <c r="H148" s="244"/>
      <c r="I148" s="244"/>
      <c r="J148" s="244"/>
      <c r="K148" s="244"/>
      <c r="L148" s="244"/>
      <c r="M148" s="244"/>
      <c r="N148" s="244"/>
      <c r="O148" s="244"/>
      <c r="P148" s="244"/>
      <c r="Q148" s="244"/>
      <c r="R148" s="244"/>
      <c r="S148" s="244"/>
      <c r="T148" s="244"/>
      <c r="U148" s="244"/>
      <c r="V148" s="244"/>
    </row>
    <row r="149" spans="1:22" x14ac:dyDescent="0.2">
      <c r="A149" s="242"/>
      <c r="B149" s="242"/>
      <c r="C149" s="242"/>
      <c r="D149" s="242"/>
      <c r="E149" s="242"/>
      <c r="F149" s="242"/>
      <c r="G149" s="242"/>
    </row>
    <row r="150" spans="1:22" x14ac:dyDescent="0.2">
      <c r="A150" s="242"/>
      <c r="B150" s="242"/>
      <c r="C150" s="242"/>
      <c r="D150" s="242"/>
      <c r="E150" s="242"/>
      <c r="F150" s="242"/>
      <c r="G150" s="242"/>
    </row>
    <row r="151" spans="1:22" x14ac:dyDescent="0.2">
      <c r="A151" s="242"/>
      <c r="B151" s="242"/>
      <c r="C151" s="242"/>
      <c r="D151" s="242"/>
      <c r="E151" s="242"/>
      <c r="F151" s="242"/>
      <c r="G151" s="242"/>
    </row>
    <row r="152" spans="1:22" x14ac:dyDescent="0.2">
      <c r="A152" s="242"/>
      <c r="B152" s="242"/>
      <c r="C152" s="242"/>
      <c r="D152" s="242"/>
      <c r="E152" s="242"/>
      <c r="F152" s="242"/>
      <c r="G152" s="242"/>
    </row>
    <row r="153" spans="1:22" x14ac:dyDescent="0.2">
      <c r="A153" s="242"/>
      <c r="B153" s="242"/>
      <c r="C153" s="242"/>
      <c r="D153" s="242"/>
      <c r="E153" s="242"/>
      <c r="F153" s="242"/>
      <c r="G153" s="242"/>
    </row>
    <row r="154" spans="1:22" x14ac:dyDescent="0.2">
      <c r="A154" s="242"/>
      <c r="B154" s="242"/>
      <c r="C154" s="242"/>
      <c r="D154" s="242"/>
      <c r="E154" s="242"/>
      <c r="F154" s="242"/>
      <c r="G154" s="242"/>
    </row>
    <row r="155" spans="1:22" x14ac:dyDescent="0.2">
      <c r="A155" s="242"/>
      <c r="B155" s="242"/>
      <c r="C155" s="242"/>
      <c r="D155" s="242"/>
      <c r="E155" s="242"/>
      <c r="F155" s="242"/>
      <c r="G155" s="242"/>
    </row>
    <row r="156" spans="1:22" x14ac:dyDescent="0.2">
      <c r="A156" s="242"/>
      <c r="B156" s="242"/>
      <c r="C156" s="242"/>
      <c r="D156" s="242"/>
      <c r="E156" s="242"/>
      <c r="F156" s="242"/>
      <c r="G156" s="242"/>
    </row>
    <row r="157" spans="1:22" x14ac:dyDescent="0.2">
      <c r="A157" s="242"/>
      <c r="B157" s="242"/>
      <c r="C157" s="242"/>
      <c r="D157" s="242"/>
      <c r="E157" s="242"/>
      <c r="F157" s="242"/>
      <c r="G157" s="242"/>
    </row>
    <row r="158" spans="1:22" x14ac:dyDescent="0.2">
      <c r="A158" s="242"/>
      <c r="B158" s="242"/>
      <c r="C158" s="242"/>
      <c r="D158" s="242"/>
      <c r="E158" s="242"/>
      <c r="F158" s="242"/>
      <c r="G158" s="242"/>
    </row>
    <row r="159" spans="1:22" x14ac:dyDescent="0.2">
      <c r="A159" s="242"/>
      <c r="B159" s="242"/>
      <c r="C159" s="242"/>
      <c r="D159" s="242"/>
      <c r="E159" s="242"/>
      <c r="F159" s="242"/>
      <c r="G159" s="242"/>
    </row>
    <row r="160" spans="1:22" x14ac:dyDescent="0.2">
      <c r="A160" s="242"/>
      <c r="B160" s="242"/>
      <c r="C160" s="242"/>
      <c r="D160" s="242"/>
      <c r="E160" s="242"/>
      <c r="F160" s="242"/>
      <c r="G160" s="242"/>
    </row>
    <row r="161" spans="1:7" x14ac:dyDescent="0.2">
      <c r="A161" s="242"/>
      <c r="B161" s="242"/>
      <c r="C161" s="242"/>
      <c r="D161" s="242"/>
      <c r="E161" s="242"/>
      <c r="F161" s="242"/>
      <c r="G161" s="242"/>
    </row>
    <row r="162" spans="1:7" x14ac:dyDescent="0.2">
      <c r="A162" s="242"/>
      <c r="B162" s="242"/>
      <c r="C162" s="242"/>
      <c r="D162" s="242"/>
      <c r="E162" s="242"/>
      <c r="F162" s="242"/>
      <c r="G162" s="242"/>
    </row>
    <row r="163" spans="1:7" x14ac:dyDescent="0.2">
      <c r="A163" s="242"/>
      <c r="B163" s="242"/>
      <c r="C163" s="242"/>
      <c r="D163" s="242"/>
      <c r="E163" s="242"/>
      <c r="F163" s="242"/>
      <c r="G163" s="242"/>
    </row>
    <row r="164" spans="1:7" x14ac:dyDescent="0.2">
      <c r="A164" s="242"/>
      <c r="B164" s="242"/>
      <c r="C164" s="242"/>
      <c r="D164" s="242"/>
      <c r="E164" s="242"/>
      <c r="F164" s="242"/>
      <c r="G164" s="242"/>
    </row>
    <row r="165" spans="1:7" x14ac:dyDescent="0.2">
      <c r="A165" s="242"/>
      <c r="B165" s="242"/>
      <c r="C165" s="242"/>
      <c r="D165" s="242"/>
      <c r="E165" s="242"/>
      <c r="F165" s="242"/>
      <c r="G165" s="242"/>
    </row>
    <row r="166" spans="1:7" x14ac:dyDescent="0.2">
      <c r="A166" s="242"/>
      <c r="B166" s="242"/>
      <c r="C166" s="242"/>
      <c r="D166" s="242"/>
      <c r="E166" s="242"/>
      <c r="F166" s="242"/>
      <c r="G166" s="242"/>
    </row>
    <row r="167" spans="1:7" x14ac:dyDescent="0.2">
      <c r="A167" s="242"/>
      <c r="B167" s="242"/>
      <c r="C167" s="242"/>
      <c r="D167" s="242"/>
      <c r="E167" s="242"/>
      <c r="F167" s="242"/>
      <c r="G167" s="242"/>
    </row>
    <row r="168" spans="1:7" x14ac:dyDescent="0.2">
      <c r="A168" s="242"/>
      <c r="B168" s="242"/>
      <c r="C168" s="242"/>
      <c r="D168" s="242"/>
      <c r="E168" s="242"/>
      <c r="F168" s="242"/>
      <c r="G168" s="242"/>
    </row>
    <row r="169" spans="1:7" x14ac:dyDescent="0.2">
      <c r="A169" s="242"/>
      <c r="B169" s="242"/>
      <c r="C169" s="242"/>
      <c r="D169" s="242"/>
      <c r="E169" s="242"/>
      <c r="F169" s="242"/>
      <c r="G169" s="242"/>
    </row>
    <row r="170" spans="1:7" x14ac:dyDescent="0.2">
      <c r="A170" s="242"/>
      <c r="B170" s="242"/>
      <c r="C170" s="242"/>
      <c r="D170" s="242"/>
      <c r="E170" s="242"/>
      <c r="F170" s="242"/>
      <c r="G170" s="242"/>
    </row>
    <row r="171" spans="1:7" x14ac:dyDescent="0.2">
      <c r="A171" s="242"/>
      <c r="B171" s="242"/>
      <c r="C171" s="242"/>
      <c r="D171" s="242"/>
      <c r="E171" s="242"/>
      <c r="F171" s="242"/>
      <c r="G171" s="242"/>
    </row>
    <row r="172" spans="1:7" x14ac:dyDescent="0.2">
      <c r="A172" s="242"/>
      <c r="B172" s="242"/>
      <c r="C172" s="242"/>
      <c r="D172" s="242"/>
      <c r="E172" s="242"/>
      <c r="F172" s="242"/>
      <c r="G172" s="242"/>
    </row>
    <row r="173" spans="1:7" x14ac:dyDescent="0.2">
      <c r="A173" s="242"/>
      <c r="B173" s="242"/>
      <c r="C173" s="242"/>
      <c r="D173" s="242"/>
      <c r="E173" s="242"/>
      <c r="F173" s="242"/>
      <c r="G173" s="242"/>
    </row>
    <row r="174" spans="1:7" x14ac:dyDescent="0.2">
      <c r="A174" s="242"/>
      <c r="B174" s="242"/>
      <c r="C174" s="242"/>
      <c r="D174" s="242"/>
      <c r="E174" s="242"/>
      <c r="F174" s="242"/>
      <c r="G174" s="242"/>
    </row>
    <row r="175" spans="1:7" x14ac:dyDescent="0.2">
      <c r="A175" s="15"/>
      <c r="B175" s="15"/>
      <c r="C175" s="15"/>
      <c r="D175" s="15"/>
      <c r="E175" s="15"/>
      <c r="F175" s="15"/>
      <c r="G175" s="242"/>
    </row>
    <row r="176" spans="1:7" x14ac:dyDescent="0.2">
      <c r="A176" s="15"/>
      <c r="B176" s="15"/>
      <c r="C176" s="15"/>
      <c r="D176" s="15"/>
      <c r="E176" s="15"/>
      <c r="F176" s="15"/>
      <c r="G176" s="242"/>
    </row>
    <row r="177" spans="1:7" x14ac:dyDescent="0.2">
      <c r="A177" s="15"/>
      <c r="B177" s="15"/>
      <c r="C177" s="15"/>
      <c r="D177" s="15"/>
      <c r="E177" s="15"/>
      <c r="F177" s="15"/>
      <c r="G177" s="242"/>
    </row>
    <row r="178" spans="1:7" x14ac:dyDescent="0.2">
      <c r="A178" s="15"/>
      <c r="B178" s="15"/>
      <c r="C178" s="15"/>
      <c r="D178" s="15"/>
      <c r="E178" s="15"/>
      <c r="F178" s="15"/>
      <c r="G178" s="242"/>
    </row>
    <row r="179" spans="1:7" x14ac:dyDescent="0.2">
      <c r="A179" s="15"/>
      <c r="B179" s="15"/>
      <c r="C179" s="15"/>
      <c r="D179" s="15"/>
      <c r="E179" s="15"/>
      <c r="F179" s="15"/>
      <c r="G179" s="242"/>
    </row>
    <row r="180" spans="1:7" x14ac:dyDescent="0.2">
      <c r="A180" s="15"/>
      <c r="B180" s="15"/>
      <c r="C180" s="15"/>
      <c r="D180" s="15"/>
      <c r="E180" s="15"/>
      <c r="F180" s="15"/>
    </row>
    <row r="181" spans="1:7" x14ac:dyDescent="0.2">
      <c r="A181" s="15"/>
      <c r="B181" s="15"/>
      <c r="C181" s="15"/>
      <c r="D181" s="15"/>
      <c r="E181" s="15"/>
      <c r="F181" s="15"/>
    </row>
    <row r="182" spans="1:7" x14ac:dyDescent="0.2">
      <c r="A182" s="15"/>
      <c r="B182" s="15"/>
      <c r="C182" s="15"/>
      <c r="D182" s="15"/>
      <c r="E182" s="15"/>
      <c r="F182" s="15"/>
    </row>
    <row r="183" spans="1:7" x14ac:dyDescent="0.2">
      <c r="A183" s="15"/>
      <c r="B183" s="15"/>
      <c r="C183" s="15"/>
      <c r="D183" s="15"/>
      <c r="E183" s="15"/>
      <c r="F183" s="15"/>
    </row>
    <row r="184" spans="1:7" x14ac:dyDescent="0.2">
      <c r="A184" s="15"/>
      <c r="B184" s="15"/>
      <c r="C184" s="15"/>
      <c r="D184" s="15"/>
      <c r="E184" s="15"/>
      <c r="F184" s="15"/>
    </row>
    <row r="185" spans="1:7" x14ac:dyDescent="0.2">
      <c r="A185" s="15"/>
      <c r="B185" s="15"/>
      <c r="C185" s="15"/>
      <c r="D185" s="15"/>
      <c r="E185" s="15"/>
      <c r="F185" s="15"/>
    </row>
    <row r="186" spans="1:7" x14ac:dyDescent="0.2">
      <c r="A186" s="15"/>
      <c r="B186" s="15"/>
      <c r="C186" s="15"/>
      <c r="D186" s="15"/>
      <c r="E186" s="15"/>
      <c r="F186" s="15"/>
    </row>
    <row r="187" spans="1:7" x14ac:dyDescent="0.2">
      <c r="A187" s="15"/>
      <c r="B187" s="15"/>
      <c r="C187" s="15"/>
      <c r="D187" s="15"/>
      <c r="E187" s="15"/>
      <c r="F187" s="15"/>
    </row>
    <row r="188" spans="1:7" x14ac:dyDescent="0.2">
      <c r="A188" s="15"/>
      <c r="B188" s="15"/>
      <c r="C188" s="15"/>
      <c r="D188" s="15"/>
      <c r="E188" s="15"/>
      <c r="F188" s="15"/>
    </row>
    <row r="189" spans="1:7" x14ac:dyDescent="0.2">
      <c r="A189" s="15"/>
      <c r="B189" s="15"/>
      <c r="C189" s="15"/>
      <c r="D189" s="15"/>
      <c r="E189" s="15"/>
      <c r="F189" s="15"/>
    </row>
    <row r="190" spans="1:7" x14ac:dyDescent="0.2">
      <c r="A190" s="15"/>
      <c r="B190" s="15"/>
      <c r="C190" s="15"/>
      <c r="D190" s="15"/>
      <c r="E190" s="15"/>
      <c r="F190" s="15"/>
    </row>
    <row r="191" spans="1:7" x14ac:dyDescent="0.2">
      <c r="A191" s="15"/>
      <c r="B191" s="15"/>
      <c r="C191" s="15"/>
      <c r="D191" s="15"/>
      <c r="E191" s="15"/>
      <c r="F191" s="15"/>
    </row>
    <row r="192" spans="1:7" x14ac:dyDescent="0.2">
      <c r="A192" s="15"/>
      <c r="B192" s="15"/>
      <c r="C192" s="15"/>
      <c r="D192" s="15"/>
      <c r="E192" s="15"/>
      <c r="F192" s="15"/>
    </row>
    <row r="193" spans="1:6" x14ac:dyDescent="0.2">
      <c r="A193" s="15"/>
      <c r="B193" s="15"/>
      <c r="C193" s="15"/>
      <c r="D193" s="15"/>
      <c r="E193" s="15"/>
      <c r="F193" s="15"/>
    </row>
    <row r="194" spans="1:6" x14ac:dyDescent="0.2">
      <c r="A194" s="15"/>
      <c r="B194" s="15"/>
      <c r="C194" s="15"/>
      <c r="D194" s="15"/>
      <c r="E194" s="15"/>
      <c r="F194" s="15"/>
    </row>
    <row r="195" spans="1:6" x14ac:dyDescent="0.2">
      <c r="A195" s="15"/>
      <c r="B195" s="15"/>
      <c r="C195" s="15"/>
      <c r="D195" s="15"/>
      <c r="E195" s="15"/>
      <c r="F195" s="15"/>
    </row>
    <row r="196" spans="1:6" x14ac:dyDescent="0.2">
      <c r="A196" s="15"/>
      <c r="B196" s="15"/>
      <c r="C196" s="15"/>
      <c r="D196" s="15"/>
      <c r="E196" s="15"/>
      <c r="F196" s="15"/>
    </row>
    <row r="197" spans="1:6" x14ac:dyDescent="0.2">
      <c r="A197" s="15"/>
      <c r="B197" s="15"/>
      <c r="C197" s="15"/>
      <c r="D197" s="15"/>
      <c r="E197" s="15"/>
      <c r="F197" s="15"/>
    </row>
    <row r="198" spans="1:6" x14ac:dyDescent="0.2">
      <c r="A198" s="15"/>
      <c r="B198" s="15"/>
      <c r="C198" s="15"/>
      <c r="D198" s="15"/>
      <c r="E198" s="15"/>
      <c r="F198" s="15"/>
    </row>
    <row r="199" spans="1:6" x14ac:dyDescent="0.2">
      <c r="A199" s="15"/>
      <c r="B199" s="15"/>
      <c r="C199" s="15"/>
      <c r="D199" s="15"/>
      <c r="E199" s="15"/>
      <c r="F199" s="15"/>
    </row>
    <row r="200" spans="1:6" x14ac:dyDescent="0.2">
      <c r="A200" s="15"/>
      <c r="B200" s="15"/>
      <c r="C200" s="15"/>
      <c r="D200" s="15"/>
      <c r="E200" s="15"/>
      <c r="F200" s="15"/>
    </row>
    <row r="201" spans="1:6" x14ac:dyDescent="0.2">
      <c r="A201" s="15"/>
      <c r="B201" s="15"/>
      <c r="C201" s="15"/>
      <c r="D201" s="15"/>
      <c r="E201" s="15"/>
      <c r="F201" s="15"/>
    </row>
    <row r="202" spans="1:6" x14ac:dyDescent="0.2">
      <c r="A202" s="15"/>
      <c r="B202" s="15"/>
      <c r="C202" s="15"/>
      <c r="D202" s="15"/>
      <c r="E202" s="15"/>
      <c r="F202" s="15"/>
    </row>
    <row r="203" spans="1:6" x14ac:dyDescent="0.2">
      <c r="A203" s="15"/>
      <c r="B203" s="15"/>
      <c r="C203" s="15"/>
      <c r="D203" s="15"/>
      <c r="E203" s="15"/>
      <c r="F203" s="15"/>
    </row>
  </sheetData>
  <sheetProtection sheet="1" objects="1" scenarios="1" selectLockedCells="1"/>
  <protectedRanges>
    <protectedRange sqref="H9" name="Vancomycin Empiric Dosing Variables"/>
  </protectedRanges>
  <mergeCells count="8">
    <mergeCell ref="F38:F39"/>
    <mergeCell ref="I29:O29"/>
    <mergeCell ref="I30:O30"/>
    <mergeCell ref="I20:M26"/>
    <mergeCell ref="A1:I1"/>
    <mergeCell ref="E2:H2"/>
    <mergeCell ref="A2:C2"/>
    <mergeCell ref="I28:O28"/>
  </mergeCells>
  <phoneticPr fontId="6" type="noConversion"/>
  <dataValidations count="15">
    <dataValidation type="whole" allowBlank="1" showInputMessage="1" showErrorMessage="1" error="Calculator only valid for adult patients, please enter an age between 16-104 years" sqref="B3">
      <formula1>15</formula1>
      <formula2>105</formula2>
    </dataValidation>
    <dataValidation type="list" allowBlank="1" showInputMessage="1" showErrorMessage="1" sqref="C13">
      <formula1>$C$14:$C$15</formula1>
    </dataValidation>
    <dataValidation type="list" allowBlank="1" showInputMessage="1" showErrorMessage="1" sqref="C8">
      <formula1>$C$9:$C$10</formula1>
    </dataValidation>
    <dataValidation type="decimal" allowBlank="1" showInputMessage="1" showErrorMessage="1" sqref="G3">
      <formula1>300</formula1>
      <formula2>700</formula2>
    </dataValidation>
    <dataValidation type="decimal" allowBlank="1" showInputMessage="1" showErrorMessage="1" sqref="G4:G6">
      <formula1>15</formula1>
      <formula2>65</formula2>
    </dataValidation>
    <dataValidation type="decimal" allowBlank="1" showInputMessage="1" showErrorMessage="1" sqref="G7">
      <formula1>7.5</formula1>
      <formula2>22</formula2>
    </dataValidation>
    <dataValidation type="decimal" allowBlank="1" showInputMessage="1" showErrorMessage="1" sqref="G18:G19">
      <formula1>0.45</formula1>
      <formula2>1.4</formula2>
    </dataValidation>
    <dataValidation type="list" allowBlank="1" showInputMessage="1" showErrorMessage="1" sqref="G8">
      <formula1>G9:G12</formula1>
    </dataValidation>
    <dataValidation type="list" allowBlank="1" showInputMessage="1" showErrorMessage="1" sqref="G13">
      <formula1>$G$14:$G$17</formula1>
    </dataValidation>
    <dataValidation type="list" allowBlank="1" showInputMessage="1" showErrorMessage="1" sqref="G20">
      <formula1>$G$21:$G$23</formula1>
    </dataValidation>
    <dataValidation type="decimal" allowBlank="1" showInputMessage="1" showErrorMessage="1" sqref="G26">
      <formula1>0.5</formula1>
      <formula2>2.51</formula2>
    </dataValidation>
    <dataValidation type="decimal" allowBlank="1" showInputMessage="1" showErrorMessage="1" sqref="G25">
      <formula1>45</formula1>
      <formula2>301</formula2>
    </dataValidation>
    <dataValidation type="decimal" allowBlank="1" showInputMessage="1" showErrorMessage="1" sqref="G24">
      <formula1>5</formula1>
      <formula2>150</formula2>
    </dataValidation>
    <dataValidation type="list" allowBlank="1" showInputMessage="1" showErrorMessage="1" sqref="B4">
      <formula1>$B$5:$B$6</formula1>
    </dataValidation>
    <dataValidation type="decimal" allowBlank="1" showInputMessage="1" showErrorMessage="1" sqref="B7">
      <formula1>0.3</formula1>
      <formula2>6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492" r:id="rId4" name="CommandButton5">
          <controlPr locked="0" defaultSize="0" autoLine="0" r:id="rId5">
            <anchor moveWithCells="1">
              <from>
                <xdr:col>3</xdr:col>
                <xdr:colOff>2276475</xdr:colOff>
                <xdr:row>3</xdr:row>
                <xdr:rowOff>47625</xdr:rowOff>
              </from>
              <to>
                <xdr:col>3</xdr:col>
                <xdr:colOff>3000375</xdr:colOff>
                <xdr:row>7</xdr:row>
                <xdr:rowOff>104775</xdr:rowOff>
              </to>
            </anchor>
          </controlPr>
        </control>
      </mc:Choice>
      <mc:Fallback>
        <control shapeId="5492" r:id="rId4" name="CommandButton5"/>
      </mc:Fallback>
    </mc:AlternateContent>
    <mc:AlternateContent xmlns:mc="http://schemas.openxmlformats.org/markup-compatibility/2006">
      <mc:Choice Requires="x14">
        <control shapeId="5199" r:id="rId6" name="CommandButton4">
          <controlPr defaultSize="0" autoLine="0" r:id="rId7">
            <anchor moveWithCells="1">
              <from>
                <xdr:col>6</xdr:col>
                <xdr:colOff>533400</xdr:colOff>
                <xdr:row>36</xdr:row>
                <xdr:rowOff>28575</xdr:rowOff>
              </from>
              <to>
                <xdr:col>6</xdr:col>
                <xdr:colOff>1400175</xdr:colOff>
                <xdr:row>38</xdr:row>
                <xdr:rowOff>180975</xdr:rowOff>
              </to>
            </anchor>
          </controlPr>
        </control>
      </mc:Choice>
      <mc:Fallback>
        <control shapeId="5199" r:id="rId6" name="CommandButton4"/>
      </mc:Fallback>
    </mc:AlternateContent>
    <mc:AlternateContent xmlns:mc="http://schemas.openxmlformats.org/markup-compatibility/2006">
      <mc:Choice Requires="x14">
        <control shapeId="5191" r:id="rId8" name="CommandButton3">
          <controlPr defaultSize="0" autoLine="0" r:id="rId9">
            <anchor moveWithCells="1">
              <from>
                <xdr:col>3</xdr:col>
                <xdr:colOff>85725</xdr:colOff>
                <xdr:row>1</xdr:row>
                <xdr:rowOff>0</xdr:rowOff>
              </from>
              <to>
                <xdr:col>3</xdr:col>
                <xdr:colOff>3000375</xdr:colOff>
                <xdr:row>3</xdr:row>
                <xdr:rowOff>28575</xdr:rowOff>
              </to>
            </anchor>
          </controlPr>
        </control>
      </mc:Choice>
      <mc:Fallback>
        <control shapeId="5191" r:id="rId8" name="CommandButton3"/>
      </mc:Fallback>
    </mc:AlternateContent>
    <mc:AlternateContent xmlns:mc="http://schemas.openxmlformats.org/markup-compatibility/2006">
      <mc:Choice Requires="x14">
        <control shapeId="5177" r:id="rId10" name="CommandButton2">
          <controlPr defaultSize="0" autoLine="0" r:id="rId11">
            <anchor moveWithCells="1">
              <from>
                <xdr:col>3</xdr:col>
                <xdr:colOff>847725</xdr:colOff>
                <xdr:row>3</xdr:row>
                <xdr:rowOff>47625</xdr:rowOff>
              </from>
              <to>
                <xdr:col>3</xdr:col>
                <xdr:colOff>2238375</xdr:colOff>
                <xdr:row>7</xdr:row>
                <xdr:rowOff>104775</xdr:rowOff>
              </to>
            </anchor>
          </controlPr>
        </control>
      </mc:Choice>
      <mc:Fallback>
        <control shapeId="5177" r:id="rId10" name="CommandButton2"/>
      </mc:Fallback>
    </mc:AlternateContent>
    <mc:AlternateContent xmlns:mc="http://schemas.openxmlformats.org/markup-compatibility/2006">
      <mc:Choice Requires="x14">
        <control shapeId="5174" r:id="rId12" name="CommandButton1">
          <controlPr locked="0" defaultSize="0" autoLine="0" r:id="rId13">
            <anchor moveWithCells="1">
              <from>
                <xdr:col>3</xdr:col>
                <xdr:colOff>85725</xdr:colOff>
                <xdr:row>3</xdr:row>
                <xdr:rowOff>47625</xdr:rowOff>
              </from>
              <to>
                <xdr:col>3</xdr:col>
                <xdr:colOff>809625</xdr:colOff>
                <xdr:row>7</xdr:row>
                <xdr:rowOff>104775</xdr:rowOff>
              </to>
            </anchor>
          </controlPr>
        </control>
      </mc:Choice>
      <mc:Fallback>
        <control shapeId="5174" r:id="rId12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262"/>
  <sheetViews>
    <sheetView showGridLines="0" showRowColHeaders="0" workbookViewId="0">
      <selection activeCell="B4" sqref="B4"/>
    </sheetView>
  </sheetViews>
  <sheetFormatPr defaultColWidth="8.85546875" defaultRowHeight="12.75" x14ac:dyDescent="0.2"/>
  <cols>
    <col min="1" max="1" width="40.7109375" style="1" customWidth="1"/>
    <col min="2" max="2" width="22.42578125" style="1" customWidth="1"/>
    <col min="3" max="3" width="12.42578125" style="1" customWidth="1"/>
    <col min="4" max="4" width="48.28515625" style="1" customWidth="1"/>
    <col min="5" max="5" width="11" style="1" customWidth="1"/>
    <col min="6" max="6" width="18.140625" style="1" customWidth="1"/>
    <col min="7" max="7" width="8.5703125" style="1" bestFit="1" customWidth="1"/>
    <col min="8" max="8" width="12.7109375" style="1" bestFit="1" customWidth="1"/>
    <col min="9" max="9" width="18.42578125" style="1" customWidth="1"/>
    <col min="10" max="16384" width="8.85546875" style="1"/>
  </cols>
  <sheetData>
    <row r="1" spans="1:21" ht="30" customHeight="1" x14ac:dyDescent="0.2">
      <c r="A1" s="276" t="s">
        <v>123</v>
      </c>
      <c r="B1" s="276"/>
      <c r="C1" s="276"/>
      <c r="D1" s="276"/>
      <c r="E1" s="131"/>
      <c r="F1" s="131"/>
      <c r="G1" s="131"/>
      <c r="H1" s="131"/>
      <c r="I1" s="131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ht="17.25" customHeight="1" x14ac:dyDescent="0.2">
      <c r="A2" s="281" t="s">
        <v>181</v>
      </c>
      <c r="B2" s="282"/>
      <c r="C2" s="283"/>
      <c r="D2" s="2"/>
      <c r="E2" s="3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s="49" customFormat="1" ht="15.75" x14ac:dyDescent="0.25">
      <c r="A3" s="239" t="s">
        <v>28</v>
      </c>
      <c r="B3" s="43"/>
      <c r="C3" s="44" t="s">
        <v>32</v>
      </c>
      <c r="D3" s="45"/>
      <c r="E3" s="141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1" s="49" customFormat="1" ht="15.75" x14ac:dyDescent="0.25">
      <c r="A4" s="239" t="s">
        <v>29</v>
      </c>
      <c r="B4" s="43"/>
      <c r="C4" s="44"/>
      <c r="D4" s="45"/>
      <c r="E4" s="141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1" s="49" customFormat="1" ht="15.75" hidden="1" x14ac:dyDescent="0.25">
      <c r="A5" s="239"/>
      <c r="B5" s="43" t="s">
        <v>34</v>
      </c>
      <c r="C5" s="44"/>
      <c r="D5" s="45"/>
      <c r="E5" s="141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</row>
    <row r="6" spans="1:21" s="49" customFormat="1" ht="15.75" hidden="1" x14ac:dyDescent="0.25">
      <c r="A6" s="239"/>
      <c r="B6" s="43" t="s">
        <v>35</v>
      </c>
      <c r="C6" s="44"/>
      <c r="D6" s="45"/>
      <c r="E6" s="141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 s="49" customFormat="1" ht="15.75" x14ac:dyDescent="0.25">
      <c r="A7" s="239" t="s">
        <v>30</v>
      </c>
      <c r="B7" s="43"/>
      <c r="C7" s="44" t="s">
        <v>33</v>
      </c>
      <c r="D7" s="75"/>
      <c r="E7" s="141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</row>
    <row r="8" spans="1:21" s="49" customFormat="1" ht="15.75" x14ac:dyDescent="0.25">
      <c r="A8" s="239" t="s">
        <v>36</v>
      </c>
      <c r="B8" s="43"/>
      <c r="C8" s="50" t="s">
        <v>41</v>
      </c>
      <c r="D8" s="76">
        <f>IF(C8="inches",B8,B8/2.54)</f>
        <v>0</v>
      </c>
      <c r="E8" s="141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</row>
    <row r="9" spans="1:21" s="49" customFormat="1" ht="15.75" hidden="1" x14ac:dyDescent="0.25">
      <c r="A9" s="239"/>
      <c r="B9" s="43"/>
      <c r="C9" s="52" t="s">
        <v>41</v>
      </c>
      <c r="D9" s="76"/>
      <c r="E9" s="141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21" s="49" customFormat="1" ht="15.75" hidden="1" x14ac:dyDescent="0.25">
      <c r="A10" s="239"/>
      <c r="B10" s="43"/>
      <c r="C10" s="52" t="s">
        <v>37</v>
      </c>
      <c r="D10" s="76"/>
      <c r="E10" s="141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</row>
    <row r="11" spans="1:21" s="49" customFormat="1" ht="15.75" hidden="1" x14ac:dyDescent="0.25">
      <c r="A11" s="239"/>
      <c r="B11" s="43"/>
      <c r="C11" s="52"/>
      <c r="D11" s="75"/>
      <c r="E11" s="141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 s="49" customFormat="1" ht="15.75" hidden="1" x14ac:dyDescent="0.25">
      <c r="A12" s="239"/>
      <c r="B12" s="43"/>
      <c r="C12" s="52"/>
      <c r="D12" s="75"/>
      <c r="E12" s="141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s="49" customFormat="1" ht="15.75" x14ac:dyDescent="0.25">
      <c r="A13" s="239" t="s">
        <v>31</v>
      </c>
      <c r="B13" s="54"/>
      <c r="C13" s="50" t="s">
        <v>0</v>
      </c>
      <c r="D13" s="76">
        <f>IF(C13="kg",B13,B13/2.2)</f>
        <v>0</v>
      </c>
      <c r="E13" s="141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</row>
    <row r="14" spans="1:21" s="49" customFormat="1" ht="15.75" hidden="1" x14ac:dyDescent="0.25">
      <c r="A14" s="44"/>
      <c r="B14" s="55"/>
      <c r="C14" s="56" t="s">
        <v>0</v>
      </c>
      <c r="D14" s="45"/>
      <c r="E14" s="141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</row>
    <row r="15" spans="1:21" s="49" customFormat="1" ht="15.75" hidden="1" x14ac:dyDescent="0.25">
      <c r="A15" s="44"/>
      <c r="B15" s="55"/>
      <c r="C15" s="56" t="s">
        <v>40</v>
      </c>
      <c r="D15" s="45"/>
      <c r="E15" s="141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1" s="49" customFormat="1" ht="15.75" hidden="1" x14ac:dyDescent="0.25">
      <c r="A16" s="44"/>
      <c r="B16" s="55"/>
      <c r="C16" s="56"/>
      <c r="D16" s="45"/>
      <c r="E16" s="141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</row>
    <row r="17" spans="1:21" s="49" customFormat="1" ht="15.75" hidden="1" x14ac:dyDescent="0.25">
      <c r="A17" s="44"/>
      <c r="B17" s="55"/>
      <c r="C17" s="56"/>
      <c r="D17" s="45"/>
      <c r="E17" s="141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</row>
    <row r="18" spans="1:21" s="49" customFormat="1" ht="15.75" x14ac:dyDescent="0.25">
      <c r="A18" s="57" t="s">
        <v>42</v>
      </c>
      <c r="B18" s="58" t="str">
        <f>IF(B8&lt;1,"",IF(B4="male",50+2.3*(D8-60),45.5+2.3*(D8-60)))</f>
        <v/>
      </c>
      <c r="C18" s="44" t="s">
        <v>0</v>
      </c>
      <c r="D18" s="60" t="s">
        <v>43</v>
      </c>
      <c r="E18" s="141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</row>
    <row r="19" spans="1:21" s="49" customFormat="1" ht="15.75" hidden="1" x14ac:dyDescent="0.25">
      <c r="A19" s="57"/>
      <c r="B19" s="58"/>
      <c r="C19" s="44"/>
      <c r="D19" s="60"/>
      <c r="E19" s="141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</row>
    <row r="20" spans="1:21" s="49" customFormat="1" ht="15.75" x14ac:dyDescent="0.25">
      <c r="A20" s="57" t="s">
        <v>49</v>
      </c>
      <c r="B20" s="58" t="str">
        <f>IF(B8&lt;1,"",IF(D13&gt;1.3*B18,B18+0.4*(D13-B18),""))</f>
        <v/>
      </c>
      <c r="C20" s="44" t="s">
        <v>0</v>
      </c>
      <c r="D20" s="60" t="s">
        <v>198</v>
      </c>
      <c r="E20" s="141"/>
      <c r="F20" s="45"/>
      <c r="G20" s="45"/>
      <c r="H20" s="142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</row>
    <row r="21" spans="1:21" s="49" customFormat="1" ht="12.75" hidden="1" customHeight="1" x14ac:dyDescent="0.25">
      <c r="A21" s="57"/>
      <c r="B21" s="58"/>
      <c r="C21" s="44"/>
      <c r="D21" s="60"/>
      <c r="E21" s="141"/>
      <c r="F21" s="45"/>
      <c r="G21" s="45"/>
      <c r="H21" s="142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</row>
    <row r="22" spans="1:21" s="49" customFormat="1" ht="12.75" hidden="1" customHeight="1" x14ac:dyDescent="0.25">
      <c r="A22" s="57"/>
      <c r="B22" s="58"/>
      <c r="C22" s="44"/>
      <c r="D22" s="60"/>
      <c r="E22" s="141"/>
      <c r="F22" s="45"/>
      <c r="G22" s="45"/>
      <c r="H22" s="142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1:21" s="49" customFormat="1" ht="12.75" hidden="1" customHeight="1" x14ac:dyDescent="0.25">
      <c r="A23" s="57"/>
      <c r="B23" s="58"/>
      <c r="C23" s="44"/>
      <c r="D23" s="60"/>
      <c r="E23" s="141"/>
      <c r="F23" s="45"/>
      <c r="G23" s="45"/>
      <c r="H23" s="142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</row>
    <row r="24" spans="1:21" s="49" customFormat="1" ht="15.75" x14ac:dyDescent="0.25">
      <c r="A24" s="57" t="s">
        <v>182</v>
      </c>
      <c r="B24" s="59" t="str">
        <f>IF(B13&lt;1,"",IF(B4="Male",(140-B3)*B13/72/B7,0.85*(140-B3)*B13/72/B7))</f>
        <v/>
      </c>
      <c r="C24" s="44" t="s">
        <v>1</v>
      </c>
      <c r="D24" s="60" t="s">
        <v>197</v>
      </c>
      <c r="E24" s="141"/>
      <c r="F24" s="45"/>
      <c r="G24" s="45"/>
      <c r="H24" s="142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</row>
    <row r="25" spans="1:21" s="49" customFormat="1" ht="15.75" x14ac:dyDescent="0.25">
      <c r="A25" s="57" t="s">
        <v>196</v>
      </c>
      <c r="B25" s="59" t="str">
        <f>IF(B20="","",IF(D13&lt;1.3*B18,"",IF(B4="Male",(140-B3)*B20/72/B7,0.85*(140-B3)*B20/72/B7)))</f>
        <v/>
      </c>
      <c r="C25" s="44" t="s">
        <v>1</v>
      </c>
      <c r="D25" s="60" t="s">
        <v>44</v>
      </c>
      <c r="E25" s="141"/>
      <c r="F25" s="45"/>
      <c r="G25" s="45"/>
      <c r="H25" s="142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1" s="49" customFormat="1" ht="15.75" x14ac:dyDescent="0.25">
      <c r="A26" s="57" t="s">
        <v>183</v>
      </c>
      <c r="B26" s="59" t="str">
        <f>IF(B8&lt;1,"",IF(B4="Male",(140-B3)*B18/72/B7,0.85*(140-B3)*B18/72/B7))</f>
        <v/>
      </c>
      <c r="C26" s="44" t="s">
        <v>1</v>
      </c>
      <c r="D26" s="60" t="s">
        <v>45</v>
      </c>
      <c r="E26" s="141"/>
      <c r="F26" s="45"/>
      <c r="G26" s="45"/>
      <c r="H26" s="142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</row>
    <row r="27" spans="1:21" ht="18" x14ac:dyDescent="0.25">
      <c r="A27" s="281" t="s">
        <v>136</v>
      </c>
      <c r="B27" s="282"/>
      <c r="C27" s="283"/>
      <c r="D27" s="140"/>
      <c r="E27" s="9"/>
      <c r="F27" s="9"/>
      <c r="G27" s="9"/>
      <c r="H27" s="14"/>
      <c r="I27" s="9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ht="18" x14ac:dyDescent="0.25">
      <c r="A28" s="47" t="s">
        <v>19</v>
      </c>
      <c r="B28" s="48">
        <v>500</v>
      </c>
      <c r="C28" s="44" t="s">
        <v>18</v>
      </c>
      <c r="D28" s="143" t="s">
        <v>52</v>
      </c>
      <c r="E28" s="9"/>
      <c r="F28" s="9"/>
      <c r="G28" s="9"/>
      <c r="H28" s="144"/>
      <c r="I28" s="278" t="s">
        <v>61</v>
      </c>
      <c r="J28" s="279"/>
      <c r="K28" s="279"/>
      <c r="L28" s="279"/>
      <c r="M28" s="279"/>
      <c r="N28" s="279"/>
      <c r="O28" s="19"/>
      <c r="P28" s="19"/>
      <c r="Q28" s="19"/>
      <c r="R28" s="19"/>
      <c r="S28" s="19"/>
      <c r="T28" s="2"/>
      <c r="U28" s="2"/>
    </row>
    <row r="29" spans="1:21" ht="18" x14ac:dyDescent="0.25">
      <c r="A29" s="47" t="s">
        <v>13</v>
      </c>
      <c r="B29" s="48">
        <v>35</v>
      </c>
      <c r="C29" s="44" t="s">
        <v>8</v>
      </c>
      <c r="D29" s="143" t="s">
        <v>53</v>
      </c>
      <c r="E29" s="9"/>
      <c r="F29" s="9"/>
      <c r="G29" s="9"/>
      <c r="H29" s="144"/>
      <c r="I29" s="278" t="s">
        <v>62</v>
      </c>
      <c r="J29" s="279"/>
      <c r="K29" s="279"/>
      <c r="L29" s="279"/>
      <c r="M29" s="279"/>
      <c r="N29" s="279"/>
      <c r="O29" s="19"/>
      <c r="P29" s="19"/>
      <c r="Q29" s="19"/>
      <c r="R29" s="19"/>
      <c r="S29" s="19"/>
      <c r="T29" s="2"/>
      <c r="U29" s="2"/>
    </row>
    <row r="30" spans="1:21" ht="18" x14ac:dyDescent="0.25">
      <c r="A30" s="47" t="s">
        <v>14</v>
      </c>
      <c r="B30" s="48">
        <v>12.5</v>
      </c>
      <c r="C30" s="44" t="s">
        <v>8</v>
      </c>
      <c r="D30" s="143" t="s">
        <v>54</v>
      </c>
      <c r="E30" s="9"/>
      <c r="F30" s="9"/>
      <c r="G30" s="9"/>
      <c r="H30" s="144"/>
      <c r="I30" s="146" t="s">
        <v>145</v>
      </c>
      <c r="J30" s="145"/>
      <c r="K30" s="145"/>
      <c r="L30" s="145"/>
      <c r="M30" s="145"/>
      <c r="N30" s="145"/>
      <c r="O30" s="19"/>
      <c r="P30" s="19"/>
      <c r="Q30" s="19"/>
      <c r="R30" s="19"/>
      <c r="S30" s="19"/>
      <c r="T30" s="2"/>
      <c r="U30" s="2"/>
    </row>
    <row r="31" spans="1:21" ht="19.5" x14ac:dyDescent="0.35">
      <c r="A31" s="47" t="s">
        <v>124</v>
      </c>
      <c r="B31" s="221"/>
      <c r="C31" s="44" t="str">
        <f>IF(C32&lt;0.1,"",CONCATENATE(ROUND(C32,0)," ",C33))</f>
        <v/>
      </c>
      <c r="D31" s="159" t="str">
        <f>IF(ISERROR(D13&gt;1.3*B18),"TBW",IF(D13&gt;1.3*B18,"AdjBW","TBW"))</f>
        <v>TBW</v>
      </c>
      <c r="E31" s="9"/>
      <c r="F31" s="9"/>
      <c r="G31" s="9"/>
      <c r="H31" s="144"/>
      <c r="I31" s="146"/>
      <c r="J31" s="145"/>
      <c r="K31" s="145"/>
      <c r="L31" s="145"/>
      <c r="M31" s="145"/>
      <c r="N31" s="145"/>
      <c r="O31" s="19"/>
      <c r="P31" s="19"/>
      <c r="Q31" s="19"/>
      <c r="R31" s="19"/>
      <c r="S31" s="19"/>
      <c r="T31" s="2"/>
      <c r="U31" s="2"/>
    </row>
    <row r="32" spans="1:21" ht="18" hidden="1" x14ac:dyDescent="0.25">
      <c r="A32" s="47"/>
      <c r="B32" s="51" t="s">
        <v>152</v>
      </c>
      <c r="C32" s="53">
        <f>IF(B31="TBW",B24,IF(B31="AdjBW",B25,IF(B31="IBW",B26,B47)))</f>
        <v>0</v>
      </c>
      <c r="D32" s="9"/>
      <c r="E32" s="9"/>
      <c r="F32" s="9"/>
      <c r="G32" s="9"/>
      <c r="H32" s="14"/>
      <c r="I32" s="122"/>
      <c r="J32" s="137"/>
      <c r="K32" s="137"/>
      <c r="L32" s="137"/>
      <c r="M32" s="137"/>
      <c r="N32" s="137"/>
      <c r="O32" s="2"/>
      <c r="P32" s="2"/>
      <c r="Q32" s="2"/>
      <c r="R32" s="2"/>
      <c r="S32" s="2"/>
      <c r="T32" s="2"/>
      <c r="U32" s="2"/>
    </row>
    <row r="33" spans="1:21" ht="18" hidden="1" x14ac:dyDescent="0.25">
      <c r="A33" s="47"/>
      <c r="B33" s="51" t="s">
        <v>49</v>
      </c>
      <c r="C33" s="44" t="s">
        <v>1</v>
      </c>
      <c r="D33" s="9"/>
      <c r="E33" s="9"/>
      <c r="F33" s="9"/>
      <c r="G33" s="9"/>
      <c r="H33" s="14"/>
      <c r="I33" s="122"/>
      <c r="J33" s="137"/>
      <c r="K33" s="137"/>
      <c r="L33" s="137"/>
      <c r="M33" s="137"/>
      <c r="N33" s="137"/>
      <c r="O33" s="2"/>
      <c r="P33" s="2"/>
      <c r="Q33" s="2"/>
      <c r="R33" s="2"/>
      <c r="S33" s="2"/>
      <c r="T33" s="2"/>
      <c r="U33" s="2"/>
    </row>
    <row r="34" spans="1:21" ht="18" hidden="1" x14ac:dyDescent="0.25">
      <c r="A34" s="47"/>
      <c r="B34" s="51" t="s">
        <v>42</v>
      </c>
      <c r="C34" s="44"/>
      <c r="D34" s="9"/>
      <c r="E34" s="9"/>
      <c r="F34" s="9"/>
      <c r="G34" s="9"/>
      <c r="H34" s="14"/>
      <c r="I34" s="122"/>
      <c r="J34" s="137"/>
      <c r="K34" s="137"/>
      <c r="L34" s="137"/>
      <c r="M34" s="137"/>
      <c r="N34" s="137"/>
      <c r="O34" s="2"/>
      <c r="P34" s="2"/>
      <c r="Q34" s="2"/>
      <c r="R34" s="2"/>
      <c r="S34" s="2"/>
      <c r="T34" s="2"/>
      <c r="U34" s="2"/>
    </row>
    <row r="35" spans="1:21" ht="18" hidden="1" x14ac:dyDescent="0.25">
      <c r="A35" s="47"/>
      <c r="B35" s="51" t="s">
        <v>51</v>
      </c>
      <c r="C35" s="44"/>
      <c r="D35" s="9"/>
      <c r="E35" s="9"/>
      <c r="F35" s="9"/>
      <c r="G35" s="9"/>
      <c r="H35" s="14"/>
      <c r="I35" s="122"/>
      <c r="J35" s="137"/>
      <c r="K35" s="137"/>
      <c r="L35" s="137"/>
      <c r="M35" s="137"/>
      <c r="N35" s="137"/>
      <c r="O35" s="2"/>
      <c r="P35" s="2"/>
      <c r="Q35" s="2"/>
      <c r="R35" s="2"/>
      <c r="S35" s="2"/>
      <c r="T35" s="2"/>
      <c r="U35" s="2"/>
    </row>
    <row r="36" spans="1:21" ht="18" x14ac:dyDescent="0.25">
      <c r="A36" s="47" t="s">
        <v>125</v>
      </c>
      <c r="B36" s="51" t="s">
        <v>152</v>
      </c>
      <c r="C36" s="44" t="str">
        <f>CONCATENATE(ROUND(C37,0)," ",C38)</f>
        <v>0 kg</v>
      </c>
      <c r="D36" s="241"/>
      <c r="E36" s="9"/>
      <c r="F36" s="9"/>
      <c r="G36" s="9"/>
      <c r="H36" s="14"/>
      <c r="I36" s="122"/>
      <c r="J36" s="137"/>
      <c r="K36" s="137"/>
      <c r="L36" s="137"/>
      <c r="M36" s="137"/>
      <c r="N36" s="137"/>
      <c r="O36" s="2"/>
      <c r="P36" s="2"/>
      <c r="Q36" s="2"/>
      <c r="R36" s="2"/>
      <c r="S36" s="2"/>
      <c r="T36" s="2"/>
      <c r="U36" s="2"/>
    </row>
    <row r="37" spans="1:21" ht="18" hidden="1" x14ac:dyDescent="0.25">
      <c r="A37" s="47"/>
      <c r="B37" s="51" t="s">
        <v>152</v>
      </c>
      <c r="C37" s="44">
        <f>IF(B36="TBW",D13,IF(B36="AdjBW",B20,IF(B36="IBW",B18,B48)))</f>
        <v>0</v>
      </c>
      <c r="D37" s="9"/>
      <c r="E37" s="9"/>
      <c r="F37" s="9"/>
      <c r="G37" s="9"/>
      <c r="H37" s="14"/>
      <c r="I37" s="122"/>
      <c r="J37" s="137"/>
      <c r="K37" s="137"/>
      <c r="L37" s="137"/>
      <c r="M37" s="137"/>
      <c r="N37" s="137"/>
      <c r="O37" s="2"/>
      <c r="P37" s="2"/>
      <c r="Q37" s="2"/>
      <c r="R37" s="2"/>
      <c r="S37" s="2"/>
      <c r="T37" s="2"/>
      <c r="U37" s="2"/>
    </row>
    <row r="38" spans="1:21" ht="18" hidden="1" x14ac:dyDescent="0.25">
      <c r="A38" s="47"/>
      <c r="B38" s="51" t="s">
        <v>49</v>
      </c>
      <c r="C38" s="44" t="s">
        <v>0</v>
      </c>
      <c r="D38" s="9"/>
      <c r="E38" s="9"/>
      <c r="F38" s="9"/>
      <c r="G38" s="9"/>
      <c r="H38" s="14"/>
      <c r="I38" s="122"/>
      <c r="J38" s="137"/>
      <c r="K38" s="137"/>
      <c r="L38" s="137"/>
      <c r="M38" s="137"/>
      <c r="N38" s="137"/>
      <c r="O38" s="2"/>
      <c r="P38" s="2"/>
      <c r="Q38" s="2"/>
      <c r="R38" s="2"/>
      <c r="S38" s="2"/>
      <c r="T38" s="2"/>
      <c r="U38" s="2"/>
    </row>
    <row r="39" spans="1:21" ht="18" hidden="1" x14ac:dyDescent="0.25">
      <c r="A39" s="47"/>
      <c r="B39" s="51" t="s">
        <v>50</v>
      </c>
      <c r="C39" s="44"/>
      <c r="D39" s="9"/>
      <c r="E39" s="9"/>
      <c r="F39" s="9"/>
      <c r="G39" s="9"/>
      <c r="H39" s="14"/>
      <c r="I39" s="122"/>
      <c r="J39" s="137"/>
      <c r="K39" s="137"/>
      <c r="L39" s="137"/>
      <c r="M39" s="137"/>
      <c r="N39" s="137"/>
      <c r="O39" s="2"/>
      <c r="P39" s="2"/>
      <c r="Q39" s="2"/>
      <c r="R39" s="2"/>
      <c r="S39" s="2"/>
      <c r="T39" s="2"/>
      <c r="U39" s="2"/>
    </row>
    <row r="40" spans="1:21" ht="18" hidden="1" x14ac:dyDescent="0.25">
      <c r="A40" s="47"/>
      <c r="B40" s="51"/>
      <c r="C40" s="44"/>
      <c r="D40" s="9"/>
      <c r="E40" s="9"/>
      <c r="F40" s="9"/>
      <c r="G40" s="9"/>
      <c r="H40" s="14"/>
      <c r="I40" s="122"/>
      <c r="J40" s="137"/>
      <c r="K40" s="137"/>
      <c r="L40" s="137"/>
      <c r="M40" s="137"/>
      <c r="N40" s="137"/>
      <c r="O40" s="2"/>
      <c r="P40" s="2"/>
      <c r="Q40" s="2"/>
      <c r="R40" s="2"/>
      <c r="S40" s="2"/>
      <c r="T40" s="2"/>
      <c r="U40" s="2"/>
    </row>
    <row r="41" spans="1:21" ht="18" x14ac:dyDescent="0.25">
      <c r="A41" s="47" t="s">
        <v>9</v>
      </c>
      <c r="B41" s="48">
        <v>0.65</v>
      </c>
      <c r="C41" s="44" t="s">
        <v>2</v>
      </c>
      <c r="D41" s="143" t="s">
        <v>60</v>
      </c>
      <c r="E41" s="9"/>
      <c r="F41" s="9"/>
      <c r="G41" s="9"/>
      <c r="H41" s="14"/>
      <c r="I41" s="122"/>
      <c r="J41" s="137"/>
      <c r="K41" s="137"/>
      <c r="L41" s="137"/>
      <c r="M41" s="137"/>
      <c r="N41" s="137"/>
      <c r="O41" s="2"/>
      <c r="P41" s="2"/>
      <c r="Q41" s="2"/>
      <c r="R41" s="2"/>
      <c r="S41" s="2"/>
      <c r="T41" s="2"/>
      <c r="U41" s="2"/>
    </row>
    <row r="42" spans="1:21" ht="18" hidden="1" x14ac:dyDescent="0.25">
      <c r="A42" s="47"/>
      <c r="B42" s="48"/>
      <c r="C42" s="44">
        <f>B41*C37</f>
        <v>0</v>
      </c>
      <c r="D42" s="9"/>
      <c r="E42" s="9"/>
      <c r="F42" s="9"/>
      <c r="G42" s="9"/>
      <c r="H42" s="14"/>
      <c r="I42" s="122"/>
      <c r="J42" s="137"/>
      <c r="K42" s="137"/>
      <c r="L42" s="137"/>
      <c r="M42" s="137"/>
      <c r="N42" s="137"/>
      <c r="O42" s="2"/>
      <c r="P42" s="2"/>
      <c r="Q42" s="2"/>
      <c r="R42" s="2"/>
      <c r="S42" s="2"/>
      <c r="T42" s="2"/>
      <c r="U42" s="2"/>
    </row>
    <row r="43" spans="1:21" ht="18.75" customHeight="1" x14ac:dyDescent="0.35">
      <c r="A43" s="47" t="s">
        <v>91</v>
      </c>
      <c r="B43" s="165"/>
      <c r="C43" s="44" t="str">
        <f>IF(B43="","",CONCATENATE(ROUND(C44,3)," ",C45))</f>
        <v/>
      </c>
      <c r="D43" s="273" t="str">
        <f>IF(B43=B44,I28,IF(B43=B45,I29,IF(B43=B46,I30,"")))</f>
        <v/>
      </c>
      <c r="E43" s="285"/>
      <c r="F43" s="285"/>
      <c r="G43" s="285"/>
      <c r="H43" s="285"/>
      <c r="I43" s="119"/>
      <c r="J43" s="3"/>
      <c r="K43" s="3"/>
      <c r="L43" s="3"/>
      <c r="M43" s="3"/>
      <c r="N43" s="3"/>
      <c r="O43" s="2"/>
      <c r="P43" s="2"/>
      <c r="Q43" s="2"/>
      <c r="R43" s="2"/>
      <c r="S43" s="2"/>
      <c r="T43" s="2"/>
      <c r="U43" s="2"/>
    </row>
    <row r="44" spans="1:21" ht="15.75" hidden="1" customHeight="1" x14ac:dyDescent="0.25">
      <c r="A44" s="47"/>
      <c r="B44" s="48" t="s">
        <v>55</v>
      </c>
      <c r="C44" s="44" t="str">
        <f>IF(B43=B44,C32*0.0016,IF(B43=B45,C32*0.00083+0.0044,IF(B43=B46,C32/C42*60/1000,"")))</f>
        <v/>
      </c>
      <c r="D44" s="273"/>
      <c r="E44" s="285"/>
      <c r="F44" s="285"/>
      <c r="G44" s="285"/>
      <c r="H44" s="285"/>
      <c r="I44" s="119"/>
      <c r="J44" s="3"/>
      <c r="K44" s="3"/>
      <c r="L44" s="3"/>
      <c r="M44" s="3"/>
      <c r="N44" s="3"/>
      <c r="O44" s="2"/>
      <c r="P44" s="2"/>
      <c r="Q44" s="2"/>
      <c r="R44" s="2"/>
      <c r="S44" s="2"/>
      <c r="T44" s="2"/>
      <c r="U44" s="2"/>
    </row>
    <row r="45" spans="1:21" ht="18" hidden="1" customHeight="1" x14ac:dyDescent="0.25">
      <c r="A45" s="47"/>
      <c r="B45" s="48" t="s">
        <v>56</v>
      </c>
      <c r="C45" s="44" t="s">
        <v>92</v>
      </c>
      <c r="D45" s="273"/>
      <c r="E45" s="285"/>
      <c r="F45" s="285"/>
      <c r="G45" s="285"/>
      <c r="H45" s="285"/>
      <c r="I45" s="119"/>
      <c r="J45" s="3"/>
      <c r="K45" s="3"/>
      <c r="L45" s="3"/>
      <c r="M45" s="3"/>
      <c r="N45" s="3"/>
      <c r="O45" s="2"/>
      <c r="P45" s="2"/>
      <c r="Q45" s="2"/>
      <c r="R45" s="2"/>
      <c r="S45" s="2"/>
      <c r="T45" s="2"/>
      <c r="U45" s="2"/>
    </row>
    <row r="46" spans="1:21" ht="15.75" hidden="1" customHeight="1" x14ac:dyDescent="0.25">
      <c r="A46" s="47"/>
      <c r="B46" s="48" t="s">
        <v>57</v>
      </c>
      <c r="C46" s="44"/>
      <c r="D46" s="273"/>
      <c r="E46" s="285"/>
      <c r="F46" s="285"/>
      <c r="G46" s="285"/>
      <c r="H46" s="285"/>
      <c r="I46" s="119"/>
      <c r="J46" s="3"/>
      <c r="K46" s="3"/>
      <c r="L46" s="3"/>
      <c r="M46" s="3"/>
      <c r="N46" s="3"/>
      <c r="O46" s="2"/>
      <c r="P46" s="2"/>
      <c r="Q46" s="2"/>
      <c r="R46" s="2"/>
      <c r="S46" s="2"/>
      <c r="T46" s="2"/>
      <c r="U46" s="2"/>
    </row>
    <row r="47" spans="1:21" ht="15.75" x14ac:dyDescent="0.25">
      <c r="A47" s="47" t="s">
        <v>46</v>
      </c>
      <c r="B47" s="48"/>
      <c r="C47" s="44" t="s">
        <v>1</v>
      </c>
      <c r="D47" s="273"/>
      <c r="E47" s="285"/>
      <c r="F47" s="285"/>
      <c r="G47" s="285"/>
      <c r="H47" s="285"/>
      <c r="I47" s="119"/>
      <c r="J47" s="3"/>
      <c r="K47" s="3"/>
      <c r="L47" s="3"/>
      <c r="M47" s="3"/>
      <c r="N47" s="3"/>
      <c r="O47" s="2"/>
      <c r="P47" s="2"/>
      <c r="Q47" s="2"/>
      <c r="R47" s="2"/>
      <c r="S47" s="2"/>
      <c r="T47" s="2"/>
      <c r="U47" s="2"/>
    </row>
    <row r="48" spans="1:21" ht="15.75" x14ac:dyDescent="0.25">
      <c r="A48" s="47" t="s">
        <v>47</v>
      </c>
      <c r="B48" s="48"/>
      <c r="C48" s="44" t="s">
        <v>0</v>
      </c>
      <c r="D48" s="118"/>
      <c r="E48" s="119"/>
      <c r="F48" s="119"/>
      <c r="G48" s="119"/>
      <c r="H48" s="119"/>
      <c r="I48" s="119"/>
      <c r="J48" s="3"/>
      <c r="K48" s="3"/>
      <c r="L48" s="3"/>
      <c r="M48" s="3"/>
      <c r="N48" s="3"/>
      <c r="O48" s="2"/>
      <c r="P48" s="2"/>
      <c r="Q48" s="2"/>
      <c r="R48" s="2"/>
      <c r="S48" s="2"/>
      <c r="T48" s="2"/>
      <c r="U48" s="2"/>
    </row>
    <row r="49" spans="1:21" ht="15.75" x14ac:dyDescent="0.25">
      <c r="A49" s="47" t="s">
        <v>48</v>
      </c>
      <c r="B49" s="48">
        <v>1</v>
      </c>
      <c r="C49" s="44" t="s">
        <v>58</v>
      </c>
      <c r="D49" s="118"/>
      <c r="E49" s="119"/>
      <c r="F49" s="119"/>
      <c r="G49" s="119"/>
      <c r="H49" s="119"/>
      <c r="I49" s="119"/>
      <c r="J49" s="3"/>
      <c r="K49" s="3"/>
      <c r="L49" s="3"/>
      <c r="M49" s="3"/>
      <c r="N49" s="3"/>
      <c r="O49" s="2"/>
      <c r="P49" s="2"/>
      <c r="Q49" s="2"/>
      <c r="R49" s="2"/>
      <c r="S49" s="2"/>
      <c r="T49" s="2"/>
      <c r="U49" s="2"/>
    </row>
    <row r="50" spans="1:21" ht="15.75" customHeight="1" x14ac:dyDescent="0.3">
      <c r="A50" s="61" t="s">
        <v>93</v>
      </c>
      <c r="B50" s="5" t="str">
        <f>IF(B13="","",B41*C37)</f>
        <v/>
      </c>
      <c r="C50" s="2" t="s">
        <v>5</v>
      </c>
      <c r="D50" s="77" t="str">
        <f>CONCATENATE(C36, " * ",B41," ",C41)</f>
        <v>0 kg * 0.65 L/kg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 ht="15.75" customHeight="1" x14ac:dyDescent="0.3">
      <c r="A51" s="61" t="s">
        <v>94</v>
      </c>
      <c r="B51" s="6" t="str">
        <f>IF(B13="","",C44)</f>
        <v/>
      </c>
      <c r="C51" s="3" t="s">
        <v>59</v>
      </c>
      <c r="D51" s="78" t="str">
        <f>CONCATENATE("CrCl = ",C31,"   Ke = ",B43)</f>
        <v xml:space="preserve">CrCl =    Ke = 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 ht="15.75" customHeight="1" x14ac:dyDescent="0.3">
      <c r="A52" s="61" t="s">
        <v>95</v>
      </c>
      <c r="B52" s="5" t="str">
        <f>IF(B13="","",0.693/B51)</f>
        <v/>
      </c>
      <c r="C52" s="2" t="s">
        <v>58</v>
      </c>
      <c r="D52" s="77" t="e">
        <f>CONCATENATE("ln(2)/",ROUND(B51,3))</f>
        <v>#VALUE!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 ht="15.75" hidden="1" customHeight="1" x14ac:dyDescent="0.2">
      <c r="A53" s="61" t="s">
        <v>96</v>
      </c>
      <c r="B53" s="4" t="str">
        <f>IF(B13="","",B28*C44*C42)</f>
        <v/>
      </c>
      <c r="C53" s="2" t="s">
        <v>4</v>
      </c>
      <c r="D53" s="77" t="e">
        <f>CONCATENATE("(Desired AUC)*(Ke)*(Vd)  = ",B28," * ",ROUND(B51,3)," * ",B50)</f>
        <v>#VALUE!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1:21" ht="15.75" customHeight="1" x14ac:dyDescent="0.25">
      <c r="A54" s="62" t="s">
        <v>71</v>
      </c>
      <c r="B54" s="17" t="str">
        <f>IF(B13="","",B53/(24/B55))</f>
        <v/>
      </c>
      <c r="C54" s="3" t="s">
        <v>4</v>
      </c>
      <c r="D54" s="78" t="s">
        <v>109</v>
      </c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 ht="15.75" customHeight="1" thickBot="1" x14ac:dyDescent="0.3">
      <c r="A55" s="64" t="s">
        <v>70</v>
      </c>
      <c r="B55" s="65" t="str">
        <f>IF(B13="","",(LN(B30/B29)/-C44)+B49)</f>
        <v/>
      </c>
      <c r="C55" s="63" t="s">
        <v>58</v>
      </c>
      <c r="D55" s="79" t="s">
        <v>110</v>
      </c>
      <c r="E55" s="63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 ht="6.75" customHeight="1" thickTop="1" x14ac:dyDescent="0.2">
      <c r="A56" s="62"/>
      <c r="B56" s="17"/>
      <c r="C56" s="3"/>
      <c r="D56" s="13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 ht="18" x14ac:dyDescent="0.25">
      <c r="A57" s="233" t="s">
        <v>38</v>
      </c>
      <c r="B57" s="128" t="e">
        <f>R90</f>
        <v>#DIV/0!</v>
      </c>
      <c r="C57" s="2" t="s">
        <v>4</v>
      </c>
      <c r="D57" s="2" t="e">
        <f>CONCATENATE("Next best match: ",R89,"mg IV every ",S89,"h")</f>
        <v>#DIV/0!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 ht="18" customHeight="1" x14ac:dyDescent="0.25">
      <c r="A58" s="233" t="s">
        <v>188</v>
      </c>
      <c r="B58" s="128" t="e">
        <f>S90</f>
        <v>#DIV/0!</v>
      </c>
      <c r="C58" s="2" t="s">
        <v>58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 ht="16.5" customHeight="1" x14ac:dyDescent="0.25">
      <c r="A59" s="233" t="s">
        <v>48</v>
      </c>
      <c r="B59" s="148" t="e">
        <f>IF(B57&lt;750,0.5,IF(B57&lt;1125,1,IF(B57&lt;1625,1.5,IF(B57&lt;2225,2,IF(B57&lt;2725,2.5,"Enter time")))))</f>
        <v>#DIV/0!</v>
      </c>
      <c r="C59" s="2" t="s">
        <v>58</v>
      </c>
      <c r="D59" s="2"/>
      <c r="E59" s="2"/>
      <c r="F59" s="184"/>
      <c r="G59" s="184"/>
      <c r="H59" s="184"/>
      <c r="I59" s="184"/>
      <c r="J59" s="184"/>
      <c r="K59" s="184"/>
      <c r="L59" s="184"/>
      <c r="M59" s="2"/>
      <c r="N59" s="2"/>
      <c r="O59" s="2"/>
      <c r="P59" s="2"/>
      <c r="Q59" s="2"/>
      <c r="R59" s="2"/>
      <c r="S59" s="2"/>
      <c r="T59" s="2"/>
      <c r="U59" s="2"/>
    </row>
    <row r="60" spans="1:21" ht="15.75" customHeight="1" x14ac:dyDescent="0.2">
      <c r="A60" s="233" t="s">
        <v>202</v>
      </c>
      <c r="B60" s="5" t="e">
        <f>B57*24/B58/C44/C42</f>
        <v>#DIV/0!</v>
      </c>
      <c r="C60" s="2" t="s">
        <v>18</v>
      </c>
      <c r="D60" s="2"/>
      <c r="E60" s="19" t="e">
        <f>B53/(24/B58)</f>
        <v>#VALUE!</v>
      </c>
      <c r="F60" s="184"/>
      <c r="G60" s="184"/>
      <c r="H60" s="184"/>
      <c r="I60" s="184"/>
      <c r="J60" s="184"/>
      <c r="K60" s="184"/>
      <c r="L60" s="184"/>
      <c r="M60" s="2"/>
      <c r="N60" s="2"/>
      <c r="O60" s="2"/>
      <c r="P60" s="2"/>
      <c r="Q60" s="2"/>
      <c r="R60" s="2"/>
      <c r="S60" s="2"/>
      <c r="T60" s="2"/>
      <c r="U60" s="2"/>
    </row>
    <row r="61" spans="1:21" ht="15.75" customHeight="1" x14ac:dyDescent="0.2">
      <c r="A61" s="233" t="s">
        <v>200</v>
      </c>
      <c r="B61" s="5" t="e">
        <f>D61/(1-EXP(-B51*B58))</f>
        <v>#DIV/0!</v>
      </c>
      <c r="C61" s="2" t="s">
        <v>8</v>
      </c>
      <c r="D61" s="19" t="e">
        <f>B57/B50</f>
        <v>#DIV/0!</v>
      </c>
      <c r="E61" s="2"/>
      <c r="F61" s="184"/>
      <c r="G61" s="184"/>
      <c r="H61" s="184"/>
      <c r="I61" s="184"/>
      <c r="J61" s="184"/>
      <c r="K61" s="184"/>
      <c r="L61" s="184"/>
      <c r="M61" s="2"/>
      <c r="N61" s="2"/>
      <c r="O61" s="2"/>
      <c r="P61" s="2"/>
      <c r="Q61" s="2"/>
      <c r="R61" s="2"/>
      <c r="S61" s="2"/>
      <c r="T61" s="2"/>
      <c r="U61" s="2"/>
    </row>
    <row r="62" spans="1:21" ht="15.75" customHeight="1" x14ac:dyDescent="0.2">
      <c r="A62" s="233" t="s">
        <v>201</v>
      </c>
      <c r="B62" s="5" t="e">
        <f>B61*EXP(-C44*(B58-B59))</f>
        <v>#DIV/0!</v>
      </c>
      <c r="C62" s="2" t="s">
        <v>8</v>
      </c>
      <c r="D62" s="2"/>
      <c r="E62" s="2"/>
      <c r="F62" s="184"/>
      <c r="G62" s="184"/>
      <c r="H62" s="184"/>
      <c r="I62" s="184"/>
      <c r="J62" s="184"/>
      <c r="K62" s="184"/>
      <c r="L62" s="184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2">
      <c r="A63" s="10"/>
      <c r="B63" s="11"/>
      <c r="C63" s="12"/>
      <c r="D63" s="2"/>
      <c r="E63" s="2"/>
      <c r="F63" s="2"/>
      <c r="G63" s="2"/>
      <c r="H63" s="184"/>
      <c r="I63" s="184"/>
      <c r="J63" s="184"/>
      <c r="K63" s="184"/>
      <c r="L63" s="184"/>
      <c r="M63" s="184"/>
      <c r="N63" s="184"/>
      <c r="O63" s="2"/>
      <c r="P63" s="2"/>
      <c r="Q63" s="2"/>
      <c r="R63" s="2"/>
      <c r="S63" s="2"/>
      <c r="T63" s="2"/>
      <c r="U63" s="2"/>
    </row>
    <row r="64" spans="1:21" ht="22.5" x14ac:dyDescent="0.3">
      <c r="A64" s="7" t="str">
        <f>IF(B13&gt;0,CONCATENATE("Graph of ",B57," mg IV over ",B59," hour(s) every ", B58," hours (May require click)"),"")</f>
        <v/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ht="18" x14ac:dyDescent="0.25">
      <c r="A86" s="280"/>
      <c r="B86" s="280"/>
      <c r="C86" s="280"/>
      <c r="D86" s="280"/>
      <c r="E86" s="280"/>
      <c r="F86" s="280"/>
      <c r="G86" s="280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ht="12.75" customHeight="1" x14ac:dyDescent="0.2">
      <c r="A87" s="284"/>
      <c r="B87" s="284"/>
      <c r="C87" s="284"/>
      <c r="D87" s="284"/>
      <c r="E87" s="284"/>
      <c r="F87" s="284"/>
      <c r="G87" s="284"/>
      <c r="H87" s="254"/>
      <c r="I87" s="254"/>
      <c r="J87" s="254"/>
      <c r="K87" s="254"/>
      <c r="L87" s="254"/>
      <c r="M87" s="254"/>
      <c r="N87" s="254"/>
      <c r="O87" s="254"/>
      <c r="P87" s="254"/>
      <c r="Q87" s="254"/>
      <c r="R87" s="254"/>
      <c r="S87" s="254"/>
      <c r="T87" s="254"/>
      <c r="U87" s="254"/>
    </row>
    <row r="88" spans="1:21" x14ac:dyDescent="0.2">
      <c r="A88" s="284"/>
      <c r="B88" s="284"/>
      <c r="C88" s="284"/>
      <c r="D88" s="284"/>
      <c r="E88" s="284"/>
      <c r="F88" s="284"/>
      <c r="G88" s="284"/>
      <c r="H88" s="254"/>
      <c r="I88" s="254"/>
      <c r="J88" s="254"/>
      <c r="K88" s="254"/>
      <c r="L88" s="254"/>
      <c r="M88" s="254"/>
      <c r="N88" s="254"/>
      <c r="O88" s="254"/>
      <c r="P88" s="254"/>
      <c r="Q88" s="254"/>
      <c r="R88" s="254"/>
      <c r="S88" s="254"/>
      <c r="T88" s="254"/>
      <c r="U88" s="254"/>
    </row>
    <row r="89" spans="1:21" x14ac:dyDescent="0.2">
      <c r="A89" s="284"/>
      <c r="B89" s="284"/>
      <c r="C89" s="284"/>
      <c r="D89" s="284"/>
      <c r="E89" s="284"/>
      <c r="F89" s="284"/>
      <c r="G89" s="284"/>
      <c r="H89" s="254"/>
      <c r="I89" s="254"/>
      <c r="J89" s="254"/>
      <c r="K89" s="254"/>
      <c r="L89" s="254"/>
      <c r="M89" s="254"/>
      <c r="N89" s="254"/>
      <c r="O89" s="254"/>
      <c r="P89" s="254"/>
      <c r="Q89" s="254"/>
      <c r="R89" s="254" t="e">
        <f>VLOOKUP(S92,R93:T137,2,FALSE)</f>
        <v>#DIV/0!</v>
      </c>
      <c r="S89" s="254" t="e">
        <f>VLOOKUP(S92,R93:T137,3,FALSE)</f>
        <v>#DIV/0!</v>
      </c>
      <c r="T89" s="254"/>
      <c r="U89" s="254"/>
    </row>
    <row r="90" spans="1:21" x14ac:dyDescent="0.2">
      <c r="A90" s="254"/>
      <c r="B90" s="254"/>
      <c r="C90" s="254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 t="e">
        <f>VLOOKUP(R92,R93:T137,2,FALSE)</f>
        <v>#DIV/0!</v>
      </c>
      <c r="S90" s="254" t="e">
        <f>VLOOKUP(R92,R93:T137,3,FALSE)</f>
        <v>#DIV/0!</v>
      </c>
      <c r="T90" s="254"/>
      <c r="U90" s="254"/>
    </row>
    <row r="91" spans="1:21" x14ac:dyDescent="0.2">
      <c r="A91" s="254"/>
      <c r="B91" s="254"/>
      <c r="C91" s="254"/>
      <c r="D91" s="254"/>
      <c r="E91" s="254"/>
      <c r="F91" s="254"/>
      <c r="G91" s="254" t="e">
        <f>CONCATENATE("Patient is a ",B3," year old ", B4," on empiric vancomycin therapy for [insert diagnosis]. Current SCr = ",B7," mg/dL. Using a desired AUC of ",B28, " mcg*h/mL, a desired Cmax of ",B29, " and Cmin of ",B30," a calculated dose of ",ROUND(B54,1)," mg every ",ROUND(B55,1)," hours is calculated (total daily dose = Desired AUC*calculated Ke*calculated Vd;interval determined by natural log trough/peak divided by -Ke plus the infusion time). Will start patient on ",B57," mg every ",B58," hours to conform to traditional dosages and dosing intervals. Predicted Cmax =",ROUND(B61,1)," Cmin = ",ROUND(B62,1))</f>
        <v>#VALUE!</v>
      </c>
      <c r="H91" s="254"/>
      <c r="I91" s="247"/>
      <c r="J91" s="247"/>
      <c r="K91" s="247"/>
      <c r="L91" s="247"/>
      <c r="M91" s="247"/>
      <c r="N91" s="247"/>
      <c r="O91" s="247"/>
      <c r="P91" s="247"/>
      <c r="Q91" s="247"/>
      <c r="R91" s="247" t="s">
        <v>192</v>
      </c>
      <c r="S91" s="247" t="s">
        <v>193</v>
      </c>
      <c r="T91" s="247"/>
      <c r="U91" s="254"/>
    </row>
    <row r="92" spans="1:21" x14ac:dyDescent="0.2">
      <c r="A92" s="254"/>
      <c r="B92" s="254"/>
      <c r="C92" s="254"/>
      <c r="D92" s="254"/>
      <c r="E92" s="254"/>
      <c r="F92" s="254"/>
      <c r="G92" s="254"/>
      <c r="H92" s="254"/>
      <c r="I92" s="247" t="s">
        <v>191</v>
      </c>
      <c r="J92" s="250" t="s">
        <v>38</v>
      </c>
      <c r="K92" s="250" t="s">
        <v>184</v>
      </c>
      <c r="L92" s="250" t="s">
        <v>185</v>
      </c>
      <c r="M92" s="250" t="s">
        <v>186</v>
      </c>
      <c r="N92" s="250" t="s">
        <v>187</v>
      </c>
      <c r="O92" s="247"/>
      <c r="P92" s="247"/>
      <c r="Q92" s="247"/>
      <c r="R92" s="247" t="e">
        <f>MIN(R93:R137)</f>
        <v>#DIV/0!</v>
      </c>
      <c r="S92" s="247" t="e">
        <f>SMALL(R93:R137,2)</f>
        <v>#DIV/0!</v>
      </c>
      <c r="T92" s="247"/>
      <c r="U92" s="254"/>
    </row>
    <row r="93" spans="1:21" x14ac:dyDescent="0.2">
      <c r="A93" s="254"/>
      <c r="B93" s="254"/>
      <c r="C93" s="254" t="s">
        <v>67</v>
      </c>
      <c r="D93" s="254" t="s">
        <v>68</v>
      </c>
      <c r="E93" s="254" t="s">
        <v>69</v>
      </c>
      <c r="F93" s="254" t="s">
        <v>189</v>
      </c>
      <c r="G93" s="254" t="s">
        <v>194</v>
      </c>
      <c r="H93" s="254">
        <f>IF(J93&lt;750,0.5,IF(J93&lt;1125,1,IF(J93&lt;1625,1.5,IF(J93&lt;2225,2,IF(J93&lt;2725,2.5,"Enter time")))))</f>
        <v>0.5</v>
      </c>
      <c r="I93" s="247">
        <f t="shared" ref="I93:I137" si="0">J93*24/K93</f>
        <v>250</v>
      </c>
      <c r="J93" s="249">
        <v>500</v>
      </c>
      <c r="K93" s="247">
        <v>48</v>
      </c>
      <c r="L93" s="247" t="e">
        <f>J93/$C$42/(1-EXP(-$B$51*K93))</f>
        <v>#DIV/0!</v>
      </c>
      <c r="M93" s="247" t="e">
        <f>L93*EXP(-$B$51*(K93-H93))</f>
        <v>#DIV/0!</v>
      </c>
      <c r="N93" s="247" t="e">
        <f>J93*24/K93/$B$51/$C$42</f>
        <v>#VALUE!</v>
      </c>
      <c r="O93" s="247" t="e">
        <f>((L93-$B$29)^2)/$B$29</f>
        <v>#DIV/0!</v>
      </c>
      <c r="P93" s="247" t="e">
        <f>((M93-$B$30)^2)/$B$30</f>
        <v>#DIV/0!</v>
      </c>
      <c r="Q93" s="247" t="e">
        <f>((N93-$B$28)^2)/$B$28</f>
        <v>#VALUE!</v>
      </c>
      <c r="R93" s="251" t="e">
        <f>(O93+P93+Q93)</f>
        <v>#DIV/0!</v>
      </c>
      <c r="S93" s="249">
        <v>500</v>
      </c>
      <c r="T93" s="247">
        <v>48</v>
      </c>
      <c r="U93" s="254"/>
    </row>
    <row r="94" spans="1:21" x14ac:dyDescent="0.2">
      <c r="A94" s="254">
        <v>-1</v>
      </c>
      <c r="B94" s="255" t="e">
        <f>IF($B$58=8,C94,IF($B$58=12,D94,IF($B$58=24,E94,"")))</f>
        <v>#DIV/0!</v>
      </c>
      <c r="C94" s="254">
        <v>0</v>
      </c>
      <c r="D94" s="254">
        <v>0</v>
      </c>
      <c r="E94" s="254">
        <v>0</v>
      </c>
      <c r="F94" s="254">
        <v>0</v>
      </c>
      <c r="G94" s="254">
        <v>0</v>
      </c>
      <c r="H94" s="254">
        <f t="shared" ref="H94:H137" si="1">IF(J94&lt;750,0.5,IF(J94&lt;1125,1,IF(J94&lt;1625,1.5,IF(J94&lt;2225,2,IF(J94&lt;2725,2.5,"Enter time")))))</f>
        <v>0.5</v>
      </c>
      <c r="I94" s="247">
        <f t="shared" si="0"/>
        <v>333.33333333333331</v>
      </c>
      <c r="J94" s="249">
        <v>500</v>
      </c>
      <c r="K94" s="247">
        <v>36</v>
      </c>
      <c r="L94" s="247" t="e">
        <f t="shared" ref="L94:L137" si="2">J94/$C$42/(1-EXP(-$B$51*K94))</f>
        <v>#DIV/0!</v>
      </c>
      <c r="M94" s="247" t="e">
        <f t="shared" ref="M94:M137" si="3">L94*EXP(-$B$51*(K94-H94))</f>
        <v>#DIV/0!</v>
      </c>
      <c r="N94" s="247" t="e">
        <f t="shared" ref="N94:N137" si="4">J94*24/K94/$B$51/$C$42</f>
        <v>#VALUE!</v>
      </c>
      <c r="O94" s="247" t="e">
        <f t="shared" ref="O94:O137" si="5">((L94-$B$29)^2)/$B$29</f>
        <v>#DIV/0!</v>
      </c>
      <c r="P94" s="247" t="e">
        <f t="shared" ref="P94:P137" si="6">((M94-$B$30)^2)/$B$30</f>
        <v>#DIV/0!</v>
      </c>
      <c r="Q94" s="247" t="e">
        <f t="shared" ref="Q94:Q137" si="7">((N94-$B$28)^2)/$B$28</f>
        <v>#VALUE!</v>
      </c>
      <c r="R94" s="251" t="e">
        <f t="shared" ref="R94:R137" si="8">(O94+P94+Q94)</f>
        <v>#DIV/0!</v>
      </c>
      <c r="S94" s="249">
        <v>500</v>
      </c>
      <c r="T94" s="247">
        <v>36</v>
      </c>
      <c r="U94" s="254"/>
    </row>
    <row r="95" spans="1:21" x14ac:dyDescent="0.2">
      <c r="A95" s="254">
        <v>0</v>
      </c>
      <c r="B95" s="255" t="e">
        <f>IF($B$58=8,C95,IF($B$58=12,D95,IF($B$58=24,E95,IF($B$58=36,F95,IF($B$58=48,G95,"")))))</f>
        <v>#DIV/0!</v>
      </c>
      <c r="C95" s="255" t="e">
        <f>D61</f>
        <v>#DIV/0!</v>
      </c>
      <c r="D95" s="255" t="e">
        <f>D61</f>
        <v>#DIV/0!</v>
      </c>
      <c r="E95" s="255" t="e">
        <f>D61</f>
        <v>#DIV/0!</v>
      </c>
      <c r="F95" s="254" t="e">
        <f>D61</f>
        <v>#DIV/0!</v>
      </c>
      <c r="G95" s="254" t="e">
        <f>D61</f>
        <v>#DIV/0!</v>
      </c>
      <c r="H95" s="254">
        <f t="shared" si="1"/>
        <v>1</v>
      </c>
      <c r="I95" s="247">
        <f t="shared" si="0"/>
        <v>375</v>
      </c>
      <c r="J95" s="247">
        <v>750</v>
      </c>
      <c r="K95" s="247">
        <v>48</v>
      </c>
      <c r="L95" s="247" t="e">
        <f t="shared" si="2"/>
        <v>#DIV/0!</v>
      </c>
      <c r="M95" s="247" t="e">
        <f t="shared" si="3"/>
        <v>#DIV/0!</v>
      </c>
      <c r="N95" s="247" t="e">
        <f t="shared" si="4"/>
        <v>#VALUE!</v>
      </c>
      <c r="O95" s="247" t="e">
        <f t="shared" si="5"/>
        <v>#DIV/0!</v>
      </c>
      <c r="P95" s="247" t="e">
        <f t="shared" si="6"/>
        <v>#DIV/0!</v>
      </c>
      <c r="Q95" s="247" t="e">
        <f t="shared" si="7"/>
        <v>#VALUE!</v>
      </c>
      <c r="R95" s="251" t="e">
        <f t="shared" si="8"/>
        <v>#DIV/0!</v>
      </c>
      <c r="S95" s="247">
        <v>750</v>
      </c>
      <c r="T95" s="247">
        <v>48</v>
      </c>
      <c r="U95" s="254"/>
    </row>
    <row r="96" spans="1:21" x14ac:dyDescent="0.2">
      <c r="A96" s="254">
        <v>0.5</v>
      </c>
      <c r="B96" s="255" t="e">
        <f t="shared" ref="B96:B159" si="9">IF($B$58=8,C96,IF($B$58=12,D96,IF($B$58=24,E96,IF($B$58=36,F96,IF($B$58=48,G96,"")))))</f>
        <v>#DIV/0!</v>
      </c>
      <c r="C96" s="254" t="e">
        <f t="shared" ref="C96:C111" si="10">$D$61*EXP(-$B$51*A96)</f>
        <v>#DIV/0!</v>
      </c>
      <c r="D96" s="254" t="e">
        <f t="shared" ref="D96:D119" si="11">$D$61*EXP(-$B$51*A96)</f>
        <v>#DIV/0!</v>
      </c>
      <c r="E96" s="254" t="e">
        <f t="shared" ref="E96:E143" si="12">$D$61*EXP(-$B$51*A96)</f>
        <v>#DIV/0!</v>
      </c>
      <c r="F96" s="254" t="e">
        <f>$D$61*EXP(-$B$51*A96)</f>
        <v>#DIV/0!</v>
      </c>
      <c r="G96" s="254" t="e">
        <f>$D$61*EXP(-$B$51*A96)</f>
        <v>#DIV/0!</v>
      </c>
      <c r="H96" s="254">
        <f t="shared" si="1"/>
        <v>0.5</v>
      </c>
      <c r="I96" s="247">
        <f t="shared" si="0"/>
        <v>500</v>
      </c>
      <c r="J96" s="249">
        <v>500</v>
      </c>
      <c r="K96" s="247">
        <v>24</v>
      </c>
      <c r="L96" s="247" t="e">
        <f t="shared" si="2"/>
        <v>#DIV/0!</v>
      </c>
      <c r="M96" s="247" t="e">
        <f t="shared" si="3"/>
        <v>#DIV/0!</v>
      </c>
      <c r="N96" s="247" t="e">
        <f t="shared" si="4"/>
        <v>#VALUE!</v>
      </c>
      <c r="O96" s="247" t="e">
        <f t="shared" si="5"/>
        <v>#DIV/0!</v>
      </c>
      <c r="P96" s="247" t="e">
        <f t="shared" si="6"/>
        <v>#DIV/0!</v>
      </c>
      <c r="Q96" s="247" t="e">
        <f t="shared" si="7"/>
        <v>#VALUE!</v>
      </c>
      <c r="R96" s="251" t="e">
        <f t="shared" si="8"/>
        <v>#DIV/0!</v>
      </c>
      <c r="S96" s="249">
        <v>500</v>
      </c>
      <c r="T96" s="247">
        <v>24</v>
      </c>
      <c r="U96" s="254"/>
    </row>
    <row r="97" spans="1:21" x14ac:dyDescent="0.2">
      <c r="A97" s="254">
        <f t="shared" ref="A97:A128" si="13">A96+0.5</f>
        <v>1</v>
      </c>
      <c r="B97" s="255" t="e">
        <f t="shared" si="9"/>
        <v>#DIV/0!</v>
      </c>
      <c r="C97" s="254" t="e">
        <f t="shared" si="10"/>
        <v>#DIV/0!</v>
      </c>
      <c r="D97" s="254" t="e">
        <f t="shared" si="11"/>
        <v>#DIV/0!</v>
      </c>
      <c r="E97" s="254" t="e">
        <f t="shared" si="12"/>
        <v>#DIV/0!</v>
      </c>
      <c r="F97" s="254" t="e">
        <f t="shared" ref="F97:F160" si="14">$D$61*EXP(-$B$51*A97)</f>
        <v>#DIV/0!</v>
      </c>
      <c r="G97" s="254" t="e">
        <f t="shared" ref="G97:G160" si="15">$D$61*EXP(-$B$51*A97)</f>
        <v>#DIV/0!</v>
      </c>
      <c r="H97" s="254">
        <f t="shared" si="1"/>
        <v>1</v>
      </c>
      <c r="I97" s="247">
        <f t="shared" si="0"/>
        <v>500</v>
      </c>
      <c r="J97" s="247">
        <v>750</v>
      </c>
      <c r="K97" s="247">
        <v>36</v>
      </c>
      <c r="L97" s="247" t="e">
        <f t="shared" si="2"/>
        <v>#DIV/0!</v>
      </c>
      <c r="M97" s="247" t="e">
        <f t="shared" si="3"/>
        <v>#DIV/0!</v>
      </c>
      <c r="N97" s="247" t="e">
        <f t="shared" si="4"/>
        <v>#VALUE!</v>
      </c>
      <c r="O97" s="247" t="e">
        <f t="shared" si="5"/>
        <v>#DIV/0!</v>
      </c>
      <c r="P97" s="247" t="e">
        <f t="shared" si="6"/>
        <v>#DIV/0!</v>
      </c>
      <c r="Q97" s="247" t="e">
        <f t="shared" si="7"/>
        <v>#VALUE!</v>
      </c>
      <c r="R97" s="251" t="e">
        <f t="shared" si="8"/>
        <v>#DIV/0!</v>
      </c>
      <c r="S97" s="247">
        <v>750</v>
      </c>
      <c r="T97" s="247">
        <v>36</v>
      </c>
      <c r="U97" s="254"/>
    </row>
    <row r="98" spans="1:21" x14ac:dyDescent="0.2">
      <c r="A98" s="254">
        <f t="shared" si="13"/>
        <v>1.5</v>
      </c>
      <c r="B98" s="255" t="e">
        <f t="shared" si="9"/>
        <v>#DIV/0!</v>
      </c>
      <c r="C98" s="254" t="e">
        <f t="shared" si="10"/>
        <v>#DIV/0!</v>
      </c>
      <c r="D98" s="254" t="e">
        <f t="shared" si="11"/>
        <v>#DIV/0!</v>
      </c>
      <c r="E98" s="254" t="e">
        <f t="shared" si="12"/>
        <v>#DIV/0!</v>
      </c>
      <c r="F98" s="254" t="e">
        <f t="shared" si="14"/>
        <v>#DIV/0!</v>
      </c>
      <c r="G98" s="254" t="e">
        <f t="shared" si="15"/>
        <v>#DIV/0!</v>
      </c>
      <c r="H98" s="254">
        <f t="shared" si="1"/>
        <v>1</v>
      </c>
      <c r="I98" s="247">
        <f t="shared" si="0"/>
        <v>500</v>
      </c>
      <c r="J98" s="253">
        <v>1000</v>
      </c>
      <c r="K98" s="247">
        <v>48</v>
      </c>
      <c r="L98" s="247" t="e">
        <f t="shared" si="2"/>
        <v>#DIV/0!</v>
      </c>
      <c r="M98" s="247" t="e">
        <f t="shared" si="3"/>
        <v>#DIV/0!</v>
      </c>
      <c r="N98" s="247" t="e">
        <f t="shared" si="4"/>
        <v>#VALUE!</v>
      </c>
      <c r="O98" s="247" t="e">
        <f t="shared" si="5"/>
        <v>#DIV/0!</v>
      </c>
      <c r="P98" s="247" t="e">
        <f t="shared" si="6"/>
        <v>#DIV/0!</v>
      </c>
      <c r="Q98" s="247" t="e">
        <f t="shared" si="7"/>
        <v>#VALUE!</v>
      </c>
      <c r="R98" s="251" t="e">
        <f t="shared" si="8"/>
        <v>#DIV/0!</v>
      </c>
      <c r="S98" s="253">
        <v>1000</v>
      </c>
      <c r="T98" s="247">
        <v>48</v>
      </c>
      <c r="U98" s="254"/>
    </row>
    <row r="99" spans="1:21" x14ac:dyDescent="0.2">
      <c r="A99" s="254">
        <f t="shared" si="13"/>
        <v>2</v>
      </c>
      <c r="B99" s="255" t="e">
        <f t="shared" si="9"/>
        <v>#DIV/0!</v>
      </c>
      <c r="C99" s="254" t="e">
        <f t="shared" si="10"/>
        <v>#DIV/0!</v>
      </c>
      <c r="D99" s="254" t="e">
        <f t="shared" si="11"/>
        <v>#DIV/0!</v>
      </c>
      <c r="E99" s="254" t="e">
        <f t="shared" si="12"/>
        <v>#DIV/0!</v>
      </c>
      <c r="F99" s="254" t="e">
        <f t="shared" si="14"/>
        <v>#DIV/0!</v>
      </c>
      <c r="G99" s="254" t="e">
        <f t="shared" si="15"/>
        <v>#DIV/0!</v>
      </c>
      <c r="H99" s="254">
        <f t="shared" si="1"/>
        <v>1.5</v>
      </c>
      <c r="I99" s="247">
        <f t="shared" si="0"/>
        <v>625</v>
      </c>
      <c r="J99" s="253">
        <v>1250</v>
      </c>
      <c r="K99" s="247">
        <v>48</v>
      </c>
      <c r="L99" s="247" t="e">
        <f t="shared" si="2"/>
        <v>#DIV/0!</v>
      </c>
      <c r="M99" s="247" t="e">
        <f t="shared" si="3"/>
        <v>#DIV/0!</v>
      </c>
      <c r="N99" s="247" t="e">
        <f t="shared" si="4"/>
        <v>#VALUE!</v>
      </c>
      <c r="O99" s="247" t="e">
        <f t="shared" si="5"/>
        <v>#DIV/0!</v>
      </c>
      <c r="P99" s="247" t="e">
        <f t="shared" si="6"/>
        <v>#DIV/0!</v>
      </c>
      <c r="Q99" s="247" t="e">
        <f t="shared" si="7"/>
        <v>#VALUE!</v>
      </c>
      <c r="R99" s="251" t="e">
        <f t="shared" si="8"/>
        <v>#DIV/0!</v>
      </c>
      <c r="S99" s="253">
        <v>1250</v>
      </c>
      <c r="T99" s="247">
        <v>48</v>
      </c>
      <c r="U99" s="254"/>
    </row>
    <row r="100" spans="1:21" x14ac:dyDescent="0.2">
      <c r="A100" s="254">
        <f t="shared" si="13"/>
        <v>2.5</v>
      </c>
      <c r="B100" s="255" t="e">
        <f t="shared" si="9"/>
        <v>#DIV/0!</v>
      </c>
      <c r="C100" s="254" t="e">
        <f t="shared" si="10"/>
        <v>#DIV/0!</v>
      </c>
      <c r="D100" s="254" t="e">
        <f t="shared" si="11"/>
        <v>#DIV/0!</v>
      </c>
      <c r="E100" s="254" t="e">
        <f t="shared" si="12"/>
        <v>#DIV/0!</v>
      </c>
      <c r="F100" s="254" t="e">
        <f t="shared" si="14"/>
        <v>#DIV/0!</v>
      </c>
      <c r="G100" s="254" t="e">
        <f t="shared" si="15"/>
        <v>#DIV/0!</v>
      </c>
      <c r="H100" s="254">
        <f t="shared" si="1"/>
        <v>1</v>
      </c>
      <c r="I100" s="247">
        <f t="shared" si="0"/>
        <v>666.66666666666663</v>
      </c>
      <c r="J100" s="253">
        <v>1000</v>
      </c>
      <c r="K100" s="247">
        <v>36</v>
      </c>
      <c r="L100" s="247" t="e">
        <f t="shared" si="2"/>
        <v>#DIV/0!</v>
      </c>
      <c r="M100" s="247" t="e">
        <f t="shared" si="3"/>
        <v>#DIV/0!</v>
      </c>
      <c r="N100" s="247" t="e">
        <f t="shared" si="4"/>
        <v>#VALUE!</v>
      </c>
      <c r="O100" s="247" t="e">
        <f t="shared" si="5"/>
        <v>#DIV/0!</v>
      </c>
      <c r="P100" s="247" t="e">
        <f t="shared" si="6"/>
        <v>#DIV/0!</v>
      </c>
      <c r="Q100" s="247" t="e">
        <f t="shared" si="7"/>
        <v>#VALUE!</v>
      </c>
      <c r="R100" s="251" t="e">
        <f t="shared" si="8"/>
        <v>#DIV/0!</v>
      </c>
      <c r="S100" s="253">
        <v>1000</v>
      </c>
      <c r="T100" s="247">
        <v>36</v>
      </c>
      <c r="U100" s="254"/>
    </row>
    <row r="101" spans="1:21" x14ac:dyDescent="0.2">
      <c r="A101" s="254">
        <f t="shared" si="13"/>
        <v>3</v>
      </c>
      <c r="B101" s="255" t="e">
        <f t="shared" si="9"/>
        <v>#DIV/0!</v>
      </c>
      <c r="C101" s="254" t="e">
        <f t="shared" si="10"/>
        <v>#DIV/0!</v>
      </c>
      <c r="D101" s="254" t="e">
        <f t="shared" si="11"/>
        <v>#DIV/0!</v>
      </c>
      <c r="E101" s="254" t="e">
        <f t="shared" si="12"/>
        <v>#DIV/0!</v>
      </c>
      <c r="F101" s="254" t="e">
        <f t="shared" si="14"/>
        <v>#DIV/0!</v>
      </c>
      <c r="G101" s="254" t="e">
        <f t="shared" si="15"/>
        <v>#DIV/0!</v>
      </c>
      <c r="H101" s="254">
        <f t="shared" si="1"/>
        <v>1</v>
      </c>
      <c r="I101" s="247">
        <f t="shared" si="0"/>
        <v>750</v>
      </c>
      <c r="J101" s="247">
        <v>750</v>
      </c>
      <c r="K101" s="247">
        <v>24</v>
      </c>
      <c r="L101" s="247" t="e">
        <f t="shared" si="2"/>
        <v>#DIV/0!</v>
      </c>
      <c r="M101" s="247" t="e">
        <f t="shared" si="3"/>
        <v>#DIV/0!</v>
      </c>
      <c r="N101" s="247" t="e">
        <f t="shared" si="4"/>
        <v>#VALUE!</v>
      </c>
      <c r="O101" s="247" t="e">
        <f t="shared" si="5"/>
        <v>#DIV/0!</v>
      </c>
      <c r="P101" s="247" t="e">
        <f t="shared" si="6"/>
        <v>#DIV/0!</v>
      </c>
      <c r="Q101" s="247" t="e">
        <f t="shared" si="7"/>
        <v>#VALUE!</v>
      </c>
      <c r="R101" s="251" t="e">
        <f t="shared" si="8"/>
        <v>#DIV/0!</v>
      </c>
      <c r="S101" s="247">
        <v>750</v>
      </c>
      <c r="T101" s="247">
        <v>24</v>
      </c>
      <c r="U101" s="254"/>
    </row>
    <row r="102" spans="1:21" x14ac:dyDescent="0.2">
      <c r="A102" s="247">
        <f t="shared" si="13"/>
        <v>3.5</v>
      </c>
      <c r="B102" s="255" t="e">
        <f t="shared" si="9"/>
        <v>#DIV/0!</v>
      </c>
      <c r="C102" s="247" t="e">
        <f t="shared" si="10"/>
        <v>#DIV/0!</v>
      </c>
      <c r="D102" s="247" t="e">
        <f t="shared" si="11"/>
        <v>#DIV/0!</v>
      </c>
      <c r="E102" s="247" t="e">
        <f t="shared" si="12"/>
        <v>#DIV/0!</v>
      </c>
      <c r="F102" s="254" t="e">
        <f t="shared" si="14"/>
        <v>#DIV/0!</v>
      </c>
      <c r="G102" s="254" t="e">
        <f t="shared" si="15"/>
        <v>#DIV/0!</v>
      </c>
      <c r="H102" s="254">
        <f t="shared" si="1"/>
        <v>1.5</v>
      </c>
      <c r="I102" s="247">
        <f t="shared" si="0"/>
        <v>750</v>
      </c>
      <c r="J102" s="253">
        <v>1500</v>
      </c>
      <c r="K102" s="247">
        <v>48</v>
      </c>
      <c r="L102" s="247" t="e">
        <f t="shared" si="2"/>
        <v>#DIV/0!</v>
      </c>
      <c r="M102" s="247" t="e">
        <f t="shared" si="3"/>
        <v>#DIV/0!</v>
      </c>
      <c r="N102" s="247" t="e">
        <f t="shared" si="4"/>
        <v>#VALUE!</v>
      </c>
      <c r="O102" s="247" t="e">
        <f t="shared" si="5"/>
        <v>#DIV/0!</v>
      </c>
      <c r="P102" s="247" t="e">
        <f t="shared" si="6"/>
        <v>#DIV/0!</v>
      </c>
      <c r="Q102" s="247" t="e">
        <f t="shared" si="7"/>
        <v>#VALUE!</v>
      </c>
      <c r="R102" s="251" t="e">
        <f t="shared" si="8"/>
        <v>#DIV/0!</v>
      </c>
      <c r="S102" s="253">
        <v>1500</v>
      </c>
      <c r="T102" s="247">
        <v>48</v>
      </c>
      <c r="U102" s="247"/>
    </row>
    <row r="103" spans="1:21" x14ac:dyDescent="0.2">
      <c r="A103" s="247">
        <f t="shared" si="13"/>
        <v>4</v>
      </c>
      <c r="B103" s="255" t="e">
        <f t="shared" si="9"/>
        <v>#DIV/0!</v>
      </c>
      <c r="C103" s="247" t="e">
        <f t="shared" si="10"/>
        <v>#DIV/0!</v>
      </c>
      <c r="D103" s="247" t="e">
        <f t="shared" si="11"/>
        <v>#DIV/0!</v>
      </c>
      <c r="E103" s="247" t="e">
        <f t="shared" si="12"/>
        <v>#DIV/0!</v>
      </c>
      <c r="F103" s="254" t="e">
        <f t="shared" si="14"/>
        <v>#DIV/0!</v>
      </c>
      <c r="G103" s="254" t="e">
        <f t="shared" si="15"/>
        <v>#DIV/0!</v>
      </c>
      <c r="H103" s="254">
        <f t="shared" si="1"/>
        <v>1.5</v>
      </c>
      <c r="I103" s="247">
        <f t="shared" si="0"/>
        <v>833.33333333333337</v>
      </c>
      <c r="J103" s="253">
        <v>1250</v>
      </c>
      <c r="K103" s="247">
        <v>36</v>
      </c>
      <c r="L103" s="247" t="e">
        <f t="shared" si="2"/>
        <v>#DIV/0!</v>
      </c>
      <c r="M103" s="247" t="e">
        <f t="shared" si="3"/>
        <v>#DIV/0!</v>
      </c>
      <c r="N103" s="247" t="e">
        <f t="shared" si="4"/>
        <v>#VALUE!</v>
      </c>
      <c r="O103" s="247" t="e">
        <f t="shared" si="5"/>
        <v>#DIV/0!</v>
      </c>
      <c r="P103" s="247" t="e">
        <f t="shared" si="6"/>
        <v>#DIV/0!</v>
      </c>
      <c r="Q103" s="247" t="e">
        <f t="shared" si="7"/>
        <v>#VALUE!</v>
      </c>
      <c r="R103" s="251" t="e">
        <f t="shared" si="8"/>
        <v>#DIV/0!</v>
      </c>
      <c r="S103" s="253">
        <v>1250</v>
      </c>
      <c r="T103" s="247">
        <v>36</v>
      </c>
      <c r="U103" s="247"/>
    </row>
    <row r="104" spans="1:21" x14ac:dyDescent="0.2">
      <c r="A104" s="247">
        <f t="shared" si="13"/>
        <v>4.5</v>
      </c>
      <c r="B104" s="255" t="e">
        <f t="shared" si="9"/>
        <v>#DIV/0!</v>
      </c>
      <c r="C104" s="247" t="e">
        <f t="shared" si="10"/>
        <v>#DIV/0!</v>
      </c>
      <c r="D104" s="247" t="e">
        <f t="shared" si="11"/>
        <v>#DIV/0!</v>
      </c>
      <c r="E104" s="247" t="e">
        <f t="shared" si="12"/>
        <v>#DIV/0!</v>
      </c>
      <c r="F104" s="254" t="e">
        <f t="shared" si="14"/>
        <v>#DIV/0!</v>
      </c>
      <c r="G104" s="254" t="e">
        <f t="shared" si="15"/>
        <v>#DIV/0!</v>
      </c>
      <c r="H104" s="254">
        <f t="shared" si="1"/>
        <v>2</v>
      </c>
      <c r="I104" s="247">
        <f t="shared" si="0"/>
        <v>875</v>
      </c>
      <c r="J104" s="247">
        <v>1750</v>
      </c>
      <c r="K104" s="247">
        <v>48</v>
      </c>
      <c r="L104" s="247" t="e">
        <f t="shared" si="2"/>
        <v>#DIV/0!</v>
      </c>
      <c r="M104" s="247" t="e">
        <f t="shared" si="3"/>
        <v>#DIV/0!</v>
      </c>
      <c r="N104" s="247" t="e">
        <f t="shared" si="4"/>
        <v>#VALUE!</v>
      </c>
      <c r="O104" s="247" t="e">
        <f t="shared" si="5"/>
        <v>#DIV/0!</v>
      </c>
      <c r="P104" s="247" t="e">
        <f t="shared" si="6"/>
        <v>#DIV/0!</v>
      </c>
      <c r="Q104" s="247" t="e">
        <f t="shared" si="7"/>
        <v>#VALUE!</v>
      </c>
      <c r="R104" s="251" t="e">
        <f t="shared" si="8"/>
        <v>#DIV/0!</v>
      </c>
      <c r="S104" s="247">
        <v>1750</v>
      </c>
      <c r="T104" s="247">
        <v>48</v>
      </c>
      <c r="U104" s="247"/>
    </row>
    <row r="105" spans="1:21" x14ac:dyDescent="0.2">
      <c r="A105" s="247">
        <f t="shared" si="13"/>
        <v>5</v>
      </c>
      <c r="B105" s="255" t="e">
        <f t="shared" si="9"/>
        <v>#DIV/0!</v>
      </c>
      <c r="C105" s="247" t="e">
        <f t="shared" si="10"/>
        <v>#DIV/0!</v>
      </c>
      <c r="D105" s="247" t="e">
        <f t="shared" si="11"/>
        <v>#DIV/0!</v>
      </c>
      <c r="E105" s="247" t="e">
        <f t="shared" si="12"/>
        <v>#DIV/0!</v>
      </c>
      <c r="F105" s="254" t="e">
        <f t="shared" si="14"/>
        <v>#DIV/0!</v>
      </c>
      <c r="G105" s="254" t="e">
        <f t="shared" si="15"/>
        <v>#DIV/0!</v>
      </c>
      <c r="H105" s="254">
        <f t="shared" si="1"/>
        <v>0.5</v>
      </c>
      <c r="I105" s="247">
        <f t="shared" si="0"/>
        <v>1000</v>
      </c>
      <c r="J105" s="249">
        <v>500</v>
      </c>
      <c r="K105" s="247">
        <v>12</v>
      </c>
      <c r="L105" s="247" t="e">
        <f t="shared" si="2"/>
        <v>#DIV/0!</v>
      </c>
      <c r="M105" s="247" t="e">
        <f t="shared" si="3"/>
        <v>#DIV/0!</v>
      </c>
      <c r="N105" s="247" t="e">
        <f t="shared" si="4"/>
        <v>#VALUE!</v>
      </c>
      <c r="O105" s="247" t="e">
        <f t="shared" si="5"/>
        <v>#DIV/0!</v>
      </c>
      <c r="P105" s="247" t="e">
        <f t="shared" si="6"/>
        <v>#DIV/0!</v>
      </c>
      <c r="Q105" s="247" t="e">
        <f t="shared" si="7"/>
        <v>#VALUE!</v>
      </c>
      <c r="R105" s="251" t="e">
        <f t="shared" si="8"/>
        <v>#DIV/0!</v>
      </c>
      <c r="S105" s="249">
        <v>500</v>
      </c>
      <c r="T105" s="247">
        <v>12</v>
      </c>
      <c r="U105" s="247"/>
    </row>
    <row r="106" spans="1:21" x14ac:dyDescent="0.2">
      <c r="A106" s="247">
        <f t="shared" si="13"/>
        <v>5.5</v>
      </c>
      <c r="B106" s="255" t="e">
        <f t="shared" si="9"/>
        <v>#DIV/0!</v>
      </c>
      <c r="C106" s="247" t="e">
        <f t="shared" si="10"/>
        <v>#DIV/0!</v>
      </c>
      <c r="D106" s="247" t="e">
        <f t="shared" si="11"/>
        <v>#DIV/0!</v>
      </c>
      <c r="E106" s="247" t="e">
        <f t="shared" si="12"/>
        <v>#DIV/0!</v>
      </c>
      <c r="F106" s="254" t="e">
        <f t="shared" si="14"/>
        <v>#DIV/0!</v>
      </c>
      <c r="G106" s="254" t="e">
        <f t="shared" si="15"/>
        <v>#DIV/0!</v>
      </c>
      <c r="H106" s="254">
        <f t="shared" si="1"/>
        <v>1</v>
      </c>
      <c r="I106" s="247">
        <f t="shared" si="0"/>
        <v>1000</v>
      </c>
      <c r="J106" s="253">
        <v>1000</v>
      </c>
      <c r="K106" s="247">
        <v>24</v>
      </c>
      <c r="L106" s="247" t="e">
        <f t="shared" si="2"/>
        <v>#DIV/0!</v>
      </c>
      <c r="M106" s="247" t="e">
        <f t="shared" si="3"/>
        <v>#DIV/0!</v>
      </c>
      <c r="N106" s="247" t="e">
        <f t="shared" si="4"/>
        <v>#VALUE!</v>
      </c>
      <c r="O106" s="247" t="e">
        <f t="shared" si="5"/>
        <v>#DIV/0!</v>
      </c>
      <c r="P106" s="247" t="e">
        <f t="shared" si="6"/>
        <v>#DIV/0!</v>
      </c>
      <c r="Q106" s="247" t="e">
        <f t="shared" si="7"/>
        <v>#VALUE!</v>
      </c>
      <c r="R106" s="251" t="e">
        <f t="shared" si="8"/>
        <v>#DIV/0!</v>
      </c>
      <c r="S106" s="253">
        <v>1000</v>
      </c>
      <c r="T106" s="247">
        <v>24</v>
      </c>
      <c r="U106" s="247"/>
    </row>
    <row r="107" spans="1:21" x14ac:dyDescent="0.2">
      <c r="A107" s="247">
        <f t="shared" si="13"/>
        <v>6</v>
      </c>
      <c r="B107" s="255" t="e">
        <f t="shared" si="9"/>
        <v>#DIV/0!</v>
      </c>
      <c r="C107" s="247" t="e">
        <f t="shared" si="10"/>
        <v>#DIV/0!</v>
      </c>
      <c r="D107" s="247" t="e">
        <f t="shared" si="11"/>
        <v>#DIV/0!</v>
      </c>
      <c r="E107" s="247" t="e">
        <f t="shared" si="12"/>
        <v>#DIV/0!</v>
      </c>
      <c r="F107" s="254" t="e">
        <f t="shared" si="14"/>
        <v>#DIV/0!</v>
      </c>
      <c r="G107" s="254" t="e">
        <f t="shared" si="15"/>
        <v>#DIV/0!</v>
      </c>
      <c r="H107" s="254">
        <f t="shared" si="1"/>
        <v>1.5</v>
      </c>
      <c r="I107" s="247">
        <f t="shared" si="0"/>
        <v>1000</v>
      </c>
      <c r="J107" s="253">
        <v>1500</v>
      </c>
      <c r="K107" s="247">
        <v>36</v>
      </c>
      <c r="L107" s="247" t="e">
        <f t="shared" si="2"/>
        <v>#DIV/0!</v>
      </c>
      <c r="M107" s="247" t="e">
        <f t="shared" si="3"/>
        <v>#DIV/0!</v>
      </c>
      <c r="N107" s="247" t="e">
        <f t="shared" si="4"/>
        <v>#VALUE!</v>
      </c>
      <c r="O107" s="247" t="e">
        <f t="shared" si="5"/>
        <v>#DIV/0!</v>
      </c>
      <c r="P107" s="247" t="e">
        <f t="shared" si="6"/>
        <v>#DIV/0!</v>
      </c>
      <c r="Q107" s="247" t="e">
        <f t="shared" si="7"/>
        <v>#VALUE!</v>
      </c>
      <c r="R107" s="251" t="e">
        <f t="shared" si="8"/>
        <v>#DIV/0!</v>
      </c>
      <c r="S107" s="253">
        <v>1500</v>
      </c>
      <c r="T107" s="247">
        <v>36</v>
      </c>
      <c r="U107" s="247"/>
    </row>
    <row r="108" spans="1:21" x14ac:dyDescent="0.2">
      <c r="A108" s="247">
        <f t="shared" si="13"/>
        <v>6.5</v>
      </c>
      <c r="B108" s="255" t="e">
        <f t="shared" si="9"/>
        <v>#DIV/0!</v>
      </c>
      <c r="C108" s="247" t="e">
        <f t="shared" si="10"/>
        <v>#DIV/0!</v>
      </c>
      <c r="D108" s="247" t="e">
        <f t="shared" si="11"/>
        <v>#DIV/0!</v>
      </c>
      <c r="E108" s="247" t="e">
        <f t="shared" si="12"/>
        <v>#DIV/0!</v>
      </c>
      <c r="F108" s="254" t="e">
        <f t="shared" si="14"/>
        <v>#DIV/0!</v>
      </c>
      <c r="G108" s="254" t="e">
        <f t="shared" si="15"/>
        <v>#DIV/0!</v>
      </c>
      <c r="H108" s="254">
        <f t="shared" si="1"/>
        <v>2</v>
      </c>
      <c r="I108" s="247">
        <f t="shared" si="0"/>
        <v>1000</v>
      </c>
      <c r="J108" s="247">
        <v>2000</v>
      </c>
      <c r="K108" s="247">
        <v>48</v>
      </c>
      <c r="L108" s="247" t="e">
        <f t="shared" si="2"/>
        <v>#DIV/0!</v>
      </c>
      <c r="M108" s="247" t="e">
        <f t="shared" si="3"/>
        <v>#DIV/0!</v>
      </c>
      <c r="N108" s="247" t="e">
        <f t="shared" si="4"/>
        <v>#VALUE!</v>
      </c>
      <c r="O108" s="247" t="e">
        <f t="shared" si="5"/>
        <v>#DIV/0!</v>
      </c>
      <c r="P108" s="247" t="e">
        <f t="shared" si="6"/>
        <v>#DIV/0!</v>
      </c>
      <c r="Q108" s="247" t="e">
        <f t="shared" si="7"/>
        <v>#VALUE!</v>
      </c>
      <c r="R108" s="251" t="e">
        <f t="shared" si="8"/>
        <v>#DIV/0!</v>
      </c>
      <c r="S108" s="247">
        <v>2000</v>
      </c>
      <c r="T108" s="247">
        <v>48</v>
      </c>
      <c r="U108" s="247"/>
    </row>
    <row r="109" spans="1:21" x14ac:dyDescent="0.2">
      <c r="A109" s="247">
        <f t="shared" si="13"/>
        <v>7</v>
      </c>
      <c r="B109" s="255" t="e">
        <f t="shared" si="9"/>
        <v>#DIV/0!</v>
      </c>
      <c r="C109" s="247" t="e">
        <f t="shared" si="10"/>
        <v>#DIV/0!</v>
      </c>
      <c r="D109" s="247" t="e">
        <f t="shared" si="11"/>
        <v>#DIV/0!</v>
      </c>
      <c r="E109" s="247" t="e">
        <f t="shared" si="12"/>
        <v>#DIV/0!</v>
      </c>
      <c r="F109" s="254" t="e">
        <f t="shared" si="14"/>
        <v>#DIV/0!</v>
      </c>
      <c r="G109" s="254" t="e">
        <f t="shared" si="15"/>
        <v>#DIV/0!</v>
      </c>
      <c r="H109" s="254">
        <f t="shared" si="1"/>
        <v>2.5</v>
      </c>
      <c r="I109" s="247">
        <f t="shared" si="0"/>
        <v>1125</v>
      </c>
      <c r="J109" s="247">
        <v>2250</v>
      </c>
      <c r="K109" s="247">
        <v>48</v>
      </c>
      <c r="L109" s="247" t="e">
        <f t="shared" si="2"/>
        <v>#DIV/0!</v>
      </c>
      <c r="M109" s="247" t="e">
        <f t="shared" si="3"/>
        <v>#DIV/0!</v>
      </c>
      <c r="N109" s="247" t="e">
        <f t="shared" si="4"/>
        <v>#VALUE!</v>
      </c>
      <c r="O109" s="247" t="e">
        <f t="shared" si="5"/>
        <v>#DIV/0!</v>
      </c>
      <c r="P109" s="247" t="e">
        <f t="shared" si="6"/>
        <v>#DIV/0!</v>
      </c>
      <c r="Q109" s="247" t="e">
        <f t="shared" si="7"/>
        <v>#VALUE!</v>
      </c>
      <c r="R109" s="251" t="e">
        <f t="shared" si="8"/>
        <v>#DIV/0!</v>
      </c>
      <c r="S109" s="247">
        <v>2250</v>
      </c>
      <c r="T109" s="247">
        <v>48</v>
      </c>
      <c r="U109" s="247"/>
    </row>
    <row r="110" spans="1:21" x14ac:dyDescent="0.2">
      <c r="A110" s="247">
        <f t="shared" si="13"/>
        <v>7.5</v>
      </c>
      <c r="B110" s="255" t="e">
        <f t="shared" si="9"/>
        <v>#DIV/0!</v>
      </c>
      <c r="C110" s="247" t="e">
        <f t="shared" si="10"/>
        <v>#DIV/0!</v>
      </c>
      <c r="D110" s="247" t="e">
        <f t="shared" si="11"/>
        <v>#DIV/0!</v>
      </c>
      <c r="E110" s="247" t="e">
        <f t="shared" si="12"/>
        <v>#DIV/0!</v>
      </c>
      <c r="F110" s="254" t="e">
        <f t="shared" si="14"/>
        <v>#DIV/0!</v>
      </c>
      <c r="G110" s="254" t="e">
        <f t="shared" si="15"/>
        <v>#DIV/0!</v>
      </c>
      <c r="H110" s="254">
        <f t="shared" si="1"/>
        <v>2</v>
      </c>
      <c r="I110" s="247">
        <f t="shared" si="0"/>
        <v>1166.6666666666667</v>
      </c>
      <c r="J110" s="247">
        <v>1750</v>
      </c>
      <c r="K110" s="247">
        <v>36</v>
      </c>
      <c r="L110" s="247" t="e">
        <f t="shared" si="2"/>
        <v>#DIV/0!</v>
      </c>
      <c r="M110" s="247" t="e">
        <f t="shared" si="3"/>
        <v>#DIV/0!</v>
      </c>
      <c r="N110" s="247" t="e">
        <f t="shared" si="4"/>
        <v>#VALUE!</v>
      </c>
      <c r="O110" s="247" t="e">
        <f t="shared" si="5"/>
        <v>#DIV/0!</v>
      </c>
      <c r="P110" s="247" t="e">
        <f t="shared" si="6"/>
        <v>#DIV/0!</v>
      </c>
      <c r="Q110" s="247" t="e">
        <f t="shared" si="7"/>
        <v>#VALUE!</v>
      </c>
      <c r="R110" s="251" t="e">
        <f t="shared" si="8"/>
        <v>#DIV/0!</v>
      </c>
      <c r="S110" s="247">
        <v>1750</v>
      </c>
      <c r="T110" s="247">
        <v>36</v>
      </c>
      <c r="U110" s="247"/>
    </row>
    <row r="111" spans="1:21" x14ac:dyDescent="0.2">
      <c r="A111" s="247">
        <f t="shared" si="13"/>
        <v>8</v>
      </c>
      <c r="B111" s="255" t="e">
        <f t="shared" si="9"/>
        <v>#DIV/0!</v>
      </c>
      <c r="C111" s="247" t="e">
        <f t="shared" si="10"/>
        <v>#DIV/0!</v>
      </c>
      <c r="D111" s="247" t="e">
        <f t="shared" si="11"/>
        <v>#DIV/0!</v>
      </c>
      <c r="E111" s="247" t="e">
        <f t="shared" si="12"/>
        <v>#DIV/0!</v>
      </c>
      <c r="F111" s="254" t="e">
        <f t="shared" si="14"/>
        <v>#DIV/0!</v>
      </c>
      <c r="G111" s="254" t="e">
        <f t="shared" si="15"/>
        <v>#DIV/0!</v>
      </c>
      <c r="H111" s="254">
        <f t="shared" si="1"/>
        <v>1.5</v>
      </c>
      <c r="I111" s="247">
        <f t="shared" si="0"/>
        <v>1250</v>
      </c>
      <c r="J111" s="253">
        <v>1250</v>
      </c>
      <c r="K111" s="247">
        <v>24</v>
      </c>
      <c r="L111" s="247" t="e">
        <f t="shared" si="2"/>
        <v>#DIV/0!</v>
      </c>
      <c r="M111" s="247" t="e">
        <f t="shared" si="3"/>
        <v>#DIV/0!</v>
      </c>
      <c r="N111" s="247" t="e">
        <f t="shared" si="4"/>
        <v>#VALUE!</v>
      </c>
      <c r="O111" s="247" t="e">
        <f t="shared" si="5"/>
        <v>#DIV/0!</v>
      </c>
      <c r="P111" s="247" t="e">
        <f t="shared" si="6"/>
        <v>#DIV/0!</v>
      </c>
      <c r="Q111" s="247" t="e">
        <f t="shared" si="7"/>
        <v>#VALUE!</v>
      </c>
      <c r="R111" s="251" t="e">
        <f t="shared" si="8"/>
        <v>#DIV/0!</v>
      </c>
      <c r="S111" s="253">
        <v>1250</v>
      </c>
      <c r="T111" s="247">
        <v>24</v>
      </c>
      <c r="U111" s="247"/>
    </row>
    <row r="112" spans="1:21" x14ac:dyDescent="0.2">
      <c r="A112" s="247">
        <f t="shared" si="13"/>
        <v>8.5</v>
      </c>
      <c r="B112" s="255" t="e">
        <f t="shared" si="9"/>
        <v>#DIV/0!</v>
      </c>
      <c r="C112" s="247" t="e">
        <f>($D$61+C111)</f>
        <v>#DIV/0!</v>
      </c>
      <c r="D112" s="247" t="e">
        <f t="shared" si="11"/>
        <v>#DIV/0!</v>
      </c>
      <c r="E112" s="247" t="e">
        <f t="shared" si="12"/>
        <v>#DIV/0!</v>
      </c>
      <c r="F112" s="254" t="e">
        <f t="shared" si="14"/>
        <v>#DIV/0!</v>
      </c>
      <c r="G112" s="254" t="e">
        <f t="shared" si="15"/>
        <v>#DIV/0!</v>
      </c>
      <c r="H112" s="254">
        <f t="shared" si="1"/>
        <v>2.5</v>
      </c>
      <c r="I112" s="247">
        <f t="shared" si="0"/>
        <v>1250</v>
      </c>
      <c r="J112" s="247">
        <v>2500</v>
      </c>
      <c r="K112" s="247">
        <v>48</v>
      </c>
      <c r="L112" s="247" t="e">
        <f t="shared" si="2"/>
        <v>#DIV/0!</v>
      </c>
      <c r="M112" s="247" t="e">
        <f t="shared" si="3"/>
        <v>#DIV/0!</v>
      </c>
      <c r="N112" s="247" t="e">
        <f t="shared" si="4"/>
        <v>#VALUE!</v>
      </c>
      <c r="O112" s="247" t="e">
        <f t="shared" si="5"/>
        <v>#DIV/0!</v>
      </c>
      <c r="P112" s="247" t="e">
        <f t="shared" si="6"/>
        <v>#DIV/0!</v>
      </c>
      <c r="Q112" s="247" t="e">
        <f t="shared" si="7"/>
        <v>#VALUE!</v>
      </c>
      <c r="R112" s="251" t="e">
        <f t="shared" si="8"/>
        <v>#DIV/0!</v>
      </c>
      <c r="S112" s="247">
        <v>2500</v>
      </c>
      <c r="T112" s="247">
        <v>48</v>
      </c>
      <c r="U112" s="247"/>
    </row>
    <row r="113" spans="1:21" x14ac:dyDescent="0.2">
      <c r="A113" s="247">
        <f t="shared" si="13"/>
        <v>9</v>
      </c>
      <c r="B113" s="255" t="e">
        <f t="shared" si="9"/>
        <v>#DIV/0!</v>
      </c>
      <c r="C113" s="247" t="e">
        <f t="shared" ref="C113:C127" si="16">($C$112)*EXP(-$B$51*(A113-8.5))</f>
        <v>#DIV/0!</v>
      </c>
      <c r="D113" s="247" t="e">
        <f t="shared" si="11"/>
        <v>#DIV/0!</v>
      </c>
      <c r="E113" s="247" t="e">
        <f t="shared" si="12"/>
        <v>#DIV/0!</v>
      </c>
      <c r="F113" s="254" t="e">
        <f t="shared" si="14"/>
        <v>#DIV/0!</v>
      </c>
      <c r="G113" s="254" t="e">
        <f t="shared" si="15"/>
        <v>#DIV/0!</v>
      </c>
      <c r="H113" s="254">
        <f t="shared" si="1"/>
        <v>2</v>
      </c>
      <c r="I113" s="247">
        <f t="shared" si="0"/>
        <v>1333.3333333333333</v>
      </c>
      <c r="J113" s="247">
        <v>2000</v>
      </c>
      <c r="K113" s="247">
        <v>36</v>
      </c>
      <c r="L113" s="247" t="e">
        <f t="shared" si="2"/>
        <v>#DIV/0!</v>
      </c>
      <c r="M113" s="247" t="e">
        <f t="shared" si="3"/>
        <v>#DIV/0!</v>
      </c>
      <c r="N113" s="247" t="e">
        <f t="shared" si="4"/>
        <v>#VALUE!</v>
      </c>
      <c r="O113" s="247" t="e">
        <f t="shared" si="5"/>
        <v>#DIV/0!</v>
      </c>
      <c r="P113" s="247" t="e">
        <f t="shared" si="6"/>
        <v>#DIV/0!</v>
      </c>
      <c r="Q113" s="247" t="e">
        <f t="shared" si="7"/>
        <v>#VALUE!</v>
      </c>
      <c r="R113" s="251" t="e">
        <f t="shared" si="8"/>
        <v>#DIV/0!</v>
      </c>
      <c r="S113" s="247">
        <v>2000</v>
      </c>
      <c r="T113" s="247">
        <v>36</v>
      </c>
      <c r="U113" s="247"/>
    </row>
    <row r="114" spans="1:21" x14ac:dyDescent="0.2">
      <c r="A114" s="247">
        <f t="shared" si="13"/>
        <v>9.5</v>
      </c>
      <c r="B114" s="255" t="e">
        <f t="shared" si="9"/>
        <v>#DIV/0!</v>
      </c>
      <c r="C114" s="247" t="e">
        <f t="shared" si="16"/>
        <v>#DIV/0!</v>
      </c>
      <c r="D114" s="247" t="e">
        <f t="shared" si="11"/>
        <v>#DIV/0!</v>
      </c>
      <c r="E114" s="247" t="e">
        <f t="shared" si="12"/>
        <v>#DIV/0!</v>
      </c>
      <c r="F114" s="254" t="e">
        <f t="shared" si="14"/>
        <v>#DIV/0!</v>
      </c>
      <c r="G114" s="254" t="e">
        <f t="shared" si="15"/>
        <v>#DIV/0!</v>
      </c>
      <c r="H114" s="254">
        <f t="shared" si="1"/>
        <v>0.5</v>
      </c>
      <c r="I114" s="247">
        <f t="shared" si="0"/>
        <v>1500</v>
      </c>
      <c r="J114" s="249">
        <v>500</v>
      </c>
      <c r="K114" s="247">
        <v>8</v>
      </c>
      <c r="L114" s="247" t="e">
        <f t="shared" si="2"/>
        <v>#DIV/0!</v>
      </c>
      <c r="M114" s="247" t="e">
        <f t="shared" si="3"/>
        <v>#DIV/0!</v>
      </c>
      <c r="N114" s="247" t="e">
        <f t="shared" si="4"/>
        <v>#VALUE!</v>
      </c>
      <c r="O114" s="247" t="e">
        <f t="shared" si="5"/>
        <v>#DIV/0!</v>
      </c>
      <c r="P114" s="247" t="e">
        <f t="shared" si="6"/>
        <v>#DIV/0!</v>
      </c>
      <c r="Q114" s="247" t="e">
        <f t="shared" si="7"/>
        <v>#VALUE!</v>
      </c>
      <c r="R114" s="251" t="e">
        <f t="shared" si="8"/>
        <v>#DIV/0!</v>
      </c>
      <c r="S114" s="249">
        <v>500</v>
      </c>
      <c r="T114" s="247">
        <v>8</v>
      </c>
      <c r="U114" s="247"/>
    </row>
    <row r="115" spans="1:21" x14ac:dyDescent="0.2">
      <c r="A115" s="247">
        <f t="shared" si="13"/>
        <v>10</v>
      </c>
      <c r="B115" s="255" t="e">
        <f t="shared" si="9"/>
        <v>#DIV/0!</v>
      </c>
      <c r="C115" s="247" t="e">
        <f t="shared" si="16"/>
        <v>#DIV/0!</v>
      </c>
      <c r="D115" s="247" t="e">
        <f t="shared" si="11"/>
        <v>#DIV/0!</v>
      </c>
      <c r="E115" s="247" t="e">
        <f t="shared" si="12"/>
        <v>#DIV/0!</v>
      </c>
      <c r="F115" s="254" t="e">
        <f t="shared" si="14"/>
        <v>#DIV/0!</v>
      </c>
      <c r="G115" s="254" t="e">
        <f t="shared" si="15"/>
        <v>#DIV/0!</v>
      </c>
      <c r="H115" s="254">
        <f t="shared" si="1"/>
        <v>1</v>
      </c>
      <c r="I115" s="247">
        <f t="shared" si="0"/>
        <v>1500</v>
      </c>
      <c r="J115" s="247">
        <v>750</v>
      </c>
      <c r="K115" s="247">
        <v>12</v>
      </c>
      <c r="L115" s="247" t="e">
        <f t="shared" si="2"/>
        <v>#DIV/0!</v>
      </c>
      <c r="M115" s="247" t="e">
        <f t="shared" si="3"/>
        <v>#DIV/0!</v>
      </c>
      <c r="N115" s="247" t="e">
        <f t="shared" si="4"/>
        <v>#VALUE!</v>
      </c>
      <c r="O115" s="247" t="e">
        <f t="shared" si="5"/>
        <v>#DIV/0!</v>
      </c>
      <c r="P115" s="247" t="e">
        <f t="shared" si="6"/>
        <v>#DIV/0!</v>
      </c>
      <c r="Q115" s="247" t="e">
        <f t="shared" si="7"/>
        <v>#VALUE!</v>
      </c>
      <c r="R115" s="251" t="e">
        <f t="shared" si="8"/>
        <v>#DIV/0!</v>
      </c>
      <c r="S115" s="247">
        <v>750</v>
      </c>
      <c r="T115" s="247">
        <v>12</v>
      </c>
      <c r="U115" s="247"/>
    </row>
    <row r="116" spans="1:21" x14ac:dyDescent="0.2">
      <c r="A116" s="247">
        <f t="shared" si="13"/>
        <v>10.5</v>
      </c>
      <c r="B116" s="255" t="e">
        <f t="shared" si="9"/>
        <v>#DIV/0!</v>
      </c>
      <c r="C116" s="247" t="e">
        <f t="shared" si="16"/>
        <v>#DIV/0!</v>
      </c>
      <c r="D116" s="247" t="e">
        <f t="shared" si="11"/>
        <v>#DIV/0!</v>
      </c>
      <c r="E116" s="247" t="e">
        <f t="shared" si="12"/>
        <v>#DIV/0!</v>
      </c>
      <c r="F116" s="254" t="e">
        <f t="shared" si="14"/>
        <v>#DIV/0!</v>
      </c>
      <c r="G116" s="254" t="e">
        <f t="shared" si="15"/>
        <v>#DIV/0!</v>
      </c>
      <c r="H116" s="254">
        <f t="shared" si="1"/>
        <v>1.5</v>
      </c>
      <c r="I116" s="247">
        <f t="shared" si="0"/>
        <v>1500</v>
      </c>
      <c r="J116" s="253">
        <v>1500</v>
      </c>
      <c r="K116" s="247">
        <v>24</v>
      </c>
      <c r="L116" s="247" t="e">
        <f t="shared" si="2"/>
        <v>#DIV/0!</v>
      </c>
      <c r="M116" s="247" t="e">
        <f t="shared" si="3"/>
        <v>#DIV/0!</v>
      </c>
      <c r="N116" s="247" t="e">
        <f t="shared" si="4"/>
        <v>#VALUE!</v>
      </c>
      <c r="O116" s="247" t="e">
        <f t="shared" si="5"/>
        <v>#DIV/0!</v>
      </c>
      <c r="P116" s="247" t="e">
        <f t="shared" si="6"/>
        <v>#DIV/0!</v>
      </c>
      <c r="Q116" s="247" t="e">
        <f t="shared" si="7"/>
        <v>#VALUE!</v>
      </c>
      <c r="R116" s="251" t="e">
        <f t="shared" si="8"/>
        <v>#DIV/0!</v>
      </c>
      <c r="S116" s="253">
        <v>1500</v>
      </c>
      <c r="T116" s="247">
        <v>24</v>
      </c>
      <c r="U116" s="247"/>
    </row>
    <row r="117" spans="1:21" x14ac:dyDescent="0.2">
      <c r="A117" s="247">
        <f t="shared" si="13"/>
        <v>11</v>
      </c>
      <c r="B117" s="255" t="e">
        <f t="shared" si="9"/>
        <v>#DIV/0!</v>
      </c>
      <c r="C117" s="247" t="e">
        <f t="shared" si="16"/>
        <v>#DIV/0!</v>
      </c>
      <c r="D117" s="247" t="e">
        <f t="shared" si="11"/>
        <v>#DIV/0!</v>
      </c>
      <c r="E117" s="247" t="e">
        <f t="shared" si="12"/>
        <v>#DIV/0!</v>
      </c>
      <c r="F117" s="254" t="e">
        <f t="shared" si="14"/>
        <v>#DIV/0!</v>
      </c>
      <c r="G117" s="254" t="e">
        <f t="shared" si="15"/>
        <v>#DIV/0!</v>
      </c>
      <c r="H117" s="254">
        <f t="shared" si="1"/>
        <v>2.5</v>
      </c>
      <c r="I117" s="247">
        <f t="shared" si="0"/>
        <v>1500</v>
      </c>
      <c r="J117" s="247">
        <v>2250</v>
      </c>
      <c r="K117" s="247">
        <v>36</v>
      </c>
      <c r="L117" s="247" t="e">
        <f t="shared" si="2"/>
        <v>#DIV/0!</v>
      </c>
      <c r="M117" s="247" t="e">
        <f t="shared" si="3"/>
        <v>#DIV/0!</v>
      </c>
      <c r="N117" s="247" t="e">
        <f t="shared" si="4"/>
        <v>#VALUE!</v>
      </c>
      <c r="O117" s="247" t="e">
        <f t="shared" si="5"/>
        <v>#DIV/0!</v>
      </c>
      <c r="P117" s="247" t="e">
        <f t="shared" si="6"/>
        <v>#DIV/0!</v>
      </c>
      <c r="Q117" s="247" t="e">
        <f t="shared" si="7"/>
        <v>#VALUE!</v>
      </c>
      <c r="R117" s="251" t="e">
        <f t="shared" si="8"/>
        <v>#DIV/0!</v>
      </c>
      <c r="S117" s="247">
        <v>2250</v>
      </c>
      <c r="T117" s="247">
        <v>36</v>
      </c>
      <c r="U117" s="247"/>
    </row>
    <row r="118" spans="1:21" x14ac:dyDescent="0.2">
      <c r="A118" s="247">
        <f t="shared" si="13"/>
        <v>11.5</v>
      </c>
      <c r="B118" s="255" t="e">
        <f t="shared" si="9"/>
        <v>#DIV/0!</v>
      </c>
      <c r="C118" s="247" t="e">
        <f t="shared" si="16"/>
        <v>#DIV/0!</v>
      </c>
      <c r="D118" s="247" t="e">
        <f t="shared" si="11"/>
        <v>#DIV/0!</v>
      </c>
      <c r="E118" s="247" t="e">
        <f t="shared" si="12"/>
        <v>#DIV/0!</v>
      </c>
      <c r="F118" s="254" t="e">
        <f t="shared" si="14"/>
        <v>#DIV/0!</v>
      </c>
      <c r="G118" s="254" t="e">
        <f t="shared" si="15"/>
        <v>#DIV/0!</v>
      </c>
      <c r="H118" s="254">
        <f t="shared" si="1"/>
        <v>2.5</v>
      </c>
      <c r="I118" s="247">
        <f t="shared" si="0"/>
        <v>1666.6666666666667</v>
      </c>
      <c r="J118" s="247">
        <v>2500</v>
      </c>
      <c r="K118" s="247">
        <v>36</v>
      </c>
      <c r="L118" s="247" t="e">
        <f t="shared" si="2"/>
        <v>#DIV/0!</v>
      </c>
      <c r="M118" s="247" t="e">
        <f t="shared" si="3"/>
        <v>#DIV/0!</v>
      </c>
      <c r="N118" s="247" t="e">
        <f t="shared" si="4"/>
        <v>#VALUE!</v>
      </c>
      <c r="O118" s="247" t="e">
        <f t="shared" si="5"/>
        <v>#DIV/0!</v>
      </c>
      <c r="P118" s="247" t="e">
        <f t="shared" si="6"/>
        <v>#DIV/0!</v>
      </c>
      <c r="Q118" s="247" t="e">
        <f t="shared" si="7"/>
        <v>#VALUE!</v>
      </c>
      <c r="R118" s="251" t="e">
        <f t="shared" si="8"/>
        <v>#DIV/0!</v>
      </c>
      <c r="S118" s="247">
        <v>2500</v>
      </c>
      <c r="T118" s="247">
        <v>36</v>
      </c>
      <c r="U118" s="247"/>
    </row>
    <row r="119" spans="1:21" x14ac:dyDescent="0.2">
      <c r="A119" s="247">
        <f t="shared" si="13"/>
        <v>12</v>
      </c>
      <c r="B119" s="255" t="e">
        <f t="shared" si="9"/>
        <v>#DIV/0!</v>
      </c>
      <c r="C119" s="247" t="e">
        <f t="shared" si="16"/>
        <v>#DIV/0!</v>
      </c>
      <c r="D119" s="247" t="e">
        <f t="shared" si="11"/>
        <v>#DIV/0!</v>
      </c>
      <c r="E119" s="247" t="e">
        <f t="shared" si="12"/>
        <v>#DIV/0!</v>
      </c>
      <c r="F119" s="254" t="e">
        <f t="shared" si="14"/>
        <v>#DIV/0!</v>
      </c>
      <c r="G119" s="254" t="e">
        <f t="shared" si="15"/>
        <v>#DIV/0!</v>
      </c>
      <c r="H119" s="254">
        <f t="shared" si="1"/>
        <v>2</v>
      </c>
      <c r="I119" s="247">
        <f t="shared" si="0"/>
        <v>1750</v>
      </c>
      <c r="J119" s="247">
        <v>1750</v>
      </c>
      <c r="K119" s="247">
        <v>24</v>
      </c>
      <c r="L119" s="247" t="e">
        <f t="shared" si="2"/>
        <v>#DIV/0!</v>
      </c>
      <c r="M119" s="247" t="e">
        <f t="shared" si="3"/>
        <v>#DIV/0!</v>
      </c>
      <c r="N119" s="247" t="e">
        <f t="shared" si="4"/>
        <v>#VALUE!</v>
      </c>
      <c r="O119" s="247" t="e">
        <f t="shared" si="5"/>
        <v>#DIV/0!</v>
      </c>
      <c r="P119" s="247" t="e">
        <f t="shared" si="6"/>
        <v>#DIV/0!</v>
      </c>
      <c r="Q119" s="247" t="e">
        <f t="shared" si="7"/>
        <v>#VALUE!</v>
      </c>
      <c r="R119" s="251" t="e">
        <f t="shared" si="8"/>
        <v>#DIV/0!</v>
      </c>
      <c r="S119" s="247">
        <v>1750</v>
      </c>
      <c r="T119" s="247">
        <v>24</v>
      </c>
      <c r="U119" s="247"/>
    </row>
    <row r="120" spans="1:21" x14ac:dyDescent="0.2">
      <c r="A120" s="247">
        <f t="shared" si="13"/>
        <v>12.5</v>
      </c>
      <c r="B120" s="255" t="e">
        <f t="shared" si="9"/>
        <v>#DIV/0!</v>
      </c>
      <c r="C120" s="247" t="e">
        <f t="shared" si="16"/>
        <v>#DIV/0!</v>
      </c>
      <c r="D120" s="247" t="e">
        <f>($D$61+D119)</f>
        <v>#DIV/0!</v>
      </c>
      <c r="E120" s="247" t="e">
        <f t="shared" si="12"/>
        <v>#DIV/0!</v>
      </c>
      <c r="F120" s="254" t="e">
        <f t="shared" si="14"/>
        <v>#DIV/0!</v>
      </c>
      <c r="G120" s="254" t="e">
        <f t="shared" si="15"/>
        <v>#DIV/0!</v>
      </c>
      <c r="H120" s="254">
        <f t="shared" si="1"/>
        <v>1</v>
      </c>
      <c r="I120" s="247">
        <f t="shared" si="0"/>
        <v>2000</v>
      </c>
      <c r="J120" s="253">
        <v>1000</v>
      </c>
      <c r="K120" s="247">
        <v>12</v>
      </c>
      <c r="L120" s="247" t="e">
        <f t="shared" si="2"/>
        <v>#DIV/0!</v>
      </c>
      <c r="M120" s="247" t="e">
        <f t="shared" si="3"/>
        <v>#DIV/0!</v>
      </c>
      <c r="N120" s="247" t="e">
        <f t="shared" si="4"/>
        <v>#VALUE!</v>
      </c>
      <c r="O120" s="247" t="e">
        <f t="shared" si="5"/>
        <v>#DIV/0!</v>
      </c>
      <c r="P120" s="247" t="e">
        <f t="shared" si="6"/>
        <v>#DIV/0!</v>
      </c>
      <c r="Q120" s="247" t="e">
        <f t="shared" si="7"/>
        <v>#VALUE!</v>
      </c>
      <c r="R120" s="251" t="e">
        <f t="shared" si="8"/>
        <v>#DIV/0!</v>
      </c>
      <c r="S120" s="253">
        <v>1000</v>
      </c>
      <c r="T120" s="247">
        <v>12</v>
      </c>
      <c r="U120" s="247"/>
    </row>
    <row r="121" spans="1:21" x14ac:dyDescent="0.2">
      <c r="A121" s="247">
        <f t="shared" si="13"/>
        <v>13</v>
      </c>
      <c r="B121" s="255" t="e">
        <f t="shared" si="9"/>
        <v>#DIV/0!</v>
      </c>
      <c r="C121" s="247" t="e">
        <f t="shared" si="16"/>
        <v>#DIV/0!</v>
      </c>
      <c r="D121" s="247" t="e">
        <f t="shared" ref="D121:D143" si="17">($D$120)*EXP(-$B$51*(A121-12.5))</f>
        <v>#DIV/0!</v>
      </c>
      <c r="E121" s="247" t="e">
        <f t="shared" si="12"/>
        <v>#DIV/0!</v>
      </c>
      <c r="F121" s="254" t="e">
        <f t="shared" si="14"/>
        <v>#DIV/0!</v>
      </c>
      <c r="G121" s="254" t="e">
        <f t="shared" si="15"/>
        <v>#DIV/0!</v>
      </c>
      <c r="H121" s="254">
        <f t="shared" si="1"/>
        <v>2</v>
      </c>
      <c r="I121" s="247">
        <f t="shared" si="0"/>
        <v>2000</v>
      </c>
      <c r="J121" s="247">
        <v>2000</v>
      </c>
      <c r="K121" s="247">
        <v>24</v>
      </c>
      <c r="L121" s="247" t="e">
        <f t="shared" si="2"/>
        <v>#DIV/0!</v>
      </c>
      <c r="M121" s="247" t="e">
        <f t="shared" si="3"/>
        <v>#DIV/0!</v>
      </c>
      <c r="N121" s="247" t="e">
        <f t="shared" si="4"/>
        <v>#VALUE!</v>
      </c>
      <c r="O121" s="247" t="e">
        <f t="shared" si="5"/>
        <v>#DIV/0!</v>
      </c>
      <c r="P121" s="247" t="e">
        <f t="shared" si="6"/>
        <v>#DIV/0!</v>
      </c>
      <c r="Q121" s="247" t="e">
        <f t="shared" si="7"/>
        <v>#VALUE!</v>
      </c>
      <c r="R121" s="251" t="e">
        <f t="shared" si="8"/>
        <v>#DIV/0!</v>
      </c>
      <c r="S121" s="247">
        <v>2000</v>
      </c>
      <c r="T121" s="247">
        <v>24</v>
      </c>
      <c r="U121" s="247"/>
    </row>
    <row r="122" spans="1:21" x14ac:dyDescent="0.2">
      <c r="A122" s="247">
        <f t="shared" si="13"/>
        <v>13.5</v>
      </c>
      <c r="B122" s="255" t="e">
        <f t="shared" si="9"/>
        <v>#DIV/0!</v>
      </c>
      <c r="C122" s="247" t="e">
        <f t="shared" si="16"/>
        <v>#DIV/0!</v>
      </c>
      <c r="D122" s="247" t="e">
        <f t="shared" si="17"/>
        <v>#DIV/0!</v>
      </c>
      <c r="E122" s="247" t="e">
        <f t="shared" si="12"/>
        <v>#DIV/0!</v>
      </c>
      <c r="F122" s="254" t="e">
        <f t="shared" si="14"/>
        <v>#DIV/0!</v>
      </c>
      <c r="G122" s="254" t="e">
        <f t="shared" si="15"/>
        <v>#DIV/0!</v>
      </c>
      <c r="H122" s="254">
        <f t="shared" si="1"/>
        <v>1</v>
      </c>
      <c r="I122" s="247">
        <f t="shared" si="0"/>
        <v>2250</v>
      </c>
      <c r="J122" s="247">
        <v>750</v>
      </c>
      <c r="K122" s="247">
        <v>8</v>
      </c>
      <c r="L122" s="247" t="e">
        <f t="shared" si="2"/>
        <v>#DIV/0!</v>
      </c>
      <c r="M122" s="247" t="e">
        <f t="shared" si="3"/>
        <v>#DIV/0!</v>
      </c>
      <c r="N122" s="247" t="e">
        <f t="shared" si="4"/>
        <v>#VALUE!</v>
      </c>
      <c r="O122" s="247" t="e">
        <f t="shared" si="5"/>
        <v>#DIV/0!</v>
      </c>
      <c r="P122" s="247" t="e">
        <f t="shared" si="6"/>
        <v>#DIV/0!</v>
      </c>
      <c r="Q122" s="247" t="e">
        <f t="shared" si="7"/>
        <v>#VALUE!</v>
      </c>
      <c r="R122" s="251" t="e">
        <f t="shared" si="8"/>
        <v>#DIV/0!</v>
      </c>
      <c r="S122" s="247">
        <v>750</v>
      </c>
      <c r="T122" s="247">
        <v>8</v>
      </c>
      <c r="U122" s="247"/>
    </row>
    <row r="123" spans="1:21" x14ac:dyDescent="0.2">
      <c r="A123" s="247">
        <f t="shared" si="13"/>
        <v>14</v>
      </c>
      <c r="B123" s="255" t="e">
        <f t="shared" si="9"/>
        <v>#DIV/0!</v>
      </c>
      <c r="C123" s="247" t="e">
        <f t="shared" si="16"/>
        <v>#DIV/0!</v>
      </c>
      <c r="D123" s="247" t="e">
        <f t="shared" si="17"/>
        <v>#DIV/0!</v>
      </c>
      <c r="E123" s="247" t="e">
        <f t="shared" si="12"/>
        <v>#DIV/0!</v>
      </c>
      <c r="F123" s="254" t="e">
        <f t="shared" si="14"/>
        <v>#DIV/0!</v>
      </c>
      <c r="G123" s="254" t="e">
        <f t="shared" si="15"/>
        <v>#DIV/0!</v>
      </c>
      <c r="H123" s="254">
        <f t="shared" si="1"/>
        <v>2.5</v>
      </c>
      <c r="I123" s="247">
        <f t="shared" si="0"/>
        <v>2250</v>
      </c>
      <c r="J123" s="247">
        <v>2250</v>
      </c>
      <c r="K123" s="247">
        <v>24</v>
      </c>
      <c r="L123" s="247" t="e">
        <f t="shared" si="2"/>
        <v>#DIV/0!</v>
      </c>
      <c r="M123" s="247" t="e">
        <f t="shared" si="3"/>
        <v>#DIV/0!</v>
      </c>
      <c r="N123" s="247" t="e">
        <f t="shared" si="4"/>
        <v>#VALUE!</v>
      </c>
      <c r="O123" s="247" t="e">
        <f t="shared" si="5"/>
        <v>#DIV/0!</v>
      </c>
      <c r="P123" s="247" t="e">
        <f t="shared" si="6"/>
        <v>#DIV/0!</v>
      </c>
      <c r="Q123" s="247" t="e">
        <f t="shared" si="7"/>
        <v>#VALUE!</v>
      </c>
      <c r="R123" s="251" t="e">
        <f t="shared" si="8"/>
        <v>#DIV/0!</v>
      </c>
      <c r="S123" s="247">
        <v>2250</v>
      </c>
      <c r="T123" s="247">
        <v>24</v>
      </c>
      <c r="U123" s="247"/>
    </row>
    <row r="124" spans="1:21" x14ac:dyDescent="0.2">
      <c r="A124" s="247">
        <f t="shared" si="13"/>
        <v>14.5</v>
      </c>
      <c r="B124" s="255" t="e">
        <f t="shared" si="9"/>
        <v>#DIV/0!</v>
      </c>
      <c r="C124" s="247" t="e">
        <f t="shared" si="16"/>
        <v>#DIV/0!</v>
      </c>
      <c r="D124" s="247" t="e">
        <f t="shared" si="17"/>
        <v>#DIV/0!</v>
      </c>
      <c r="E124" s="247" t="e">
        <f t="shared" si="12"/>
        <v>#DIV/0!</v>
      </c>
      <c r="F124" s="254" t="e">
        <f t="shared" si="14"/>
        <v>#DIV/0!</v>
      </c>
      <c r="G124" s="254" t="e">
        <f t="shared" si="15"/>
        <v>#DIV/0!</v>
      </c>
      <c r="H124" s="254">
        <f t="shared" si="1"/>
        <v>1.5</v>
      </c>
      <c r="I124" s="247">
        <f t="shared" si="0"/>
        <v>2500</v>
      </c>
      <c r="J124" s="253">
        <v>1250</v>
      </c>
      <c r="K124" s="247">
        <v>12</v>
      </c>
      <c r="L124" s="247" t="e">
        <f t="shared" si="2"/>
        <v>#DIV/0!</v>
      </c>
      <c r="M124" s="247" t="e">
        <f t="shared" si="3"/>
        <v>#DIV/0!</v>
      </c>
      <c r="N124" s="247" t="e">
        <f t="shared" si="4"/>
        <v>#VALUE!</v>
      </c>
      <c r="O124" s="247" t="e">
        <f t="shared" si="5"/>
        <v>#DIV/0!</v>
      </c>
      <c r="P124" s="247" t="e">
        <f t="shared" si="6"/>
        <v>#DIV/0!</v>
      </c>
      <c r="Q124" s="247" t="e">
        <f t="shared" si="7"/>
        <v>#VALUE!</v>
      </c>
      <c r="R124" s="251" t="e">
        <f t="shared" si="8"/>
        <v>#DIV/0!</v>
      </c>
      <c r="S124" s="253">
        <v>1250</v>
      </c>
      <c r="T124" s="247">
        <v>12</v>
      </c>
      <c r="U124" s="247"/>
    </row>
    <row r="125" spans="1:21" x14ac:dyDescent="0.2">
      <c r="A125" s="247">
        <f t="shared" si="13"/>
        <v>15</v>
      </c>
      <c r="B125" s="255" t="e">
        <f t="shared" si="9"/>
        <v>#DIV/0!</v>
      </c>
      <c r="C125" s="247" t="e">
        <f t="shared" si="16"/>
        <v>#DIV/0!</v>
      </c>
      <c r="D125" s="247" t="e">
        <f t="shared" si="17"/>
        <v>#DIV/0!</v>
      </c>
      <c r="E125" s="247" t="e">
        <f t="shared" si="12"/>
        <v>#DIV/0!</v>
      </c>
      <c r="F125" s="254" t="e">
        <f t="shared" si="14"/>
        <v>#DIV/0!</v>
      </c>
      <c r="G125" s="254" t="e">
        <f t="shared" si="15"/>
        <v>#DIV/0!</v>
      </c>
      <c r="H125" s="254">
        <f t="shared" si="1"/>
        <v>2.5</v>
      </c>
      <c r="I125" s="247">
        <f t="shared" si="0"/>
        <v>2500</v>
      </c>
      <c r="J125" s="247">
        <v>2500</v>
      </c>
      <c r="K125" s="247">
        <v>24</v>
      </c>
      <c r="L125" s="247" t="e">
        <f t="shared" si="2"/>
        <v>#DIV/0!</v>
      </c>
      <c r="M125" s="247" t="e">
        <f t="shared" si="3"/>
        <v>#DIV/0!</v>
      </c>
      <c r="N125" s="247" t="e">
        <f t="shared" si="4"/>
        <v>#VALUE!</v>
      </c>
      <c r="O125" s="247" t="e">
        <f t="shared" si="5"/>
        <v>#DIV/0!</v>
      </c>
      <c r="P125" s="247" t="e">
        <f t="shared" si="6"/>
        <v>#DIV/0!</v>
      </c>
      <c r="Q125" s="247" t="e">
        <f t="shared" si="7"/>
        <v>#VALUE!</v>
      </c>
      <c r="R125" s="251" t="e">
        <f t="shared" si="8"/>
        <v>#DIV/0!</v>
      </c>
      <c r="S125" s="247">
        <v>2500</v>
      </c>
      <c r="T125" s="247">
        <v>24</v>
      </c>
      <c r="U125" s="247"/>
    </row>
    <row r="126" spans="1:21" x14ac:dyDescent="0.2">
      <c r="A126" s="247">
        <f t="shared" si="13"/>
        <v>15.5</v>
      </c>
      <c r="B126" s="255" t="e">
        <f t="shared" si="9"/>
        <v>#DIV/0!</v>
      </c>
      <c r="C126" s="247" t="e">
        <f t="shared" si="16"/>
        <v>#DIV/0!</v>
      </c>
      <c r="D126" s="247" t="e">
        <f t="shared" si="17"/>
        <v>#DIV/0!</v>
      </c>
      <c r="E126" s="247" t="e">
        <f t="shared" si="12"/>
        <v>#DIV/0!</v>
      </c>
      <c r="F126" s="254" t="e">
        <f t="shared" si="14"/>
        <v>#DIV/0!</v>
      </c>
      <c r="G126" s="254" t="e">
        <f t="shared" si="15"/>
        <v>#DIV/0!</v>
      </c>
      <c r="H126" s="254">
        <f t="shared" si="1"/>
        <v>1</v>
      </c>
      <c r="I126" s="247">
        <f t="shared" si="0"/>
        <v>3000</v>
      </c>
      <c r="J126" s="253">
        <v>1000</v>
      </c>
      <c r="K126" s="247">
        <v>8</v>
      </c>
      <c r="L126" s="247" t="e">
        <f t="shared" si="2"/>
        <v>#DIV/0!</v>
      </c>
      <c r="M126" s="247" t="e">
        <f t="shared" si="3"/>
        <v>#DIV/0!</v>
      </c>
      <c r="N126" s="247" t="e">
        <f t="shared" si="4"/>
        <v>#VALUE!</v>
      </c>
      <c r="O126" s="247" t="e">
        <f t="shared" si="5"/>
        <v>#DIV/0!</v>
      </c>
      <c r="P126" s="247" t="e">
        <f t="shared" si="6"/>
        <v>#DIV/0!</v>
      </c>
      <c r="Q126" s="247" t="e">
        <f t="shared" si="7"/>
        <v>#VALUE!</v>
      </c>
      <c r="R126" s="251" t="e">
        <f t="shared" si="8"/>
        <v>#DIV/0!</v>
      </c>
      <c r="S126" s="253">
        <v>1000</v>
      </c>
      <c r="T126" s="247">
        <v>8</v>
      </c>
      <c r="U126" s="247"/>
    </row>
    <row r="127" spans="1:21" x14ac:dyDescent="0.2">
      <c r="A127" s="247">
        <f t="shared" si="13"/>
        <v>16</v>
      </c>
      <c r="B127" s="255" t="e">
        <f t="shared" si="9"/>
        <v>#DIV/0!</v>
      </c>
      <c r="C127" s="247" t="e">
        <f t="shared" si="16"/>
        <v>#DIV/0!</v>
      </c>
      <c r="D127" s="247" t="e">
        <f t="shared" si="17"/>
        <v>#DIV/0!</v>
      </c>
      <c r="E127" s="247" t="e">
        <f t="shared" si="12"/>
        <v>#DIV/0!</v>
      </c>
      <c r="F127" s="254" t="e">
        <f t="shared" si="14"/>
        <v>#DIV/0!</v>
      </c>
      <c r="G127" s="254" t="e">
        <f t="shared" si="15"/>
        <v>#DIV/0!</v>
      </c>
      <c r="H127" s="254">
        <f t="shared" si="1"/>
        <v>1.5</v>
      </c>
      <c r="I127" s="247">
        <f t="shared" si="0"/>
        <v>3000</v>
      </c>
      <c r="J127" s="253">
        <v>1500</v>
      </c>
      <c r="K127" s="247">
        <v>12</v>
      </c>
      <c r="L127" s="247" t="e">
        <f t="shared" si="2"/>
        <v>#DIV/0!</v>
      </c>
      <c r="M127" s="247" t="e">
        <f t="shared" si="3"/>
        <v>#DIV/0!</v>
      </c>
      <c r="N127" s="247" t="e">
        <f t="shared" si="4"/>
        <v>#VALUE!</v>
      </c>
      <c r="O127" s="247" t="e">
        <f t="shared" si="5"/>
        <v>#DIV/0!</v>
      </c>
      <c r="P127" s="247" t="e">
        <f t="shared" si="6"/>
        <v>#DIV/0!</v>
      </c>
      <c r="Q127" s="247" t="e">
        <f t="shared" si="7"/>
        <v>#VALUE!</v>
      </c>
      <c r="R127" s="251" t="e">
        <f t="shared" si="8"/>
        <v>#DIV/0!</v>
      </c>
      <c r="S127" s="253">
        <v>1500</v>
      </c>
      <c r="T127" s="247">
        <v>12</v>
      </c>
      <c r="U127" s="247"/>
    </row>
    <row r="128" spans="1:21" x14ac:dyDescent="0.2">
      <c r="A128" s="247">
        <f t="shared" si="13"/>
        <v>16.5</v>
      </c>
      <c r="B128" s="255" t="e">
        <f t="shared" si="9"/>
        <v>#DIV/0!</v>
      </c>
      <c r="C128" s="247" t="e">
        <f>(C127+D61)</f>
        <v>#DIV/0!</v>
      </c>
      <c r="D128" s="247" t="e">
        <f t="shared" si="17"/>
        <v>#DIV/0!</v>
      </c>
      <c r="E128" s="247" t="e">
        <f t="shared" si="12"/>
        <v>#DIV/0!</v>
      </c>
      <c r="F128" s="254" t="e">
        <f t="shared" si="14"/>
        <v>#DIV/0!</v>
      </c>
      <c r="G128" s="254" t="e">
        <f t="shared" si="15"/>
        <v>#DIV/0!</v>
      </c>
      <c r="H128" s="254">
        <f t="shared" si="1"/>
        <v>2</v>
      </c>
      <c r="I128" s="247">
        <f t="shared" si="0"/>
        <v>3500</v>
      </c>
      <c r="J128" s="247">
        <v>1750</v>
      </c>
      <c r="K128" s="247">
        <v>12</v>
      </c>
      <c r="L128" s="247" t="e">
        <f t="shared" si="2"/>
        <v>#DIV/0!</v>
      </c>
      <c r="M128" s="247" t="e">
        <f t="shared" si="3"/>
        <v>#DIV/0!</v>
      </c>
      <c r="N128" s="247" t="e">
        <f t="shared" si="4"/>
        <v>#VALUE!</v>
      </c>
      <c r="O128" s="247" t="e">
        <f t="shared" si="5"/>
        <v>#DIV/0!</v>
      </c>
      <c r="P128" s="247" t="e">
        <f t="shared" si="6"/>
        <v>#DIV/0!</v>
      </c>
      <c r="Q128" s="247" t="e">
        <f t="shared" si="7"/>
        <v>#VALUE!</v>
      </c>
      <c r="R128" s="251" t="e">
        <f t="shared" si="8"/>
        <v>#DIV/0!</v>
      </c>
      <c r="S128" s="247">
        <v>1750</v>
      </c>
      <c r="T128" s="247">
        <v>12</v>
      </c>
      <c r="U128" s="247"/>
    </row>
    <row r="129" spans="1:21" x14ac:dyDescent="0.2">
      <c r="A129" s="247">
        <f t="shared" ref="A129:A160" si="18">A128+0.5</f>
        <v>17</v>
      </c>
      <c r="B129" s="255" t="e">
        <f t="shared" si="9"/>
        <v>#DIV/0!</v>
      </c>
      <c r="C129" s="247" t="e">
        <f t="shared" ref="C129:C143" si="19">($C$128)*EXP(-$B$51*(A129-16.5))</f>
        <v>#DIV/0!</v>
      </c>
      <c r="D129" s="247" t="e">
        <f t="shared" si="17"/>
        <v>#DIV/0!</v>
      </c>
      <c r="E129" s="247" t="e">
        <f t="shared" si="12"/>
        <v>#DIV/0!</v>
      </c>
      <c r="F129" s="254" t="e">
        <f t="shared" si="14"/>
        <v>#DIV/0!</v>
      </c>
      <c r="G129" s="254" t="e">
        <f t="shared" si="15"/>
        <v>#DIV/0!</v>
      </c>
      <c r="H129" s="254">
        <f t="shared" si="1"/>
        <v>1.5</v>
      </c>
      <c r="I129" s="247">
        <f t="shared" si="0"/>
        <v>3750</v>
      </c>
      <c r="J129" s="253">
        <v>1250</v>
      </c>
      <c r="K129" s="247">
        <v>8</v>
      </c>
      <c r="L129" s="247" t="e">
        <f t="shared" si="2"/>
        <v>#DIV/0!</v>
      </c>
      <c r="M129" s="247" t="e">
        <f t="shared" si="3"/>
        <v>#DIV/0!</v>
      </c>
      <c r="N129" s="247" t="e">
        <f t="shared" si="4"/>
        <v>#VALUE!</v>
      </c>
      <c r="O129" s="247" t="e">
        <f t="shared" si="5"/>
        <v>#DIV/0!</v>
      </c>
      <c r="P129" s="247" t="e">
        <f t="shared" si="6"/>
        <v>#DIV/0!</v>
      </c>
      <c r="Q129" s="247" t="e">
        <f t="shared" si="7"/>
        <v>#VALUE!</v>
      </c>
      <c r="R129" s="251" t="e">
        <f t="shared" si="8"/>
        <v>#DIV/0!</v>
      </c>
      <c r="S129" s="253">
        <v>1250</v>
      </c>
      <c r="T129" s="247">
        <v>8</v>
      </c>
      <c r="U129" s="247"/>
    </row>
    <row r="130" spans="1:21" x14ac:dyDescent="0.2">
      <c r="A130" s="247">
        <f t="shared" si="18"/>
        <v>17.5</v>
      </c>
      <c r="B130" s="255" t="e">
        <f t="shared" si="9"/>
        <v>#DIV/0!</v>
      </c>
      <c r="C130" s="247" t="e">
        <f t="shared" si="19"/>
        <v>#DIV/0!</v>
      </c>
      <c r="D130" s="247" t="e">
        <f t="shared" si="17"/>
        <v>#DIV/0!</v>
      </c>
      <c r="E130" s="247" t="e">
        <f t="shared" si="12"/>
        <v>#DIV/0!</v>
      </c>
      <c r="F130" s="254" t="e">
        <f t="shared" si="14"/>
        <v>#DIV/0!</v>
      </c>
      <c r="G130" s="254" t="e">
        <f t="shared" si="15"/>
        <v>#DIV/0!</v>
      </c>
      <c r="H130" s="254">
        <f t="shared" si="1"/>
        <v>2</v>
      </c>
      <c r="I130" s="247">
        <f t="shared" si="0"/>
        <v>4000</v>
      </c>
      <c r="J130" s="247">
        <v>2000</v>
      </c>
      <c r="K130" s="247">
        <v>12</v>
      </c>
      <c r="L130" s="247" t="e">
        <f t="shared" si="2"/>
        <v>#DIV/0!</v>
      </c>
      <c r="M130" s="247" t="e">
        <f t="shared" si="3"/>
        <v>#DIV/0!</v>
      </c>
      <c r="N130" s="247" t="e">
        <f t="shared" si="4"/>
        <v>#VALUE!</v>
      </c>
      <c r="O130" s="247" t="e">
        <f t="shared" si="5"/>
        <v>#DIV/0!</v>
      </c>
      <c r="P130" s="247" t="e">
        <f t="shared" si="6"/>
        <v>#DIV/0!</v>
      </c>
      <c r="Q130" s="247" t="e">
        <f t="shared" si="7"/>
        <v>#VALUE!</v>
      </c>
      <c r="R130" s="251" t="e">
        <f t="shared" si="8"/>
        <v>#DIV/0!</v>
      </c>
      <c r="S130" s="247">
        <v>2000</v>
      </c>
      <c r="T130" s="247">
        <v>12</v>
      </c>
      <c r="U130" s="247"/>
    </row>
    <row r="131" spans="1:21" x14ac:dyDescent="0.2">
      <c r="A131" s="247">
        <f t="shared" si="18"/>
        <v>18</v>
      </c>
      <c r="B131" s="255" t="e">
        <f t="shared" si="9"/>
        <v>#DIV/0!</v>
      </c>
      <c r="C131" s="247" t="e">
        <f t="shared" si="19"/>
        <v>#DIV/0!</v>
      </c>
      <c r="D131" s="247" t="e">
        <f t="shared" si="17"/>
        <v>#DIV/0!</v>
      </c>
      <c r="E131" s="247" t="e">
        <f t="shared" si="12"/>
        <v>#DIV/0!</v>
      </c>
      <c r="F131" s="254" t="e">
        <f t="shared" si="14"/>
        <v>#DIV/0!</v>
      </c>
      <c r="G131" s="254" t="e">
        <f t="shared" si="15"/>
        <v>#DIV/0!</v>
      </c>
      <c r="H131" s="254">
        <f t="shared" si="1"/>
        <v>1.5</v>
      </c>
      <c r="I131" s="247">
        <f t="shared" si="0"/>
        <v>4500</v>
      </c>
      <c r="J131" s="253">
        <v>1500</v>
      </c>
      <c r="K131" s="247">
        <v>8</v>
      </c>
      <c r="L131" s="247" t="e">
        <f t="shared" si="2"/>
        <v>#DIV/0!</v>
      </c>
      <c r="M131" s="247" t="e">
        <f t="shared" si="3"/>
        <v>#DIV/0!</v>
      </c>
      <c r="N131" s="247" t="e">
        <f t="shared" si="4"/>
        <v>#VALUE!</v>
      </c>
      <c r="O131" s="247" t="e">
        <f t="shared" si="5"/>
        <v>#DIV/0!</v>
      </c>
      <c r="P131" s="247" t="e">
        <f t="shared" si="6"/>
        <v>#DIV/0!</v>
      </c>
      <c r="Q131" s="247" t="e">
        <f t="shared" si="7"/>
        <v>#VALUE!</v>
      </c>
      <c r="R131" s="251" t="e">
        <f t="shared" si="8"/>
        <v>#DIV/0!</v>
      </c>
      <c r="S131" s="253">
        <v>1500</v>
      </c>
      <c r="T131" s="247">
        <v>8</v>
      </c>
      <c r="U131" s="247"/>
    </row>
    <row r="132" spans="1:21" x14ac:dyDescent="0.2">
      <c r="A132" s="247">
        <f t="shared" si="18"/>
        <v>18.5</v>
      </c>
      <c r="B132" s="255" t="e">
        <f t="shared" si="9"/>
        <v>#DIV/0!</v>
      </c>
      <c r="C132" s="247" t="e">
        <f t="shared" si="19"/>
        <v>#DIV/0!</v>
      </c>
      <c r="D132" s="247" t="e">
        <f t="shared" si="17"/>
        <v>#DIV/0!</v>
      </c>
      <c r="E132" s="247" t="e">
        <f t="shared" si="12"/>
        <v>#DIV/0!</v>
      </c>
      <c r="F132" s="254" t="e">
        <f t="shared" si="14"/>
        <v>#DIV/0!</v>
      </c>
      <c r="G132" s="254" t="e">
        <f t="shared" si="15"/>
        <v>#DIV/0!</v>
      </c>
      <c r="H132" s="254">
        <f t="shared" si="1"/>
        <v>2.5</v>
      </c>
      <c r="I132" s="247">
        <f t="shared" si="0"/>
        <v>4500</v>
      </c>
      <c r="J132" s="247">
        <v>2250</v>
      </c>
      <c r="K132" s="247">
        <v>12</v>
      </c>
      <c r="L132" s="247" t="e">
        <f t="shared" si="2"/>
        <v>#DIV/0!</v>
      </c>
      <c r="M132" s="247" t="e">
        <f t="shared" si="3"/>
        <v>#DIV/0!</v>
      </c>
      <c r="N132" s="247" t="e">
        <f t="shared" si="4"/>
        <v>#VALUE!</v>
      </c>
      <c r="O132" s="247" t="e">
        <f t="shared" si="5"/>
        <v>#DIV/0!</v>
      </c>
      <c r="P132" s="247" t="e">
        <f t="shared" si="6"/>
        <v>#DIV/0!</v>
      </c>
      <c r="Q132" s="247" t="e">
        <f t="shared" si="7"/>
        <v>#VALUE!</v>
      </c>
      <c r="R132" s="251" t="e">
        <f t="shared" si="8"/>
        <v>#DIV/0!</v>
      </c>
      <c r="S132" s="247">
        <v>2250</v>
      </c>
      <c r="T132" s="247">
        <v>12</v>
      </c>
      <c r="U132" s="247"/>
    </row>
    <row r="133" spans="1:21" x14ac:dyDescent="0.2">
      <c r="A133" s="247">
        <f t="shared" si="18"/>
        <v>19</v>
      </c>
      <c r="B133" s="255" t="e">
        <f t="shared" si="9"/>
        <v>#DIV/0!</v>
      </c>
      <c r="C133" s="247" t="e">
        <f t="shared" si="19"/>
        <v>#DIV/0!</v>
      </c>
      <c r="D133" s="247" t="e">
        <f t="shared" si="17"/>
        <v>#DIV/0!</v>
      </c>
      <c r="E133" s="247" t="e">
        <f t="shared" si="12"/>
        <v>#DIV/0!</v>
      </c>
      <c r="F133" s="254" t="e">
        <f t="shared" si="14"/>
        <v>#DIV/0!</v>
      </c>
      <c r="G133" s="254" t="e">
        <f t="shared" si="15"/>
        <v>#DIV/0!</v>
      </c>
      <c r="H133" s="254">
        <f t="shared" si="1"/>
        <v>2.5</v>
      </c>
      <c r="I133" s="247">
        <f t="shared" si="0"/>
        <v>5000</v>
      </c>
      <c r="J133" s="247">
        <v>2500</v>
      </c>
      <c r="K133" s="247">
        <v>12</v>
      </c>
      <c r="L133" s="247" t="e">
        <f t="shared" si="2"/>
        <v>#DIV/0!</v>
      </c>
      <c r="M133" s="247" t="e">
        <f t="shared" si="3"/>
        <v>#DIV/0!</v>
      </c>
      <c r="N133" s="247" t="e">
        <f t="shared" si="4"/>
        <v>#VALUE!</v>
      </c>
      <c r="O133" s="247" t="e">
        <f t="shared" si="5"/>
        <v>#DIV/0!</v>
      </c>
      <c r="P133" s="247" t="e">
        <f t="shared" si="6"/>
        <v>#DIV/0!</v>
      </c>
      <c r="Q133" s="247" t="e">
        <f t="shared" si="7"/>
        <v>#VALUE!</v>
      </c>
      <c r="R133" s="251" t="e">
        <f t="shared" si="8"/>
        <v>#DIV/0!</v>
      </c>
      <c r="S133" s="247">
        <v>2500</v>
      </c>
      <c r="T133" s="247">
        <v>12</v>
      </c>
      <c r="U133" s="247"/>
    </row>
    <row r="134" spans="1:21" x14ac:dyDescent="0.2">
      <c r="A134" s="247">
        <f t="shared" si="18"/>
        <v>19.5</v>
      </c>
      <c r="B134" s="255" t="e">
        <f t="shared" si="9"/>
        <v>#DIV/0!</v>
      </c>
      <c r="C134" s="247" t="e">
        <f t="shared" si="19"/>
        <v>#DIV/0!</v>
      </c>
      <c r="D134" s="247" t="e">
        <f t="shared" si="17"/>
        <v>#DIV/0!</v>
      </c>
      <c r="E134" s="247" t="e">
        <f t="shared" si="12"/>
        <v>#DIV/0!</v>
      </c>
      <c r="F134" s="254" t="e">
        <f t="shared" si="14"/>
        <v>#DIV/0!</v>
      </c>
      <c r="G134" s="254" t="e">
        <f t="shared" si="15"/>
        <v>#DIV/0!</v>
      </c>
      <c r="H134" s="254">
        <f t="shared" si="1"/>
        <v>2</v>
      </c>
      <c r="I134" s="247">
        <f t="shared" si="0"/>
        <v>5250</v>
      </c>
      <c r="J134" s="247">
        <v>1750</v>
      </c>
      <c r="K134" s="247">
        <v>8</v>
      </c>
      <c r="L134" s="247" t="e">
        <f t="shared" si="2"/>
        <v>#DIV/0!</v>
      </c>
      <c r="M134" s="247" t="e">
        <f t="shared" si="3"/>
        <v>#DIV/0!</v>
      </c>
      <c r="N134" s="247" t="e">
        <f t="shared" si="4"/>
        <v>#VALUE!</v>
      </c>
      <c r="O134" s="247" t="e">
        <f t="shared" si="5"/>
        <v>#DIV/0!</v>
      </c>
      <c r="P134" s="247" t="e">
        <f t="shared" si="6"/>
        <v>#DIV/0!</v>
      </c>
      <c r="Q134" s="247" t="e">
        <f t="shared" si="7"/>
        <v>#VALUE!</v>
      </c>
      <c r="R134" s="251" t="e">
        <f t="shared" si="8"/>
        <v>#DIV/0!</v>
      </c>
      <c r="S134" s="247">
        <v>1750</v>
      </c>
      <c r="T134" s="247">
        <v>8</v>
      </c>
      <c r="U134" s="247"/>
    </row>
    <row r="135" spans="1:21" x14ac:dyDescent="0.2">
      <c r="A135" s="247">
        <f t="shared" si="18"/>
        <v>20</v>
      </c>
      <c r="B135" s="255" t="e">
        <f t="shared" si="9"/>
        <v>#DIV/0!</v>
      </c>
      <c r="C135" s="247" t="e">
        <f t="shared" si="19"/>
        <v>#DIV/0!</v>
      </c>
      <c r="D135" s="247" t="e">
        <f t="shared" si="17"/>
        <v>#DIV/0!</v>
      </c>
      <c r="E135" s="247" t="e">
        <f t="shared" si="12"/>
        <v>#DIV/0!</v>
      </c>
      <c r="F135" s="254" t="e">
        <f t="shared" si="14"/>
        <v>#DIV/0!</v>
      </c>
      <c r="G135" s="254" t="e">
        <f t="shared" si="15"/>
        <v>#DIV/0!</v>
      </c>
      <c r="H135" s="254">
        <f t="shared" si="1"/>
        <v>2</v>
      </c>
      <c r="I135" s="247">
        <f t="shared" si="0"/>
        <v>6000</v>
      </c>
      <c r="J135" s="247">
        <v>2000</v>
      </c>
      <c r="K135" s="247">
        <v>8</v>
      </c>
      <c r="L135" s="247" t="e">
        <f t="shared" si="2"/>
        <v>#DIV/0!</v>
      </c>
      <c r="M135" s="247" t="e">
        <f t="shared" si="3"/>
        <v>#DIV/0!</v>
      </c>
      <c r="N135" s="247" t="e">
        <f t="shared" si="4"/>
        <v>#VALUE!</v>
      </c>
      <c r="O135" s="247" t="e">
        <f t="shared" si="5"/>
        <v>#DIV/0!</v>
      </c>
      <c r="P135" s="247" t="e">
        <f t="shared" si="6"/>
        <v>#DIV/0!</v>
      </c>
      <c r="Q135" s="247" t="e">
        <f t="shared" si="7"/>
        <v>#VALUE!</v>
      </c>
      <c r="R135" s="251" t="e">
        <f t="shared" si="8"/>
        <v>#DIV/0!</v>
      </c>
      <c r="S135" s="247">
        <v>2000</v>
      </c>
      <c r="T135" s="247">
        <v>8</v>
      </c>
      <c r="U135" s="247"/>
    </row>
    <row r="136" spans="1:21" x14ac:dyDescent="0.2">
      <c r="A136" s="247">
        <f t="shared" si="18"/>
        <v>20.5</v>
      </c>
      <c r="B136" s="255" t="e">
        <f t="shared" si="9"/>
        <v>#DIV/0!</v>
      </c>
      <c r="C136" s="247" t="e">
        <f t="shared" si="19"/>
        <v>#DIV/0!</v>
      </c>
      <c r="D136" s="247" t="e">
        <f t="shared" si="17"/>
        <v>#DIV/0!</v>
      </c>
      <c r="E136" s="247" t="e">
        <f t="shared" si="12"/>
        <v>#DIV/0!</v>
      </c>
      <c r="F136" s="254" t="e">
        <f t="shared" si="14"/>
        <v>#DIV/0!</v>
      </c>
      <c r="G136" s="254" t="e">
        <f t="shared" si="15"/>
        <v>#DIV/0!</v>
      </c>
      <c r="H136" s="254">
        <f t="shared" si="1"/>
        <v>2.5</v>
      </c>
      <c r="I136" s="247">
        <f t="shared" si="0"/>
        <v>6750</v>
      </c>
      <c r="J136" s="247">
        <v>2250</v>
      </c>
      <c r="K136" s="247">
        <v>8</v>
      </c>
      <c r="L136" s="247" t="e">
        <f t="shared" si="2"/>
        <v>#DIV/0!</v>
      </c>
      <c r="M136" s="247" t="e">
        <f t="shared" si="3"/>
        <v>#DIV/0!</v>
      </c>
      <c r="N136" s="247" t="e">
        <f t="shared" si="4"/>
        <v>#VALUE!</v>
      </c>
      <c r="O136" s="247" t="e">
        <f t="shared" si="5"/>
        <v>#DIV/0!</v>
      </c>
      <c r="P136" s="247" t="e">
        <f t="shared" si="6"/>
        <v>#DIV/0!</v>
      </c>
      <c r="Q136" s="247" t="e">
        <f t="shared" si="7"/>
        <v>#VALUE!</v>
      </c>
      <c r="R136" s="251" t="e">
        <f t="shared" si="8"/>
        <v>#DIV/0!</v>
      </c>
      <c r="S136" s="247">
        <v>2250</v>
      </c>
      <c r="T136" s="247">
        <v>8</v>
      </c>
      <c r="U136" s="247"/>
    </row>
    <row r="137" spans="1:21" x14ac:dyDescent="0.2">
      <c r="A137" s="247">
        <f t="shared" si="18"/>
        <v>21</v>
      </c>
      <c r="B137" s="255" t="e">
        <f t="shared" si="9"/>
        <v>#DIV/0!</v>
      </c>
      <c r="C137" s="247" t="e">
        <f t="shared" si="19"/>
        <v>#DIV/0!</v>
      </c>
      <c r="D137" s="247" t="e">
        <f t="shared" si="17"/>
        <v>#DIV/0!</v>
      </c>
      <c r="E137" s="247" t="e">
        <f t="shared" si="12"/>
        <v>#DIV/0!</v>
      </c>
      <c r="F137" s="254" t="e">
        <f t="shared" si="14"/>
        <v>#DIV/0!</v>
      </c>
      <c r="G137" s="254" t="e">
        <f t="shared" si="15"/>
        <v>#DIV/0!</v>
      </c>
      <c r="H137" s="254">
        <f t="shared" si="1"/>
        <v>2.5</v>
      </c>
      <c r="I137" s="247">
        <f t="shared" si="0"/>
        <v>7500</v>
      </c>
      <c r="J137" s="247">
        <v>2500</v>
      </c>
      <c r="K137" s="247">
        <v>8</v>
      </c>
      <c r="L137" s="247" t="e">
        <f t="shared" si="2"/>
        <v>#DIV/0!</v>
      </c>
      <c r="M137" s="247" t="e">
        <f t="shared" si="3"/>
        <v>#DIV/0!</v>
      </c>
      <c r="N137" s="247" t="e">
        <f t="shared" si="4"/>
        <v>#VALUE!</v>
      </c>
      <c r="O137" s="247" t="e">
        <f t="shared" si="5"/>
        <v>#DIV/0!</v>
      </c>
      <c r="P137" s="247" t="e">
        <f t="shared" si="6"/>
        <v>#DIV/0!</v>
      </c>
      <c r="Q137" s="247" t="e">
        <f t="shared" si="7"/>
        <v>#VALUE!</v>
      </c>
      <c r="R137" s="251" t="e">
        <f t="shared" si="8"/>
        <v>#DIV/0!</v>
      </c>
      <c r="S137" s="247">
        <v>2500</v>
      </c>
      <c r="T137" s="247">
        <v>8</v>
      </c>
      <c r="U137" s="247"/>
    </row>
    <row r="138" spans="1:21" x14ac:dyDescent="0.2">
      <c r="A138" s="247">
        <f t="shared" si="18"/>
        <v>21.5</v>
      </c>
      <c r="B138" s="255" t="e">
        <f t="shared" si="9"/>
        <v>#DIV/0!</v>
      </c>
      <c r="C138" s="247" t="e">
        <f t="shared" si="19"/>
        <v>#DIV/0!</v>
      </c>
      <c r="D138" s="247" t="e">
        <f t="shared" si="17"/>
        <v>#DIV/0!</v>
      </c>
      <c r="E138" s="247" t="e">
        <f t="shared" si="12"/>
        <v>#DIV/0!</v>
      </c>
      <c r="F138" s="254" t="e">
        <f t="shared" si="14"/>
        <v>#DIV/0!</v>
      </c>
      <c r="G138" s="254" t="e">
        <f t="shared" si="15"/>
        <v>#DIV/0!</v>
      </c>
      <c r="H138" s="18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  <c r="U138" s="247"/>
    </row>
    <row r="139" spans="1:21" x14ac:dyDescent="0.2">
      <c r="A139" s="247">
        <f t="shared" si="18"/>
        <v>22</v>
      </c>
      <c r="B139" s="255" t="e">
        <f t="shared" si="9"/>
        <v>#DIV/0!</v>
      </c>
      <c r="C139" s="247" t="e">
        <f t="shared" si="19"/>
        <v>#DIV/0!</v>
      </c>
      <c r="D139" s="247" t="e">
        <f t="shared" si="17"/>
        <v>#DIV/0!</v>
      </c>
      <c r="E139" s="247" t="e">
        <f t="shared" si="12"/>
        <v>#DIV/0!</v>
      </c>
      <c r="F139" s="254" t="e">
        <f t="shared" si="14"/>
        <v>#DIV/0!</v>
      </c>
      <c r="G139" s="254" t="e">
        <f t="shared" si="15"/>
        <v>#DIV/0!</v>
      </c>
      <c r="H139" s="18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  <c r="U139" s="247"/>
    </row>
    <row r="140" spans="1:21" x14ac:dyDescent="0.2">
      <c r="A140" s="247">
        <f t="shared" si="18"/>
        <v>22.5</v>
      </c>
      <c r="B140" s="255" t="e">
        <f t="shared" si="9"/>
        <v>#DIV/0!</v>
      </c>
      <c r="C140" s="247" t="e">
        <f t="shared" si="19"/>
        <v>#DIV/0!</v>
      </c>
      <c r="D140" s="247" t="e">
        <f t="shared" si="17"/>
        <v>#DIV/0!</v>
      </c>
      <c r="E140" s="247" t="e">
        <f t="shared" si="12"/>
        <v>#DIV/0!</v>
      </c>
      <c r="F140" s="254" t="e">
        <f t="shared" si="14"/>
        <v>#DIV/0!</v>
      </c>
      <c r="G140" s="254" t="e">
        <f t="shared" si="15"/>
        <v>#DIV/0!</v>
      </c>
      <c r="H140" s="18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  <c r="U140" s="247"/>
    </row>
    <row r="141" spans="1:21" x14ac:dyDescent="0.2">
      <c r="A141" s="247">
        <f t="shared" si="18"/>
        <v>23</v>
      </c>
      <c r="B141" s="255" t="e">
        <f t="shared" si="9"/>
        <v>#DIV/0!</v>
      </c>
      <c r="C141" s="247" t="e">
        <f t="shared" si="19"/>
        <v>#DIV/0!</v>
      </c>
      <c r="D141" s="247" t="e">
        <f t="shared" si="17"/>
        <v>#DIV/0!</v>
      </c>
      <c r="E141" s="247" t="e">
        <f t="shared" si="12"/>
        <v>#DIV/0!</v>
      </c>
      <c r="F141" s="254" t="e">
        <f t="shared" si="14"/>
        <v>#DIV/0!</v>
      </c>
      <c r="G141" s="254" t="e">
        <f t="shared" si="15"/>
        <v>#DIV/0!</v>
      </c>
      <c r="H141" s="18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  <c r="U141" s="247"/>
    </row>
    <row r="142" spans="1:21" x14ac:dyDescent="0.2">
      <c r="A142" s="247">
        <f t="shared" si="18"/>
        <v>23.5</v>
      </c>
      <c r="B142" s="255" t="e">
        <f t="shared" si="9"/>
        <v>#DIV/0!</v>
      </c>
      <c r="C142" s="247" t="e">
        <f t="shared" si="19"/>
        <v>#DIV/0!</v>
      </c>
      <c r="D142" s="247" t="e">
        <f t="shared" si="17"/>
        <v>#DIV/0!</v>
      </c>
      <c r="E142" s="247" t="e">
        <f t="shared" si="12"/>
        <v>#DIV/0!</v>
      </c>
      <c r="F142" s="254" t="e">
        <f t="shared" si="14"/>
        <v>#DIV/0!</v>
      </c>
      <c r="G142" s="254" t="e">
        <f t="shared" si="15"/>
        <v>#DIV/0!</v>
      </c>
      <c r="H142" s="18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  <c r="U142" s="247"/>
    </row>
    <row r="143" spans="1:21" x14ac:dyDescent="0.2">
      <c r="A143" s="247">
        <f t="shared" si="18"/>
        <v>24</v>
      </c>
      <c r="B143" s="255" t="e">
        <f t="shared" si="9"/>
        <v>#DIV/0!</v>
      </c>
      <c r="C143" s="247" t="e">
        <f t="shared" si="19"/>
        <v>#DIV/0!</v>
      </c>
      <c r="D143" s="247" t="e">
        <f t="shared" si="17"/>
        <v>#DIV/0!</v>
      </c>
      <c r="E143" s="247" t="e">
        <f t="shared" si="12"/>
        <v>#DIV/0!</v>
      </c>
      <c r="F143" s="254" t="e">
        <f t="shared" si="14"/>
        <v>#DIV/0!</v>
      </c>
      <c r="G143" s="254" t="e">
        <f t="shared" si="15"/>
        <v>#DIV/0!</v>
      </c>
      <c r="H143" s="18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  <c r="U143" s="247"/>
    </row>
    <row r="144" spans="1:21" x14ac:dyDescent="0.2">
      <c r="A144" s="247">
        <f t="shared" si="18"/>
        <v>24.5</v>
      </c>
      <c r="B144" s="255" t="e">
        <f t="shared" si="9"/>
        <v>#DIV/0!</v>
      </c>
      <c r="C144" s="247" t="e">
        <f>(D61+C143)</f>
        <v>#DIV/0!</v>
      </c>
      <c r="D144" s="247" t="e">
        <f>($D$61+D143)</f>
        <v>#DIV/0!</v>
      </c>
      <c r="E144" s="247" t="e">
        <f>($D$61+E143)</f>
        <v>#DIV/0!</v>
      </c>
      <c r="F144" s="254" t="e">
        <f t="shared" si="14"/>
        <v>#DIV/0!</v>
      </c>
      <c r="G144" s="254" t="e">
        <f t="shared" si="15"/>
        <v>#DIV/0!</v>
      </c>
      <c r="H144" s="18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  <c r="U144" s="247"/>
    </row>
    <row r="145" spans="1:21" x14ac:dyDescent="0.2">
      <c r="A145" s="247">
        <f t="shared" si="18"/>
        <v>25</v>
      </c>
      <c r="B145" s="255" t="e">
        <f t="shared" si="9"/>
        <v>#DIV/0!</v>
      </c>
      <c r="C145" s="247" t="e">
        <f t="shared" ref="C145:C159" si="20">($C$144)*EXP(-$B$51*(A145-24.5))</f>
        <v>#DIV/0!</v>
      </c>
      <c r="D145" s="247" t="e">
        <f t="shared" ref="D145:D167" si="21">($D$144)*EXP(-$B$51*(A145-24.5))</f>
        <v>#DIV/0!</v>
      </c>
      <c r="E145" s="247" t="e">
        <f t="shared" ref="E145:E167" si="22">($E$144)*EXP(-$B$51*(A145-24.5))</f>
        <v>#DIV/0!</v>
      </c>
      <c r="F145" s="254" t="e">
        <f t="shared" si="14"/>
        <v>#DIV/0!</v>
      </c>
      <c r="G145" s="254" t="e">
        <f t="shared" si="15"/>
        <v>#DIV/0!</v>
      </c>
      <c r="H145" s="18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  <c r="U145" s="247"/>
    </row>
    <row r="146" spans="1:21" x14ac:dyDescent="0.2">
      <c r="A146" s="247">
        <f t="shared" si="18"/>
        <v>25.5</v>
      </c>
      <c r="B146" s="255" t="e">
        <f t="shared" si="9"/>
        <v>#DIV/0!</v>
      </c>
      <c r="C146" s="247" t="e">
        <f t="shared" si="20"/>
        <v>#DIV/0!</v>
      </c>
      <c r="D146" s="247" t="e">
        <f t="shared" si="21"/>
        <v>#DIV/0!</v>
      </c>
      <c r="E146" s="247" t="e">
        <f t="shared" si="22"/>
        <v>#DIV/0!</v>
      </c>
      <c r="F146" s="254" t="e">
        <f t="shared" si="14"/>
        <v>#DIV/0!</v>
      </c>
      <c r="G146" s="254" t="e">
        <f t="shared" si="15"/>
        <v>#DIV/0!</v>
      </c>
      <c r="H146" s="18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  <c r="U146" s="247"/>
    </row>
    <row r="147" spans="1:21" x14ac:dyDescent="0.2">
      <c r="A147" s="247">
        <f t="shared" si="18"/>
        <v>26</v>
      </c>
      <c r="B147" s="255" t="e">
        <f t="shared" si="9"/>
        <v>#DIV/0!</v>
      </c>
      <c r="C147" s="247" t="e">
        <f t="shared" si="20"/>
        <v>#DIV/0!</v>
      </c>
      <c r="D147" s="247" t="e">
        <f t="shared" si="21"/>
        <v>#DIV/0!</v>
      </c>
      <c r="E147" s="247" t="e">
        <f t="shared" si="22"/>
        <v>#DIV/0!</v>
      </c>
      <c r="F147" s="254" t="e">
        <f t="shared" si="14"/>
        <v>#DIV/0!</v>
      </c>
      <c r="G147" s="254" t="e">
        <f t="shared" si="15"/>
        <v>#DIV/0!</v>
      </c>
      <c r="H147" s="18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  <c r="U147" s="247"/>
    </row>
    <row r="148" spans="1:21" x14ac:dyDescent="0.2">
      <c r="A148" s="247">
        <f t="shared" si="18"/>
        <v>26.5</v>
      </c>
      <c r="B148" s="255" t="e">
        <f t="shared" si="9"/>
        <v>#DIV/0!</v>
      </c>
      <c r="C148" s="247" t="e">
        <f t="shared" si="20"/>
        <v>#DIV/0!</v>
      </c>
      <c r="D148" s="247" t="e">
        <f t="shared" si="21"/>
        <v>#DIV/0!</v>
      </c>
      <c r="E148" s="247" t="e">
        <f t="shared" si="22"/>
        <v>#DIV/0!</v>
      </c>
      <c r="F148" s="254" t="e">
        <f t="shared" si="14"/>
        <v>#DIV/0!</v>
      </c>
      <c r="G148" s="254" t="e">
        <f t="shared" si="15"/>
        <v>#DIV/0!</v>
      </c>
      <c r="H148" s="18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  <c r="U148" s="247"/>
    </row>
    <row r="149" spans="1:21" x14ac:dyDescent="0.2">
      <c r="A149" s="247">
        <f t="shared" si="18"/>
        <v>27</v>
      </c>
      <c r="B149" s="255" t="e">
        <f t="shared" si="9"/>
        <v>#DIV/0!</v>
      </c>
      <c r="C149" s="247" t="e">
        <f t="shared" si="20"/>
        <v>#DIV/0!</v>
      </c>
      <c r="D149" s="247" t="e">
        <f t="shared" si="21"/>
        <v>#DIV/0!</v>
      </c>
      <c r="E149" s="247" t="e">
        <f t="shared" si="22"/>
        <v>#DIV/0!</v>
      </c>
      <c r="F149" s="254" t="e">
        <f t="shared" si="14"/>
        <v>#DIV/0!</v>
      </c>
      <c r="G149" s="254" t="e">
        <f t="shared" si="15"/>
        <v>#DIV/0!</v>
      </c>
      <c r="H149" s="18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  <c r="U149" s="247"/>
    </row>
    <row r="150" spans="1:21" x14ac:dyDescent="0.2">
      <c r="A150" s="247">
        <f t="shared" si="18"/>
        <v>27.5</v>
      </c>
      <c r="B150" s="255" t="e">
        <f t="shared" si="9"/>
        <v>#DIV/0!</v>
      </c>
      <c r="C150" s="247" t="e">
        <f t="shared" si="20"/>
        <v>#DIV/0!</v>
      </c>
      <c r="D150" s="247" t="e">
        <f t="shared" si="21"/>
        <v>#DIV/0!</v>
      </c>
      <c r="E150" s="247" t="e">
        <f t="shared" si="22"/>
        <v>#DIV/0!</v>
      </c>
      <c r="F150" s="254" t="e">
        <f t="shared" si="14"/>
        <v>#DIV/0!</v>
      </c>
      <c r="G150" s="254" t="e">
        <f t="shared" si="15"/>
        <v>#DIV/0!</v>
      </c>
      <c r="H150" s="18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  <c r="U150" s="247"/>
    </row>
    <row r="151" spans="1:21" x14ac:dyDescent="0.2">
      <c r="A151" s="247">
        <f t="shared" si="18"/>
        <v>28</v>
      </c>
      <c r="B151" s="255" t="e">
        <f t="shared" si="9"/>
        <v>#DIV/0!</v>
      </c>
      <c r="C151" s="247" t="e">
        <f t="shared" si="20"/>
        <v>#DIV/0!</v>
      </c>
      <c r="D151" s="247" t="e">
        <f t="shared" si="21"/>
        <v>#DIV/0!</v>
      </c>
      <c r="E151" s="247" t="e">
        <f t="shared" si="22"/>
        <v>#DIV/0!</v>
      </c>
      <c r="F151" s="254" t="e">
        <f t="shared" si="14"/>
        <v>#DIV/0!</v>
      </c>
      <c r="G151" s="254" t="e">
        <f t="shared" si="15"/>
        <v>#DIV/0!</v>
      </c>
      <c r="H151" s="18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  <c r="U151" s="247"/>
    </row>
    <row r="152" spans="1:21" x14ac:dyDescent="0.2">
      <c r="A152" s="247">
        <f t="shared" si="18"/>
        <v>28.5</v>
      </c>
      <c r="B152" s="255" t="e">
        <f t="shared" si="9"/>
        <v>#DIV/0!</v>
      </c>
      <c r="C152" s="247" t="e">
        <f t="shared" si="20"/>
        <v>#DIV/0!</v>
      </c>
      <c r="D152" s="247" t="e">
        <f t="shared" si="21"/>
        <v>#DIV/0!</v>
      </c>
      <c r="E152" s="247" t="e">
        <f t="shared" si="22"/>
        <v>#DIV/0!</v>
      </c>
      <c r="F152" s="254" t="e">
        <f t="shared" si="14"/>
        <v>#DIV/0!</v>
      </c>
      <c r="G152" s="254" t="e">
        <f t="shared" si="15"/>
        <v>#DIV/0!</v>
      </c>
      <c r="H152" s="18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  <c r="U152" s="247"/>
    </row>
    <row r="153" spans="1:21" x14ac:dyDescent="0.2">
      <c r="A153" s="247">
        <f t="shared" si="18"/>
        <v>29</v>
      </c>
      <c r="B153" s="255" t="e">
        <f t="shared" si="9"/>
        <v>#DIV/0!</v>
      </c>
      <c r="C153" s="247" t="e">
        <f t="shared" si="20"/>
        <v>#DIV/0!</v>
      </c>
      <c r="D153" s="247" t="e">
        <f t="shared" si="21"/>
        <v>#DIV/0!</v>
      </c>
      <c r="E153" s="247" t="e">
        <f t="shared" si="22"/>
        <v>#DIV/0!</v>
      </c>
      <c r="F153" s="254" t="e">
        <f t="shared" si="14"/>
        <v>#DIV/0!</v>
      </c>
      <c r="G153" s="254" t="e">
        <f t="shared" si="15"/>
        <v>#DIV/0!</v>
      </c>
      <c r="H153" s="18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  <c r="U153" s="247"/>
    </row>
    <row r="154" spans="1:21" x14ac:dyDescent="0.2">
      <c r="A154" s="247">
        <f t="shared" si="18"/>
        <v>29.5</v>
      </c>
      <c r="B154" s="255" t="e">
        <f t="shared" si="9"/>
        <v>#DIV/0!</v>
      </c>
      <c r="C154" s="247" t="e">
        <f t="shared" si="20"/>
        <v>#DIV/0!</v>
      </c>
      <c r="D154" s="247" t="e">
        <f t="shared" si="21"/>
        <v>#DIV/0!</v>
      </c>
      <c r="E154" s="247" t="e">
        <f t="shared" si="22"/>
        <v>#DIV/0!</v>
      </c>
      <c r="F154" s="254" t="e">
        <f t="shared" si="14"/>
        <v>#DIV/0!</v>
      </c>
      <c r="G154" s="254" t="e">
        <f t="shared" si="15"/>
        <v>#DIV/0!</v>
      </c>
      <c r="H154" s="18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  <c r="U154" s="247"/>
    </row>
    <row r="155" spans="1:21" x14ac:dyDescent="0.2">
      <c r="A155" s="247">
        <f t="shared" si="18"/>
        <v>30</v>
      </c>
      <c r="B155" s="255" t="e">
        <f t="shared" si="9"/>
        <v>#DIV/0!</v>
      </c>
      <c r="C155" s="247" t="e">
        <f t="shared" si="20"/>
        <v>#DIV/0!</v>
      </c>
      <c r="D155" s="247" t="e">
        <f t="shared" si="21"/>
        <v>#DIV/0!</v>
      </c>
      <c r="E155" s="247" t="e">
        <f t="shared" si="22"/>
        <v>#DIV/0!</v>
      </c>
      <c r="F155" s="254" t="e">
        <f t="shared" si="14"/>
        <v>#DIV/0!</v>
      </c>
      <c r="G155" s="254" t="e">
        <f t="shared" si="15"/>
        <v>#DIV/0!</v>
      </c>
      <c r="H155" s="18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  <c r="U155" s="247"/>
    </row>
    <row r="156" spans="1:21" x14ac:dyDescent="0.2">
      <c r="A156" s="247">
        <f t="shared" si="18"/>
        <v>30.5</v>
      </c>
      <c r="B156" s="255" t="e">
        <f t="shared" si="9"/>
        <v>#DIV/0!</v>
      </c>
      <c r="C156" s="247" t="e">
        <f t="shared" si="20"/>
        <v>#DIV/0!</v>
      </c>
      <c r="D156" s="247" t="e">
        <f t="shared" si="21"/>
        <v>#DIV/0!</v>
      </c>
      <c r="E156" s="247" t="e">
        <f t="shared" si="22"/>
        <v>#DIV/0!</v>
      </c>
      <c r="F156" s="254" t="e">
        <f t="shared" si="14"/>
        <v>#DIV/0!</v>
      </c>
      <c r="G156" s="254" t="e">
        <f t="shared" si="15"/>
        <v>#DIV/0!</v>
      </c>
      <c r="H156" s="18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  <c r="U156" s="247"/>
    </row>
    <row r="157" spans="1:21" x14ac:dyDescent="0.2">
      <c r="A157" s="247">
        <f t="shared" si="18"/>
        <v>31</v>
      </c>
      <c r="B157" s="255" t="e">
        <f t="shared" si="9"/>
        <v>#DIV/0!</v>
      </c>
      <c r="C157" s="247" t="e">
        <f t="shared" si="20"/>
        <v>#DIV/0!</v>
      </c>
      <c r="D157" s="247" t="e">
        <f t="shared" si="21"/>
        <v>#DIV/0!</v>
      </c>
      <c r="E157" s="247" t="e">
        <f t="shared" si="22"/>
        <v>#DIV/0!</v>
      </c>
      <c r="F157" s="254" t="e">
        <f t="shared" si="14"/>
        <v>#DIV/0!</v>
      </c>
      <c r="G157" s="254" t="e">
        <f t="shared" si="15"/>
        <v>#DIV/0!</v>
      </c>
      <c r="H157" s="18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  <c r="U157" s="247"/>
    </row>
    <row r="158" spans="1:21" x14ac:dyDescent="0.2">
      <c r="A158" s="247">
        <f t="shared" si="18"/>
        <v>31.5</v>
      </c>
      <c r="B158" s="255" t="e">
        <f t="shared" si="9"/>
        <v>#DIV/0!</v>
      </c>
      <c r="C158" s="247" t="e">
        <f t="shared" si="20"/>
        <v>#DIV/0!</v>
      </c>
      <c r="D158" s="247" t="e">
        <f t="shared" si="21"/>
        <v>#DIV/0!</v>
      </c>
      <c r="E158" s="247" t="e">
        <f t="shared" si="22"/>
        <v>#DIV/0!</v>
      </c>
      <c r="F158" s="254" t="e">
        <f t="shared" si="14"/>
        <v>#DIV/0!</v>
      </c>
      <c r="G158" s="254" t="e">
        <f t="shared" si="15"/>
        <v>#DIV/0!</v>
      </c>
      <c r="H158" s="18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  <c r="U158" s="247"/>
    </row>
    <row r="159" spans="1:21" x14ac:dyDescent="0.2">
      <c r="A159" s="247">
        <f t="shared" si="18"/>
        <v>32</v>
      </c>
      <c r="B159" s="255" t="e">
        <f t="shared" si="9"/>
        <v>#DIV/0!</v>
      </c>
      <c r="C159" s="247" t="e">
        <f t="shared" si="20"/>
        <v>#DIV/0!</v>
      </c>
      <c r="D159" s="247" t="e">
        <f t="shared" si="21"/>
        <v>#DIV/0!</v>
      </c>
      <c r="E159" s="247" t="e">
        <f t="shared" si="22"/>
        <v>#DIV/0!</v>
      </c>
      <c r="F159" s="254" t="e">
        <f t="shared" si="14"/>
        <v>#DIV/0!</v>
      </c>
      <c r="G159" s="254" t="e">
        <f t="shared" si="15"/>
        <v>#DIV/0!</v>
      </c>
      <c r="H159" s="18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  <c r="U159" s="247"/>
    </row>
    <row r="160" spans="1:21" x14ac:dyDescent="0.2">
      <c r="A160" s="247">
        <f t="shared" si="18"/>
        <v>32.5</v>
      </c>
      <c r="B160" s="255" t="e">
        <f t="shared" ref="B160:B167" si="23">IF($B$58=8,C160,IF($B$58=12,D160,IF($B$58=24,E160,IF($B$58=36,F160,IF($B$58=48,G160,"")))))</f>
        <v>#DIV/0!</v>
      </c>
      <c r="C160" s="247" t="e">
        <f>($D$61+C159)</f>
        <v>#DIV/0!</v>
      </c>
      <c r="D160" s="247" t="e">
        <f t="shared" si="21"/>
        <v>#DIV/0!</v>
      </c>
      <c r="E160" s="247" t="e">
        <f t="shared" si="22"/>
        <v>#DIV/0!</v>
      </c>
      <c r="F160" s="254" t="e">
        <f t="shared" si="14"/>
        <v>#DIV/0!</v>
      </c>
      <c r="G160" s="254" t="e">
        <f t="shared" si="15"/>
        <v>#DIV/0!</v>
      </c>
      <c r="H160" s="18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  <c r="U160" s="247"/>
    </row>
    <row r="161" spans="1:21" x14ac:dyDescent="0.2">
      <c r="A161" s="247">
        <f t="shared" ref="A161:A167" si="24">A160+0.5</f>
        <v>33</v>
      </c>
      <c r="B161" s="255" t="e">
        <f t="shared" si="23"/>
        <v>#DIV/0!</v>
      </c>
      <c r="C161" s="247" t="e">
        <f>($C$160)*EXP(-$B$51*(A161-32.5))</f>
        <v>#DIV/0!</v>
      </c>
      <c r="D161" s="247" t="e">
        <f t="shared" si="21"/>
        <v>#DIV/0!</v>
      </c>
      <c r="E161" s="247" t="e">
        <f t="shared" si="22"/>
        <v>#DIV/0!</v>
      </c>
      <c r="F161" s="254" t="e">
        <f t="shared" ref="F161:F166" si="25">$D$61*EXP(-$B$51*A161)</f>
        <v>#DIV/0!</v>
      </c>
      <c r="G161" s="254" t="e">
        <f t="shared" ref="G161:G167" si="26">$D$61*EXP(-$B$51*A161)</f>
        <v>#DIV/0!</v>
      </c>
      <c r="H161" s="18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  <c r="U161" s="247"/>
    </row>
    <row r="162" spans="1:21" x14ac:dyDescent="0.2">
      <c r="A162" s="247">
        <f t="shared" si="24"/>
        <v>33.5</v>
      </c>
      <c r="B162" s="255" t="e">
        <f t="shared" si="23"/>
        <v>#DIV/0!</v>
      </c>
      <c r="C162" s="247" t="e">
        <f t="shared" ref="C162:C167" si="27">($C$160)*EXP(-$B$51*(A162-32.5))</f>
        <v>#DIV/0!</v>
      </c>
      <c r="D162" s="247" t="e">
        <f t="shared" si="21"/>
        <v>#DIV/0!</v>
      </c>
      <c r="E162" s="247" t="e">
        <f t="shared" si="22"/>
        <v>#DIV/0!</v>
      </c>
      <c r="F162" s="254" t="e">
        <f t="shared" si="25"/>
        <v>#DIV/0!</v>
      </c>
      <c r="G162" s="254" t="e">
        <f t="shared" si="26"/>
        <v>#DIV/0!</v>
      </c>
      <c r="H162" s="18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  <c r="U162" s="247"/>
    </row>
    <row r="163" spans="1:21" x14ac:dyDescent="0.2">
      <c r="A163" s="247">
        <f t="shared" si="24"/>
        <v>34</v>
      </c>
      <c r="B163" s="255" t="e">
        <f t="shared" si="23"/>
        <v>#DIV/0!</v>
      </c>
      <c r="C163" s="247" t="e">
        <f t="shared" si="27"/>
        <v>#DIV/0!</v>
      </c>
      <c r="D163" s="247" t="e">
        <f t="shared" si="21"/>
        <v>#DIV/0!</v>
      </c>
      <c r="E163" s="247" t="e">
        <f t="shared" si="22"/>
        <v>#DIV/0!</v>
      </c>
      <c r="F163" s="254" t="e">
        <f t="shared" si="25"/>
        <v>#DIV/0!</v>
      </c>
      <c r="G163" s="254" t="e">
        <f t="shared" si="26"/>
        <v>#DIV/0!</v>
      </c>
      <c r="H163" s="18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  <c r="U163" s="247"/>
    </row>
    <row r="164" spans="1:21" x14ac:dyDescent="0.2">
      <c r="A164" s="247">
        <f t="shared" si="24"/>
        <v>34.5</v>
      </c>
      <c r="B164" s="255" t="e">
        <f t="shared" si="23"/>
        <v>#DIV/0!</v>
      </c>
      <c r="C164" s="247" t="e">
        <f t="shared" si="27"/>
        <v>#DIV/0!</v>
      </c>
      <c r="D164" s="247" t="e">
        <f t="shared" si="21"/>
        <v>#DIV/0!</v>
      </c>
      <c r="E164" s="247" t="e">
        <f t="shared" si="22"/>
        <v>#DIV/0!</v>
      </c>
      <c r="F164" s="254" t="e">
        <f t="shared" si="25"/>
        <v>#DIV/0!</v>
      </c>
      <c r="G164" s="254" t="e">
        <f t="shared" si="26"/>
        <v>#DIV/0!</v>
      </c>
      <c r="H164" s="18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  <c r="U164" s="247"/>
    </row>
    <row r="165" spans="1:21" x14ac:dyDescent="0.2">
      <c r="A165" s="247">
        <f t="shared" si="24"/>
        <v>35</v>
      </c>
      <c r="B165" s="255" t="e">
        <f t="shared" si="23"/>
        <v>#DIV/0!</v>
      </c>
      <c r="C165" s="247" t="e">
        <f t="shared" si="27"/>
        <v>#DIV/0!</v>
      </c>
      <c r="D165" s="247" t="e">
        <f t="shared" si="21"/>
        <v>#DIV/0!</v>
      </c>
      <c r="E165" s="247" t="e">
        <f t="shared" si="22"/>
        <v>#DIV/0!</v>
      </c>
      <c r="F165" s="254" t="e">
        <f t="shared" si="25"/>
        <v>#DIV/0!</v>
      </c>
      <c r="G165" s="254" t="e">
        <f t="shared" si="26"/>
        <v>#DIV/0!</v>
      </c>
      <c r="H165" s="18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  <c r="U165" s="247"/>
    </row>
    <row r="166" spans="1:21" x14ac:dyDescent="0.2">
      <c r="A166" s="247">
        <f t="shared" si="24"/>
        <v>35.5</v>
      </c>
      <c r="B166" s="255" t="e">
        <f t="shared" si="23"/>
        <v>#DIV/0!</v>
      </c>
      <c r="C166" s="247" t="e">
        <f t="shared" si="27"/>
        <v>#DIV/0!</v>
      </c>
      <c r="D166" s="247" t="e">
        <f t="shared" si="21"/>
        <v>#DIV/0!</v>
      </c>
      <c r="E166" s="247" t="e">
        <f t="shared" si="22"/>
        <v>#DIV/0!</v>
      </c>
      <c r="F166" s="254" t="e">
        <f t="shared" si="25"/>
        <v>#DIV/0!</v>
      </c>
      <c r="G166" s="254" t="e">
        <f t="shared" si="26"/>
        <v>#DIV/0!</v>
      </c>
      <c r="H166" s="18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  <c r="U166" s="247"/>
    </row>
    <row r="167" spans="1:21" x14ac:dyDescent="0.2">
      <c r="A167" s="247">
        <f t="shared" si="24"/>
        <v>36</v>
      </c>
      <c r="B167" s="255" t="e">
        <f t="shared" si="23"/>
        <v>#DIV/0!</v>
      </c>
      <c r="C167" s="247" t="e">
        <f t="shared" si="27"/>
        <v>#DIV/0!</v>
      </c>
      <c r="D167" s="247" t="e">
        <f t="shared" si="21"/>
        <v>#DIV/0!</v>
      </c>
      <c r="E167" s="247" t="e">
        <f t="shared" si="22"/>
        <v>#DIV/0!</v>
      </c>
      <c r="F167" s="254" t="e">
        <f>F166+D61</f>
        <v>#DIV/0!</v>
      </c>
      <c r="G167" s="254" t="e">
        <f t="shared" si="26"/>
        <v>#DIV/0!</v>
      </c>
      <c r="H167" s="18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  <c r="U167" s="247"/>
    </row>
    <row r="168" spans="1:21" x14ac:dyDescent="0.2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  <c r="U168" s="247"/>
    </row>
    <row r="169" spans="1:21" x14ac:dyDescent="0.2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  <c r="U169" s="247"/>
    </row>
    <row r="170" spans="1:21" x14ac:dyDescent="0.2">
      <c r="A170" s="242"/>
      <c r="B170" s="242"/>
      <c r="C170" s="242"/>
      <c r="D170" s="242"/>
      <c r="E170" s="242"/>
      <c r="F170" s="242"/>
      <c r="G170" s="242"/>
      <c r="H170" s="242"/>
      <c r="I170" s="242"/>
      <c r="J170" s="242"/>
    </row>
    <row r="171" spans="1:21" x14ac:dyDescent="0.2">
      <c r="A171" s="242"/>
      <c r="B171" s="242"/>
      <c r="C171" s="242"/>
      <c r="D171" s="242"/>
      <c r="E171" s="242"/>
      <c r="F171" s="242"/>
      <c r="G171" s="242"/>
      <c r="H171" s="242"/>
      <c r="I171" s="242"/>
      <c r="J171" s="242"/>
    </row>
    <row r="172" spans="1:21" x14ac:dyDescent="0.2">
      <c r="A172" s="242"/>
      <c r="B172" s="242"/>
      <c r="C172" s="242"/>
      <c r="D172" s="242"/>
      <c r="E172" s="242"/>
      <c r="F172" s="242"/>
      <c r="G172" s="242"/>
      <c r="H172" s="242"/>
      <c r="I172" s="242"/>
      <c r="J172" s="242"/>
    </row>
    <row r="173" spans="1:21" x14ac:dyDescent="0.2">
      <c r="A173" s="242"/>
      <c r="B173" s="242"/>
      <c r="C173" s="242"/>
      <c r="D173" s="242"/>
      <c r="E173" s="242"/>
      <c r="F173" s="242"/>
      <c r="G173" s="242"/>
      <c r="H173" s="242"/>
      <c r="I173" s="242"/>
      <c r="J173" s="242"/>
    </row>
    <row r="174" spans="1:21" x14ac:dyDescent="0.2">
      <c r="A174" s="242"/>
      <c r="B174" s="242"/>
      <c r="C174" s="242"/>
      <c r="D174" s="242"/>
      <c r="E174" s="242"/>
      <c r="F174" s="242"/>
      <c r="G174" s="242"/>
      <c r="H174" s="242"/>
      <c r="I174" s="242"/>
      <c r="J174" s="242"/>
    </row>
    <row r="175" spans="1:2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</row>
    <row r="176" spans="1:21" x14ac:dyDescent="0.2">
      <c r="A176" s="242"/>
      <c r="B176" s="242"/>
      <c r="C176" s="242"/>
      <c r="D176" s="242"/>
      <c r="E176" s="242"/>
      <c r="F176" s="242"/>
      <c r="G176" s="242"/>
      <c r="H176" s="242"/>
      <c r="I176" s="242"/>
      <c r="J176" s="242"/>
    </row>
    <row r="177" spans="1:10" x14ac:dyDescent="0.2">
      <c r="A177" s="242"/>
      <c r="B177" s="242"/>
      <c r="C177" s="242"/>
      <c r="D177" s="242"/>
      <c r="E177" s="242"/>
      <c r="F177" s="242"/>
      <c r="G177" s="242"/>
      <c r="H177" s="242"/>
      <c r="I177" s="242"/>
      <c r="J177" s="242"/>
    </row>
    <row r="178" spans="1:10" x14ac:dyDescent="0.2">
      <c r="A178" s="242"/>
      <c r="B178" s="242"/>
      <c r="C178" s="242"/>
      <c r="D178" s="242"/>
      <c r="E178" s="242"/>
      <c r="F178" s="242"/>
      <c r="G178" s="242"/>
      <c r="H178" s="242"/>
      <c r="I178" s="242"/>
      <c r="J178" s="242"/>
    </row>
    <row r="179" spans="1:10" x14ac:dyDescent="0.2">
      <c r="A179" s="242"/>
      <c r="B179" s="242"/>
      <c r="C179" s="242"/>
      <c r="D179" s="242"/>
      <c r="E179" s="242"/>
      <c r="F179" s="242"/>
      <c r="G179" s="242"/>
      <c r="H179" s="242"/>
      <c r="I179" s="242"/>
      <c r="J179" s="242"/>
    </row>
    <row r="180" spans="1:10" x14ac:dyDescent="0.2">
      <c r="A180" s="242"/>
      <c r="B180" s="242"/>
      <c r="C180" s="242"/>
      <c r="D180" s="242"/>
      <c r="E180" s="242"/>
      <c r="F180" s="242"/>
      <c r="G180" s="242"/>
      <c r="H180" s="242"/>
      <c r="I180" s="242"/>
      <c r="J180" s="242"/>
    </row>
    <row r="181" spans="1:10" x14ac:dyDescent="0.2">
      <c r="A181" s="242"/>
      <c r="B181" s="242"/>
      <c r="C181" s="242"/>
      <c r="D181" s="242"/>
      <c r="E181" s="242"/>
      <c r="F181" s="242"/>
      <c r="G181" s="242"/>
      <c r="H181" s="242"/>
      <c r="I181" s="242"/>
      <c r="J181" s="242"/>
    </row>
    <row r="182" spans="1:10" x14ac:dyDescent="0.2">
      <c r="A182" s="242"/>
      <c r="B182" s="242"/>
      <c r="C182" s="242"/>
      <c r="D182" s="242"/>
      <c r="E182" s="242"/>
      <c r="F182" s="242"/>
      <c r="G182" s="242"/>
      <c r="H182" s="242"/>
      <c r="I182" s="242"/>
      <c r="J182" s="242"/>
    </row>
    <row r="183" spans="1:10" x14ac:dyDescent="0.2">
      <c r="A183" s="242"/>
      <c r="B183" s="242"/>
      <c r="C183" s="242"/>
      <c r="D183" s="242"/>
      <c r="E183" s="242"/>
      <c r="F183" s="242"/>
      <c r="G183" s="242"/>
      <c r="H183" s="242"/>
      <c r="I183" s="242"/>
      <c r="J183" s="242"/>
    </row>
    <row r="184" spans="1:10" x14ac:dyDescent="0.2">
      <c r="A184" s="242"/>
      <c r="B184" s="242"/>
      <c r="C184" s="242"/>
      <c r="D184" s="242"/>
      <c r="E184" s="242"/>
      <c r="F184" s="242"/>
      <c r="G184" s="242"/>
      <c r="H184" s="242"/>
      <c r="I184" s="242"/>
      <c r="J184" s="242"/>
    </row>
    <row r="185" spans="1:10" x14ac:dyDescent="0.2">
      <c r="A185" s="242"/>
      <c r="B185" s="242"/>
      <c r="C185" s="242"/>
      <c r="D185" s="242"/>
      <c r="E185" s="242"/>
      <c r="F185" s="242"/>
      <c r="G185" s="242"/>
      <c r="H185" s="242"/>
      <c r="I185" s="242"/>
      <c r="J185" s="242"/>
    </row>
    <row r="186" spans="1:10" x14ac:dyDescent="0.2">
      <c r="A186" s="242"/>
      <c r="B186" s="242"/>
      <c r="C186" s="242"/>
      <c r="D186" s="242"/>
      <c r="E186" s="242"/>
      <c r="F186" s="242"/>
      <c r="G186" s="242"/>
      <c r="H186" s="242"/>
      <c r="I186" s="242"/>
      <c r="J186" s="242"/>
    </row>
    <row r="187" spans="1:10" x14ac:dyDescent="0.2">
      <c r="A187" s="242"/>
      <c r="B187" s="242"/>
      <c r="C187" s="242"/>
      <c r="D187" s="242"/>
      <c r="E187" s="242"/>
      <c r="F187" s="242"/>
      <c r="G187" s="242"/>
      <c r="H187" s="242"/>
      <c r="I187" s="242"/>
      <c r="J187" s="242"/>
    </row>
    <row r="188" spans="1:10" x14ac:dyDescent="0.2">
      <c r="A188" s="242"/>
      <c r="B188" s="242"/>
      <c r="C188" s="242"/>
      <c r="D188" s="242"/>
      <c r="E188" s="242"/>
      <c r="F188" s="242"/>
      <c r="G188" s="242"/>
      <c r="H188" s="242"/>
      <c r="I188" s="242"/>
      <c r="J188" s="242"/>
    </row>
    <row r="189" spans="1:10" x14ac:dyDescent="0.2">
      <c r="A189" s="242"/>
      <c r="B189" s="242"/>
      <c r="C189" s="242"/>
      <c r="D189" s="242"/>
      <c r="E189" s="242"/>
      <c r="F189" s="242"/>
      <c r="G189" s="242"/>
      <c r="H189" s="242"/>
      <c r="I189" s="242"/>
      <c r="J189" s="242"/>
    </row>
    <row r="190" spans="1:10" x14ac:dyDescent="0.2">
      <c r="A190" s="242"/>
      <c r="B190" s="242"/>
      <c r="C190" s="242"/>
      <c r="D190" s="242"/>
      <c r="E190" s="242"/>
      <c r="F190" s="242"/>
      <c r="G190" s="242"/>
      <c r="H190" s="242"/>
      <c r="I190" s="242"/>
      <c r="J190" s="242"/>
    </row>
    <row r="191" spans="1:10" x14ac:dyDescent="0.2">
      <c r="A191" s="242"/>
      <c r="B191" s="242"/>
      <c r="C191" s="242"/>
      <c r="D191" s="242"/>
      <c r="E191" s="242"/>
      <c r="F191" s="242"/>
      <c r="G191" s="242"/>
      <c r="H191" s="242"/>
      <c r="I191" s="242"/>
      <c r="J191" s="242"/>
    </row>
    <row r="192" spans="1:10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</row>
    <row r="193" spans="1:10" x14ac:dyDescent="0.2">
      <c r="A193" s="242"/>
      <c r="B193" s="242"/>
      <c r="C193" s="242"/>
      <c r="D193" s="242"/>
      <c r="E193" s="242"/>
      <c r="F193" s="242"/>
      <c r="G193" s="242"/>
      <c r="H193" s="242"/>
      <c r="I193" s="242"/>
      <c r="J193" s="242"/>
    </row>
    <row r="194" spans="1:10" x14ac:dyDescent="0.2">
      <c r="A194" s="242"/>
      <c r="B194" s="242"/>
      <c r="C194" s="242"/>
      <c r="D194" s="242"/>
      <c r="E194" s="242"/>
      <c r="F194" s="242"/>
      <c r="G194" s="242"/>
      <c r="H194" s="242"/>
      <c r="I194" s="242"/>
      <c r="J194" s="242"/>
    </row>
    <row r="195" spans="1:10" x14ac:dyDescent="0.2">
      <c r="A195" s="242"/>
      <c r="B195" s="242"/>
      <c r="C195" s="242"/>
      <c r="D195" s="242"/>
      <c r="E195" s="242"/>
      <c r="F195" s="242"/>
      <c r="G195" s="242"/>
      <c r="H195" s="242"/>
      <c r="I195" s="242"/>
      <c r="J195" s="242"/>
    </row>
    <row r="196" spans="1:10" x14ac:dyDescent="0.2">
      <c r="A196" s="242"/>
      <c r="B196" s="242"/>
      <c r="C196" s="242"/>
      <c r="D196" s="242"/>
      <c r="E196" s="242"/>
      <c r="F196" s="242"/>
      <c r="G196" s="242"/>
      <c r="H196" s="242"/>
      <c r="I196" s="242"/>
      <c r="J196" s="242"/>
    </row>
    <row r="197" spans="1:10" x14ac:dyDescent="0.2">
      <c r="A197" s="242"/>
      <c r="B197" s="242"/>
      <c r="C197" s="242"/>
      <c r="D197" s="242"/>
      <c r="E197" s="242"/>
      <c r="F197" s="242"/>
      <c r="G197" s="242"/>
      <c r="H197" s="242"/>
      <c r="I197" s="242"/>
      <c r="J197" s="242"/>
    </row>
    <row r="198" spans="1:10" x14ac:dyDescent="0.2">
      <c r="A198" s="242"/>
      <c r="B198" s="242"/>
      <c r="C198" s="242"/>
      <c r="D198" s="242"/>
      <c r="E198" s="242"/>
      <c r="F198" s="242"/>
      <c r="G198" s="242"/>
      <c r="H198" s="242"/>
      <c r="I198" s="242"/>
      <c r="J198" s="242"/>
    </row>
    <row r="199" spans="1:10" x14ac:dyDescent="0.2">
      <c r="A199" s="242"/>
      <c r="B199" s="242"/>
      <c r="C199" s="242"/>
      <c r="D199" s="242"/>
      <c r="E199" s="242"/>
      <c r="F199" s="242"/>
      <c r="G199" s="242"/>
      <c r="H199" s="242"/>
      <c r="I199" s="242"/>
      <c r="J199" s="242"/>
    </row>
    <row r="200" spans="1:10" x14ac:dyDescent="0.2">
      <c r="A200" s="242"/>
      <c r="B200" s="242"/>
      <c r="C200" s="242"/>
      <c r="D200" s="242"/>
      <c r="E200" s="242"/>
      <c r="F200" s="242"/>
      <c r="G200" s="242"/>
      <c r="H200" s="242"/>
      <c r="I200" s="242"/>
      <c r="J200" s="242"/>
    </row>
    <row r="201" spans="1:10" x14ac:dyDescent="0.2">
      <c r="A201" s="242"/>
      <c r="B201" s="242"/>
      <c r="C201" s="242"/>
      <c r="D201" s="242"/>
      <c r="E201" s="242"/>
      <c r="F201" s="242"/>
      <c r="G201" s="242"/>
      <c r="H201" s="242"/>
      <c r="I201" s="242"/>
      <c r="J201" s="242"/>
    </row>
    <row r="202" spans="1:10" x14ac:dyDescent="0.2">
      <c r="A202" s="242"/>
      <c r="B202" s="242"/>
      <c r="C202" s="242"/>
      <c r="D202" s="242"/>
      <c r="E202" s="242"/>
      <c r="F202" s="242"/>
      <c r="G202" s="242"/>
      <c r="H202" s="242"/>
      <c r="I202" s="242"/>
      <c r="J202" s="242"/>
    </row>
    <row r="203" spans="1:10" x14ac:dyDescent="0.2">
      <c r="A203" s="242"/>
      <c r="B203" s="242"/>
      <c r="C203" s="242"/>
      <c r="D203" s="242"/>
      <c r="E203" s="242"/>
      <c r="F203" s="242"/>
      <c r="G203" s="242"/>
      <c r="H203" s="242"/>
      <c r="I203" s="242"/>
      <c r="J203" s="242"/>
    </row>
    <row r="204" spans="1:10" x14ac:dyDescent="0.2">
      <c r="A204" s="242"/>
      <c r="B204" s="242"/>
      <c r="C204" s="242"/>
      <c r="D204" s="242"/>
      <c r="E204" s="242"/>
      <c r="F204" s="242"/>
      <c r="G204" s="242"/>
      <c r="H204" s="242"/>
      <c r="I204" s="242"/>
      <c r="J204" s="242"/>
    </row>
    <row r="205" spans="1:10" x14ac:dyDescent="0.2">
      <c r="A205" s="242"/>
      <c r="B205" s="242"/>
      <c r="C205" s="242"/>
      <c r="D205" s="242"/>
      <c r="E205" s="242"/>
      <c r="F205" s="242"/>
      <c r="G205" s="242"/>
      <c r="H205" s="242"/>
      <c r="I205" s="242"/>
      <c r="J205" s="242"/>
    </row>
    <row r="206" spans="1:10" x14ac:dyDescent="0.2">
      <c r="A206" s="242"/>
      <c r="B206" s="242"/>
      <c r="C206" s="242"/>
      <c r="D206" s="242"/>
      <c r="E206" s="242"/>
      <c r="F206" s="242"/>
      <c r="G206" s="242"/>
      <c r="H206" s="242"/>
      <c r="I206" s="242"/>
      <c r="J206" s="242"/>
    </row>
    <row r="207" spans="1:10" x14ac:dyDescent="0.2">
      <c r="A207" s="242"/>
      <c r="B207" s="242"/>
      <c r="C207" s="242"/>
      <c r="D207" s="242"/>
      <c r="E207" s="242"/>
      <c r="F207" s="242"/>
      <c r="G207" s="242"/>
      <c r="H207" s="242"/>
      <c r="I207" s="242"/>
      <c r="J207" s="242"/>
    </row>
    <row r="208" spans="1:10" x14ac:dyDescent="0.2">
      <c r="A208" s="242"/>
      <c r="B208" s="242"/>
      <c r="C208" s="242"/>
      <c r="D208" s="242"/>
      <c r="E208" s="242"/>
      <c r="F208" s="242"/>
      <c r="G208" s="242"/>
      <c r="H208" s="242"/>
      <c r="I208" s="242"/>
      <c r="J208" s="242"/>
    </row>
    <row r="209" spans="1:10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</row>
    <row r="210" spans="1:10" x14ac:dyDescent="0.2">
      <c r="A210" s="242"/>
      <c r="B210" s="242"/>
      <c r="C210" s="242"/>
      <c r="D210" s="242"/>
      <c r="E210" s="242"/>
      <c r="F210" s="242"/>
      <c r="G210" s="242"/>
      <c r="H210" s="242"/>
      <c r="I210" s="242"/>
      <c r="J210" s="242"/>
    </row>
    <row r="211" spans="1:10" x14ac:dyDescent="0.2">
      <c r="A211" s="242"/>
      <c r="B211" s="242"/>
      <c r="C211" s="242"/>
      <c r="D211" s="242"/>
      <c r="E211" s="242"/>
      <c r="F211" s="242"/>
      <c r="G211" s="242"/>
      <c r="H211" s="242"/>
      <c r="I211" s="242"/>
      <c r="J211" s="242"/>
    </row>
    <row r="212" spans="1:10" x14ac:dyDescent="0.2">
      <c r="A212" s="242"/>
      <c r="B212" s="242"/>
      <c r="C212" s="242"/>
      <c r="D212" s="242"/>
      <c r="E212" s="242"/>
      <c r="F212" s="242"/>
      <c r="G212" s="242"/>
      <c r="H212" s="242"/>
      <c r="I212" s="242"/>
      <c r="J212" s="242"/>
    </row>
    <row r="213" spans="1:10" x14ac:dyDescent="0.2">
      <c r="A213" s="242"/>
      <c r="B213" s="242"/>
      <c r="C213" s="242"/>
      <c r="D213" s="242"/>
      <c r="E213" s="242"/>
      <c r="F213" s="242"/>
      <c r="G213" s="242"/>
      <c r="H213" s="242"/>
      <c r="I213" s="242"/>
      <c r="J213" s="242"/>
    </row>
    <row r="214" spans="1:10" x14ac:dyDescent="0.2">
      <c r="A214" s="242"/>
      <c r="B214" s="242"/>
      <c r="C214" s="242"/>
      <c r="D214" s="242"/>
      <c r="E214" s="242"/>
      <c r="F214" s="242"/>
      <c r="G214" s="242"/>
      <c r="H214" s="242"/>
      <c r="I214" s="242"/>
      <c r="J214" s="242"/>
    </row>
    <row r="215" spans="1:10" x14ac:dyDescent="0.2">
      <c r="A215" s="242"/>
      <c r="B215" s="242"/>
      <c r="C215" s="242"/>
      <c r="D215" s="242"/>
      <c r="E215" s="242"/>
      <c r="F215" s="242"/>
      <c r="G215" s="242"/>
      <c r="H215" s="242"/>
      <c r="I215" s="242"/>
      <c r="J215" s="242"/>
    </row>
    <row r="216" spans="1:10" x14ac:dyDescent="0.2">
      <c r="A216" s="242"/>
      <c r="B216" s="242"/>
      <c r="C216" s="242"/>
      <c r="D216" s="242"/>
      <c r="E216" s="242"/>
      <c r="F216" s="242"/>
      <c r="G216" s="242"/>
      <c r="H216" s="242"/>
      <c r="I216" s="242"/>
      <c r="J216" s="242"/>
    </row>
    <row r="217" spans="1:10" x14ac:dyDescent="0.2">
      <c r="A217" s="242"/>
      <c r="B217" s="242"/>
      <c r="C217" s="242"/>
      <c r="D217" s="242"/>
      <c r="E217" s="242"/>
      <c r="F217" s="242"/>
      <c r="G217" s="242"/>
      <c r="H217" s="242"/>
      <c r="I217" s="242"/>
      <c r="J217" s="242"/>
    </row>
    <row r="218" spans="1:10" x14ac:dyDescent="0.2">
      <c r="A218" s="242"/>
      <c r="B218" s="242"/>
      <c r="C218" s="242"/>
      <c r="D218" s="242"/>
      <c r="E218" s="242"/>
      <c r="F218" s="242"/>
      <c r="G218" s="242"/>
      <c r="H218" s="242"/>
      <c r="I218" s="242"/>
      <c r="J218" s="242"/>
    </row>
    <row r="219" spans="1:10" x14ac:dyDescent="0.2">
      <c r="A219" s="242"/>
      <c r="B219" s="242"/>
      <c r="C219" s="242"/>
      <c r="D219" s="242"/>
      <c r="E219" s="242"/>
      <c r="F219" s="242"/>
      <c r="G219" s="242"/>
      <c r="H219" s="242"/>
      <c r="I219" s="242"/>
      <c r="J219" s="242"/>
    </row>
    <row r="220" spans="1:10" x14ac:dyDescent="0.2">
      <c r="A220" s="242"/>
      <c r="B220" s="242"/>
      <c r="C220" s="242"/>
      <c r="D220" s="242"/>
      <c r="E220" s="242"/>
      <c r="F220" s="242"/>
      <c r="G220" s="242"/>
      <c r="H220" s="242"/>
      <c r="I220" s="242"/>
      <c r="J220" s="242"/>
    </row>
    <row r="221" spans="1:10" x14ac:dyDescent="0.2">
      <c r="A221" s="242"/>
      <c r="B221" s="242"/>
      <c r="C221" s="242"/>
      <c r="D221" s="242"/>
      <c r="E221" s="242"/>
      <c r="F221" s="242"/>
      <c r="G221" s="242"/>
      <c r="H221" s="242"/>
      <c r="I221" s="242"/>
      <c r="J221" s="242"/>
    </row>
    <row r="222" spans="1:10" x14ac:dyDescent="0.2">
      <c r="A222" s="242"/>
      <c r="B222" s="242"/>
      <c r="C222" s="242"/>
      <c r="D222" s="242"/>
      <c r="E222" s="242"/>
      <c r="F222" s="242"/>
      <c r="G222" s="242"/>
      <c r="H222" s="242"/>
      <c r="I222" s="242"/>
      <c r="J222" s="242"/>
    </row>
    <row r="223" spans="1:10" x14ac:dyDescent="0.2">
      <c r="A223" s="242"/>
      <c r="B223" s="242"/>
      <c r="C223" s="242"/>
      <c r="D223" s="242"/>
      <c r="E223" s="242"/>
      <c r="F223" s="242"/>
      <c r="G223" s="242"/>
      <c r="H223" s="242"/>
      <c r="I223" s="242"/>
      <c r="J223" s="242"/>
    </row>
    <row r="224" spans="1:10" x14ac:dyDescent="0.2">
      <c r="A224" s="242"/>
      <c r="B224" s="242"/>
      <c r="C224" s="242"/>
      <c r="D224" s="242"/>
      <c r="E224" s="242"/>
      <c r="F224" s="242"/>
      <c r="G224" s="242"/>
      <c r="H224" s="242"/>
      <c r="I224" s="242"/>
      <c r="J224" s="242"/>
    </row>
    <row r="225" spans="1:10" x14ac:dyDescent="0.2">
      <c r="A225" s="242"/>
      <c r="B225" s="242"/>
      <c r="C225" s="242"/>
      <c r="D225" s="242"/>
      <c r="E225" s="242"/>
      <c r="F225" s="242"/>
      <c r="G225" s="242"/>
      <c r="H225" s="242"/>
      <c r="I225" s="242"/>
      <c r="J225" s="242"/>
    </row>
    <row r="226" spans="1:10" x14ac:dyDescent="0.2">
      <c r="A226" s="8"/>
      <c r="B226" s="8"/>
      <c r="C226" s="8"/>
      <c r="D226" s="8"/>
      <c r="E226" s="8"/>
    </row>
    <row r="227" spans="1:10" x14ac:dyDescent="0.2">
      <c r="A227" s="8"/>
      <c r="B227" s="8"/>
      <c r="C227" s="8"/>
      <c r="D227" s="8"/>
      <c r="E227" s="8"/>
    </row>
    <row r="228" spans="1:10" x14ac:dyDescent="0.2">
      <c r="A228" s="8"/>
      <c r="B228" s="8"/>
      <c r="C228" s="8"/>
      <c r="D228" s="8"/>
      <c r="E228" s="8"/>
    </row>
    <row r="229" spans="1:10" x14ac:dyDescent="0.2">
      <c r="A229" s="8"/>
      <c r="B229" s="8"/>
      <c r="C229" s="8"/>
      <c r="D229" s="8"/>
      <c r="E229" s="8"/>
    </row>
    <row r="230" spans="1:10" x14ac:dyDescent="0.2">
      <c r="A230" s="8"/>
      <c r="B230" s="8"/>
      <c r="C230" s="8"/>
      <c r="D230" s="8"/>
      <c r="E230" s="8"/>
    </row>
    <row r="231" spans="1:10" x14ac:dyDescent="0.2">
      <c r="A231" s="8"/>
      <c r="B231" s="8"/>
      <c r="C231" s="8"/>
      <c r="D231" s="8"/>
      <c r="E231" s="8"/>
    </row>
    <row r="232" spans="1:10" x14ac:dyDescent="0.2">
      <c r="A232" s="8"/>
      <c r="B232" s="8"/>
      <c r="C232" s="8"/>
      <c r="D232" s="8"/>
      <c r="E232" s="8"/>
    </row>
    <row r="233" spans="1:10" x14ac:dyDescent="0.2">
      <c r="A233" s="8"/>
      <c r="B233" s="8"/>
      <c r="C233" s="8"/>
      <c r="D233" s="8"/>
      <c r="E233" s="8"/>
    </row>
    <row r="234" spans="1:10" x14ac:dyDescent="0.2">
      <c r="A234" s="8"/>
      <c r="B234" s="8"/>
      <c r="C234" s="8"/>
      <c r="D234" s="8"/>
      <c r="E234" s="8"/>
    </row>
    <row r="235" spans="1:10" x14ac:dyDescent="0.2">
      <c r="A235" s="8"/>
      <c r="B235" s="8"/>
      <c r="C235" s="8"/>
      <c r="D235" s="8"/>
      <c r="E235" s="8"/>
    </row>
    <row r="236" spans="1:10" x14ac:dyDescent="0.2">
      <c r="A236" s="8"/>
      <c r="B236" s="8"/>
      <c r="C236" s="8"/>
      <c r="D236" s="8"/>
      <c r="E236" s="8"/>
    </row>
    <row r="237" spans="1:10" x14ac:dyDescent="0.2">
      <c r="A237" s="8"/>
      <c r="B237" s="8"/>
      <c r="C237" s="8"/>
      <c r="D237" s="8"/>
      <c r="E237" s="8"/>
    </row>
    <row r="238" spans="1:10" x14ac:dyDescent="0.2">
      <c r="A238" s="8"/>
      <c r="B238" s="8"/>
      <c r="C238" s="8"/>
      <c r="D238" s="8"/>
      <c r="E238" s="8"/>
    </row>
    <row r="239" spans="1:10" x14ac:dyDescent="0.2">
      <c r="A239" s="8"/>
      <c r="B239" s="8"/>
      <c r="C239" s="8"/>
      <c r="D239" s="8"/>
      <c r="E239" s="8"/>
    </row>
    <row r="240" spans="1:10" x14ac:dyDescent="0.2">
      <c r="A240" s="8"/>
      <c r="B240" s="8"/>
      <c r="C240" s="8"/>
      <c r="D240" s="8"/>
      <c r="E240" s="8"/>
    </row>
    <row r="241" spans="1:5" x14ac:dyDescent="0.2">
      <c r="A241" s="8"/>
      <c r="B241" s="8"/>
      <c r="C241" s="8"/>
      <c r="D241" s="8"/>
      <c r="E241" s="8"/>
    </row>
    <row r="242" spans="1:5" x14ac:dyDescent="0.2">
      <c r="A242" s="8"/>
      <c r="B242" s="8"/>
      <c r="C242" s="8"/>
      <c r="D242" s="8"/>
      <c r="E242" s="8"/>
    </row>
    <row r="243" spans="1:5" x14ac:dyDescent="0.2">
      <c r="A243" s="8"/>
      <c r="B243" s="8"/>
      <c r="C243" s="8"/>
      <c r="D243" s="8"/>
      <c r="E243" s="8"/>
    </row>
    <row r="244" spans="1:5" x14ac:dyDescent="0.2">
      <c r="A244" s="8"/>
      <c r="B244" s="8"/>
      <c r="C244" s="8"/>
      <c r="D244" s="8"/>
      <c r="E244" s="8"/>
    </row>
    <row r="245" spans="1:5" x14ac:dyDescent="0.2">
      <c r="A245" s="8"/>
      <c r="B245" s="8"/>
      <c r="C245" s="8"/>
      <c r="D245" s="8"/>
      <c r="E245" s="8"/>
    </row>
    <row r="246" spans="1:5" x14ac:dyDescent="0.2">
      <c r="A246" s="8"/>
      <c r="B246" s="8"/>
      <c r="C246" s="8"/>
      <c r="D246" s="8"/>
      <c r="E246" s="8"/>
    </row>
    <row r="247" spans="1:5" x14ac:dyDescent="0.2">
      <c r="A247" s="8"/>
      <c r="B247" s="8"/>
      <c r="C247" s="8"/>
      <c r="D247" s="8"/>
      <c r="E247" s="8"/>
    </row>
    <row r="248" spans="1:5" x14ac:dyDescent="0.2">
      <c r="A248" s="8"/>
      <c r="B248" s="8"/>
      <c r="C248" s="8"/>
      <c r="D248" s="8"/>
      <c r="E248" s="8"/>
    </row>
    <row r="249" spans="1:5" x14ac:dyDescent="0.2">
      <c r="A249" s="8"/>
      <c r="B249" s="8"/>
      <c r="C249" s="8"/>
      <c r="D249" s="8"/>
      <c r="E249" s="8"/>
    </row>
    <row r="250" spans="1:5" x14ac:dyDescent="0.2">
      <c r="A250" s="8"/>
      <c r="B250" s="8"/>
      <c r="C250" s="8"/>
      <c r="D250" s="8"/>
      <c r="E250" s="8"/>
    </row>
    <row r="251" spans="1:5" x14ac:dyDescent="0.2">
      <c r="A251" s="8"/>
      <c r="B251" s="8"/>
      <c r="C251" s="8"/>
      <c r="D251" s="8"/>
      <c r="E251" s="8"/>
    </row>
    <row r="252" spans="1:5" x14ac:dyDescent="0.2">
      <c r="A252" s="8"/>
      <c r="B252" s="8"/>
      <c r="C252" s="8"/>
      <c r="D252" s="8"/>
      <c r="E252" s="8"/>
    </row>
    <row r="253" spans="1:5" x14ac:dyDescent="0.2">
      <c r="A253" s="8"/>
      <c r="B253" s="8"/>
      <c r="C253" s="8"/>
      <c r="D253" s="8"/>
      <c r="E253" s="8"/>
    </row>
    <row r="254" spans="1:5" x14ac:dyDescent="0.2">
      <c r="A254" s="8"/>
      <c r="B254" s="8"/>
      <c r="C254" s="8"/>
      <c r="D254" s="8"/>
      <c r="E254" s="8"/>
    </row>
    <row r="255" spans="1:5" x14ac:dyDescent="0.2">
      <c r="A255" s="8"/>
      <c r="B255" s="8"/>
      <c r="C255" s="8"/>
      <c r="D255" s="8"/>
      <c r="E255" s="8"/>
    </row>
    <row r="256" spans="1:5" x14ac:dyDescent="0.2">
      <c r="A256" s="8"/>
      <c r="B256" s="8"/>
      <c r="C256" s="8"/>
      <c r="D256" s="8"/>
      <c r="E256" s="8"/>
    </row>
    <row r="257" spans="1:5" x14ac:dyDescent="0.2">
      <c r="A257" s="8"/>
      <c r="B257" s="8"/>
      <c r="C257" s="8"/>
      <c r="D257" s="8"/>
      <c r="E257" s="8"/>
    </row>
    <row r="258" spans="1:5" x14ac:dyDescent="0.2">
      <c r="A258" s="8"/>
      <c r="B258" s="8"/>
      <c r="C258" s="8"/>
      <c r="D258" s="8"/>
      <c r="E258" s="8"/>
    </row>
    <row r="259" spans="1:5" x14ac:dyDescent="0.2">
      <c r="A259" s="8"/>
      <c r="B259" s="8"/>
      <c r="C259" s="8"/>
      <c r="D259" s="8"/>
      <c r="E259" s="8"/>
    </row>
    <row r="260" spans="1:5" x14ac:dyDescent="0.2">
      <c r="A260" s="8"/>
      <c r="B260" s="8"/>
      <c r="C260" s="8"/>
      <c r="D260" s="8"/>
      <c r="E260" s="8"/>
    </row>
    <row r="261" spans="1:5" x14ac:dyDescent="0.2">
      <c r="A261" s="8"/>
      <c r="B261" s="8"/>
      <c r="C261" s="8"/>
      <c r="D261" s="8"/>
      <c r="E261" s="8"/>
    </row>
    <row r="262" spans="1:5" x14ac:dyDescent="0.2">
      <c r="A262" s="8"/>
      <c r="B262" s="8"/>
      <c r="C262" s="8"/>
      <c r="D262" s="8"/>
      <c r="E262" s="8"/>
    </row>
  </sheetData>
  <sheetProtection sheet="1" objects="1" scenarios="1" selectLockedCells="1"/>
  <protectedRanges>
    <protectedRange sqref="C32" name="Vancomycin Empiric Dosing Variables"/>
  </protectedRanges>
  <mergeCells count="8">
    <mergeCell ref="I28:N28"/>
    <mergeCell ref="I29:N29"/>
    <mergeCell ref="A86:G86"/>
    <mergeCell ref="A27:C27"/>
    <mergeCell ref="A87:G89"/>
    <mergeCell ref="A1:D1"/>
    <mergeCell ref="D43:H47"/>
    <mergeCell ref="A2:C2"/>
  </mergeCells>
  <phoneticPr fontId="6" type="noConversion"/>
  <dataValidations count="15">
    <dataValidation type="whole" allowBlank="1" showInputMessage="1" showErrorMessage="1" error="Calculator only valid for adult patients, please enter an age between 16-104 years" sqref="B3">
      <formula1>15</formula1>
      <formula2>105</formula2>
    </dataValidation>
    <dataValidation type="list" allowBlank="1" showInputMessage="1" showErrorMessage="1" sqref="C13">
      <formula1>$C$14:$C$15</formula1>
    </dataValidation>
    <dataValidation type="list" allowBlank="1" showInputMessage="1" showErrorMessage="1" sqref="C8">
      <formula1>$C$9:$C$10</formula1>
    </dataValidation>
    <dataValidation type="decimal" allowBlank="1" showInputMessage="1" showErrorMessage="1" sqref="B28">
      <formula1>300</formula1>
      <formula2>700</formula2>
    </dataValidation>
    <dataValidation type="decimal" allowBlank="1" showInputMessage="1" showErrorMessage="1" sqref="B29">
      <formula1>15</formula1>
      <formula2>65</formula2>
    </dataValidation>
    <dataValidation type="decimal" allowBlank="1" showInputMessage="1" showErrorMessage="1" sqref="B30">
      <formula1>7.5</formula1>
      <formula2>22</formula2>
    </dataValidation>
    <dataValidation type="decimal" allowBlank="1" showInputMessage="1" showErrorMessage="1" sqref="B41:B42">
      <formula1>0.45</formula1>
      <formula2>1.4</formula2>
    </dataValidation>
    <dataValidation type="list" allowBlank="1" showInputMessage="1" showErrorMessage="1" sqref="B31">
      <formula1>B32:B35</formula1>
    </dataValidation>
    <dataValidation type="list" allowBlank="1" showInputMessage="1" showErrorMessage="1" sqref="B36">
      <formula1>$B$37:$B$40</formula1>
    </dataValidation>
    <dataValidation type="list" allowBlank="1" showInputMessage="1" showErrorMessage="1" sqref="B43">
      <formula1>$B$44:$B$46</formula1>
    </dataValidation>
    <dataValidation type="decimal" allowBlank="1" showInputMessage="1" showErrorMessage="1" sqref="B49">
      <formula1>0.5</formula1>
      <formula2>2.51</formula2>
    </dataValidation>
    <dataValidation type="decimal" allowBlank="1" showInputMessage="1" showErrorMessage="1" sqref="B48">
      <formula1>45</formula1>
      <formula2>301</formula2>
    </dataValidation>
    <dataValidation type="decimal" allowBlank="1" showInputMessage="1" showErrorMessage="1" sqref="B47">
      <formula1>5</formula1>
      <formula2>150</formula2>
    </dataValidation>
    <dataValidation type="list" allowBlank="1" showInputMessage="1" showErrorMessage="1" sqref="B4">
      <formula1>$B$5:B6</formula1>
    </dataValidation>
    <dataValidation type="decimal" allowBlank="1" showInputMessage="1" showErrorMessage="1" sqref="B7">
      <formula1>0.3</formula1>
      <formula2>6</formula2>
    </dataValidation>
  </dataValidations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753" r:id="rId4" name="CommandButton5">
          <controlPr locked="0" defaultSize="0" autoLine="0" r:id="rId5">
            <anchor moveWithCells="1">
              <from>
                <xdr:col>0</xdr:col>
                <xdr:colOff>723900</xdr:colOff>
                <xdr:row>7</xdr:row>
                <xdr:rowOff>95250</xdr:rowOff>
              </from>
              <to>
                <xdr:col>0</xdr:col>
                <xdr:colOff>1419225</xdr:colOff>
                <xdr:row>19</xdr:row>
                <xdr:rowOff>190500</xdr:rowOff>
              </to>
            </anchor>
          </controlPr>
        </control>
      </mc:Choice>
      <mc:Fallback>
        <control shapeId="20753" r:id="rId4" name="CommandButton5"/>
      </mc:Fallback>
    </mc:AlternateContent>
    <mc:AlternateContent xmlns:mc="http://schemas.openxmlformats.org/markup-compatibility/2006">
      <mc:Choice Requires="x14">
        <control shapeId="20485" r:id="rId6" name="CommandButton4">
          <controlPr defaultSize="0" autoLine="0" r:id="rId7">
            <anchor moveWithCells="1">
              <from>
                <xdr:col>0</xdr:col>
                <xdr:colOff>47625</xdr:colOff>
                <xdr:row>55</xdr:row>
                <xdr:rowOff>28575</xdr:rowOff>
              </from>
              <to>
                <xdr:col>0</xdr:col>
                <xdr:colOff>914400</xdr:colOff>
                <xdr:row>57</xdr:row>
                <xdr:rowOff>180975</xdr:rowOff>
              </to>
            </anchor>
          </controlPr>
        </control>
      </mc:Choice>
      <mc:Fallback>
        <control shapeId="20485" r:id="rId6" name="CommandButton4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0</xdr:col>
                <xdr:colOff>28575</xdr:colOff>
                <xdr:row>2</xdr:row>
                <xdr:rowOff>0</xdr:rowOff>
              </from>
              <to>
                <xdr:col>0</xdr:col>
                <xdr:colOff>723900</xdr:colOff>
                <xdr:row>7</xdr:row>
                <xdr:rowOff>95250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3" r:id="rId10" name="CommandButton2">
          <controlPr defaultSize="0" autoLine="0" r:id="rId11">
            <anchor moveWithCells="1">
              <from>
                <xdr:col>0</xdr:col>
                <xdr:colOff>723900</xdr:colOff>
                <xdr:row>2</xdr:row>
                <xdr:rowOff>0</xdr:rowOff>
              </from>
              <to>
                <xdr:col>0</xdr:col>
                <xdr:colOff>1419225</xdr:colOff>
                <xdr:row>7</xdr:row>
                <xdr:rowOff>95250</xdr:rowOff>
              </to>
            </anchor>
          </controlPr>
        </control>
      </mc:Choice>
      <mc:Fallback>
        <control shapeId="20483" r:id="rId10" name="CommandButton2"/>
      </mc:Fallback>
    </mc:AlternateContent>
    <mc:AlternateContent xmlns:mc="http://schemas.openxmlformats.org/markup-compatibility/2006">
      <mc:Choice Requires="x14">
        <control shapeId="20482" r:id="rId12" name="CommandButton1">
          <controlPr locked="0" defaultSize="0" autoLine="0" r:id="rId13">
            <anchor moveWithCells="1">
              <from>
                <xdr:col>0</xdr:col>
                <xdr:colOff>28575</xdr:colOff>
                <xdr:row>7</xdr:row>
                <xdr:rowOff>95250</xdr:rowOff>
              </from>
              <to>
                <xdr:col>0</xdr:col>
                <xdr:colOff>723900</xdr:colOff>
                <xdr:row>19</xdr:row>
                <xdr:rowOff>190500</xdr:rowOff>
              </to>
            </anchor>
          </controlPr>
        </control>
      </mc:Choice>
      <mc:Fallback>
        <control shapeId="20482" r:id="rId12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101"/>
  <sheetViews>
    <sheetView showGridLines="0" showRowColHeaders="0" tabSelected="1" workbookViewId="0">
      <selection activeCell="C2" sqref="C2"/>
    </sheetView>
  </sheetViews>
  <sheetFormatPr defaultColWidth="8.85546875" defaultRowHeight="18" x14ac:dyDescent="0.25"/>
  <cols>
    <col min="1" max="1" width="5.7109375" style="23" customWidth="1"/>
    <col min="2" max="2" width="36.5703125" style="23" customWidth="1"/>
    <col min="3" max="3" width="22.7109375" style="37" bestFit="1" customWidth="1"/>
    <col min="4" max="4" width="21.140625" style="23" customWidth="1"/>
    <col min="5" max="5" width="24.140625" style="23" hidden="1" customWidth="1"/>
    <col min="6" max="6" width="63.42578125" style="23" bestFit="1" customWidth="1"/>
    <col min="7" max="7" width="8.42578125" style="23" customWidth="1"/>
    <col min="8" max="8" width="9.42578125" style="23" bestFit="1" customWidth="1"/>
    <col min="9" max="9" width="12.85546875" style="23" bestFit="1" customWidth="1"/>
    <col min="10" max="10" width="12.85546875" style="23" customWidth="1"/>
    <col min="11" max="16384" width="8.85546875" style="23"/>
  </cols>
  <sheetData>
    <row r="1" spans="1:19" ht="18.75" customHeight="1" x14ac:dyDescent="0.25">
      <c r="A1" s="288" t="s">
        <v>25</v>
      </c>
      <c r="B1" s="288"/>
      <c r="C1" s="288"/>
      <c r="D1" s="288"/>
      <c r="F1" s="180" t="s">
        <v>176</v>
      </c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</row>
    <row r="2" spans="1:19" s="83" customFormat="1" x14ac:dyDescent="0.25">
      <c r="A2" s="80"/>
      <c r="B2" s="81" t="s">
        <v>83</v>
      </c>
      <c r="C2" s="82"/>
      <c r="D2" s="81"/>
      <c r="E2" s="232"/>
      <c r="F2" s="84"/>
      <c r="G2" s="21"/>
      <c r="H2" s="21"/>
      <c r="I2" s="21"/>
      <c r="J2" s="21"/>
      <c r="K2" s="21"/>
      <c r="L2" s="21"/>
      <c r="M2" s="21"/>
      <c r="N2" s="84"/>
      <c r="O2" s="84"/>
      <c r="P2" s="84"/>
      <c r="Q2" s="84"/>
      <c r="R2" s="84"/>
      <c r="S2" s="84"/>
    </row>
    <row r="3" spans="1:19" s="83" customFormat="1" hidden="1" x14ac:dyDescent="0.25">
      <c r="A3" s="80"/>
      <c r="B3" s="81"/>
      <c r="C3" s="176" t="s">
        <v>85</v>
      </c>
      <c r="D3" s="81"/>
      <c r="E3" s="232"/>
      <c r="F3" s="84"/>
      <c r="G3" s="21"/>
      <c r="H3" s="21"/>
      <c r="I3" s="21"/>
      <c r="J3" s="21"/>
      <c r="K3" s="21"/>
      <c r="L3" s="21"/>
      <c r="M3" s="21"/>
      <c r="N3" s="84"/>
      <c r="O3" s="84"/>
      <c r="P3" s="84"/>
      <c r="Q3" s="84"/>
      <c r="R3" s="84"/>
      <c r="S3" s="84"/>
    </row>
    <row r="4" spans="1:19" s="83" customFormat="1" hidden="1" x14ac:dyDescent="0.25">
      <c r="A4" s="80"/>
      <c r="B4" s="81"/>
      <c r="C4" s="176" t="s">
        <v>84</v>
      </c>
      <c r="D4" s="81"/>
      <c r="E4" s="232"/>
      <c r="F4" s="84"/>
      <c r="G4" s="21"/>
      <c r="H4" s="21"/>
      <c r="I4" s="21"/>
      <c r="J4" s="21"/>
      <c r="K4" s="21"/>
      <c r="L4" s="21"/>
      <c r="M4" s="21"/>
      <c r="N4" s="84"/>
      <c r="O4" s="84"/>
      <c r="P4" s="84"/>
      <c r="Q4" s="84"/>
      <c r="R4" s="84"/>
      <c r="S4" s="84"/>
    </row>
    <row r="5" spans="1:19" s="83" customFormat="1" x14ac:dyDescent="0.25">
      <c r="A5" s="84"/>
      <c r="B5" s="90" t="s">
        <v>38</v>
      </c>
      <c r="C5" s="82"/>
      <c r="D5" s="91" t="s">
        <v>4</v>
      </c>
      <c r="E5" s="232"/>
      <c r="F5" s="89"/>
      <c r="G5" s="21"/>
      <c r="H5" s="21"/>
      <c r="I5" s="21"/>
      <c r="J5" s="21"/>
      <c r="K5" s="21"/>
      <c r="L5" s="21"/>
      <c r="M5" s="21"/>
      <c r="N5" s="84"/>
      <c r="O5" s="84"/>
      <c r="P5" s="84"/>
      <c r="Q5" s="84"/>
      <c r="R5" s="84"/>
      <c r="S5" s="84"/>
    </row>
    <row r="6" spans="1:19" s="83" customFormat="1" x14ac:dyDescent="0.25">
      <c r="A6" s="84"/>
      <c r="B6" s="90" t="s">
        <v>130</v>
      </c>
      <c r="C6" s="82" t="str">
        <f>IF(C2="First dose","N/A","")</f>
        <v/>
      </c>
      <c r="D6" s="91" t="s">
        <v>82</v>
      </c>
      <c r="E6" s="232"/>
      <c r="F6" s="89"/>
      <c r="G6" s="21"/>
      <c r="H6" s="21"/>
      <c r="I6" s="21"/>
      <c r="J6" s="21"/>
      <c r="K6" s="21"/>
      <c r="L6" s="21"/>
      <c r="M6" s="21"/>
      <c r="N6" s="84"/>
      <c r="O6" s="84"/>
      <c r="P6" s="84"/>
      <c r="Q6" s="84"/>
      <c r="R6" s="84"/>
      <c r="S6" s="84"/>
    </row>
    <row r="7" spans="1:19" s="83" customFormat="1" x14ac:dyDescent="0.25">
      <c r="A7" s="84"/>
      <c r="B7" s="90" t="s">
        <v>75</v>
      </c>
      <c r="C7" s="173"/>
      <c r="D7" s="169">
        <f ca="1">IF(E2&lt;1,IF(C7&lt;F11,TODAY()+C7,C7),E2)</f>
        <v>43934</v>
      </c>
      <c r="E7" s="93"/>
      <c r="F7" s="89"/>
      <c r="G7" s="21"/>
      <c r="H7" s="21"/>
      <c r="I7" s="21"/>
      <c r="J7" s="21"/>
      <c r="K7" s="21"/>
      <c r="L7" s="21"/>
      <c r="M7" s="21"/>
      <c r="N7" s="84"/>
      <c r="O7" s="84"/>
      <c r="P7" s="84"/>
      <c r="Q7" s="84"/>
      <c r="R7" s="84"/>
      <c r="S7" s="84"/>
    </row>
    <row r="8" spans="1:19" s="83" customFormat="1" x14ac:dyDescent="0.25">
      <c r="A8" s="84"/>
      <c r="B8" s="90" t="s">
        <v>15</v>
      </c>
      <c r="C8" s="94">
        <f>IF(C5&lt;750,0.5,IF(C5&lt;1125,1,IF(C5&lt;1625,1.5,IF(C5&lt;2225,2,IF(C5&lt;2725,2.5,"Enter time")))))</f>
        <v>0.5</v>
      </c>
      <c r="D8" s="91" t="s">
        <v>77</v>
      </c>
      <c r="E8" s="95">
        <f>C8/24</f>
        <v>2.0833333333333332E-2</v>
      </c>
      <c r="F8" s="222" t="str">
        <f>IF(ISERROR(C15&lt;0),"",IF(C15&lt;0,"Check date",""))</f>
        <v/>
      </c>
      <c r="G8" s="21"/>
      <c r="H8" s="21"/>
      <c r="I8" s="21"/>
      <c r="J8" s="21"/>
      <c r="K8" s="21"/>
      <c r="L8" s="21"/>
      <c r="M8" s="21"/>
      <c r="N8" s="84"/>
      <c r="O8" s="84"/>
      <c r="P8" s="84"/>
      <c r="Q8" s="84"/>
      <c r="R8" s="84"/>
      <c r="S8" s="84"/>
    </row>
    <row r="9" spans="1:19" s="83" customFormat="1" x14ac:dyDescent="0.25">
      <c r="A9" s="84"/>
      <c r="B9" s="90" t="s">
        <v>11</v>
      </c>
      <c r="C9" s="94"/>
      <c r="D9" s="91" t="s">
        <v>8</v>
      </c>
      <c r="E9" s="96" t="str">
        <f>TEXT(C10,"h:mm AM/PM")</f>
        <v>12:00 AM</v>
      </c>
      <c r="F9" s="223" t="str">
        <f>IF(ISERROR(C17&lt;C9),"",IF(C17&lt;C9,"Check date",""))</f>
        <v/>
      </c>
      <c r="G9" s="21"/>
      <c r="H9" s="21"/>
      <c r="I9" s="21"/>
      <c r="J9" s="21"/>
      <c r="K9" s="21"/>
      <c r="L9" s="21"/>
      <c r="M9" s="21"/>
      <c r="N9" s="84"/>
      <c r="O9" s="84"/>
      <c r="P9" s="84"/>
      <c r="Q9" s="84"/>
      <c r="R9" s="84"/>
      <c r="S9" s="84"/>
    </row>
    <row r="10" spans="1:19" s="83" customFormat="1" x14ac:dyDescent="0.25">
      <c r="A10" s="84"/>
      <c r="B10" s="90" t="s">
        <v>73</v>
      </c>
      <c r="C10" s="173"/>
      <c r="D10" s="238">
        <f ca="1">IF(E5&lt;1,IF(C10&lt;F11,TODAY()+C10,C10),E5)</f>
        <v>43934</v>
      </c>
      <c r="E10" s="99">
        <f ca="1">(D10-(D7+E8))*24</f>
        <v>-0.50000000005820766</v>
      </c>
      <c r="F10" s="100"/>
      <c r="G10" s="21"/>
      <c r="H10" s="21"/>
      <c r="I10" s="21"/>
      <c r="J10" s="21"/>
      <c r="K10" s="21"/>
      <c r="L10" s="21"/>
      <c r="M10" s="21"/>
      <c r="N10" s="84"/>
      <c r="O10" s="84"/>
      <c r="P10" s="84"/>
      <c r="Q10" s="84"/>
      <c r="R10" s="84"/>
      <c r="S10" s="84"/>
    </row>
    <row r="11" spans="1:19" s="83" customFormat="1" x14ac:dyDescent="0.25">
      <c r="A11" s="84"/>
      <c r="B11" s="90" t="s">
        <v>12</v>
      </c>
      <c r="C11" s="94"/>
      <c r="D11" s="91" t="s">
        <v>8</v>
      </c>
      <c r="E11" s="96" t="str">
        <f>TEXT(C12,"h:mm AM/PM")</f>
        <v>12:00 AM</v>
      </c>
      <c r="F11" s="231">
        <v>0.99930555555555556</v>
      </c>
      <c r="G11" s="21"/>
      <c r="H11" s="21"/>
      <c r="I11" s="21"/>
      <c r="J11" s="21"/>
      <c r="K11" s="21"/>
      <c r="L11" s="21"/>
      <c r="M11" s="21"/>
      <c r="N11" s="84"/>
      <c r="O11" s="84"/>
      <c r="P11" s="84"/>
      <c r="Q11" s="84"/>
      <c r="R11" s="84"/>
      <c r="S11" s="84"/>
    </row>
    <row r="12" spans="1:19" s="101" customFormat="1" x14ac:dyDescent="0.25">
      <c r="A12" s="84"/>
      <c r="B12" s="90" t="s">
        <v>74</v>
      </c>
      <c r="C12" s="173"/>
      <c r="D12" s="169">
        <f ca="1">IF(C12&lt;F11,TODAY()+C12,C12)</f>
        <v>43934</v>
      </c>
      <c r="E12" s="99">
        <f ca="1">(D12-D10)*24</f>
        <v>0</v>
      </c>
      <c r="F12" s="100"/>
      <c r="G12" s="21"/>
      <c r="H12" s="21"/>
      <c r="I12" s="21"/>
      <c r="J12" s="21"/>
      <c r="K12" s="21"/>
      <c r="L12" s="21"/>
      <c r="M12" s="21"/>
      <c r="N12" s="84"/>
      <c r="O12" s="84"/>
      <c r="P12" s="84"/>
      <c r="Q12" s="84"/>
      <c r="R12" s="84"/>
      <c r="S12" s="84"/>
    </row>
    <row r="13" spans="1:19" s="27" customFormat="1" x14ac:dyDescent="0.25">
      <c r="A13" s="21"/>
      <c r="B13" s="21"/>
      <c r="C13" s="22"/>
      <c r="D13" s="21"/>
      <c r="E13" s="28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 ht="18.75" customHeight="1" x14ac:dyDescent="0.25">
      <c r="A14" s="289" t="s">
        <v>106</v>
      </c>
      <c r="B14" s="289"/>
      <c r="C14" s="289"/>
      <c r="D14" s="289"/>
      <c r="E14" s="38"/>
      <c r="F14" s="1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</row>
    <row r="15" spans="1:19" ht="14.25" customHeight="1" x14ac:dyDescent="0.25">
      <c r="A15" s="18"/>
      <c r="B15" s="71" t="s">
        <v>6</v>
      </c>
      <c r="C15" s="73" t="str">
        <f>IF(C9=0,"",(LN(C9/C11))/E12)</f>
        <v/>
      </c>
      <c r="D15" s="72" t="s">
        <v>173</v>
      </c>
      <c r="E15" s="38"/>
      <c r="F15" s="66" t="s">
        <v>97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 ht="14.25" customHeight="1" x14ac:dyDescent="0.25">
      <c r="A16" s="18"/>
      <c r="B16" s="71" t="s">
        <v>177</v>
      </c>
      <c r="C16" s="41" t="str">
        <f>IF(C15="","",LN(2)/C15)</f>
        <v/>
      </c>
      <c r="D16" s="72" t="s">
        <v>77</v>
      </c>
      <c r="E16" s="38"/>
      <c r="F16" s="66" t="s">
        <v>98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 ht="14.25" customHeight="1" x14ac:dyDescent="0.25">
      <c r="A17" s="18"/>
      <c r="B17" s="71" t="s">
        <v>142</v>
      </c>
      <c r="C17" s="41" t="str">
        <f>IF(C15="","",C9/(EXP(-C15*E10)))</f>
        <v/>
      </c>
      <c r="D17" s="72" t="s">
        <v>8</v>
      </c>
      <c r="E17" s="38"/>
      <c r="F17" s="66" t="s">
        <v>99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1:19" ht="14.25" customHeight="1" x14ac:dyDescent="0.25">
      <c r="A18" s="18"/>
      <c r="B18" s="71" t="s">
        <v>143</v>
      </c>
      <c r="C18" s="41" t="str">
        <f>IF(C6="","",IF(C6="N/A","",C17*EXP(-C15*(C6-C8))))</f>
        <v/>
      </c>
      <c r="D18" s="72" t="s">
        <v>8</v>
      </c>
      <c r="E18" s="38"/>
      <c r="F18" s="66" t="s">
        <v>100</v>
      </c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 ht="14.25" customHeight="1" x14ac:dyDescent="0.25">
      <c r="A19" s="18"/>
      <c r="B19" s="71" t="s">
        <v>178</v>
      </c>
      <c r="C19" s="41" t="str">
        <f>IF(C2="First dose",E19,IF(C2="Steady state",E20, ""))</f>
        <v/>
      </c>
      <c r="D19" s="72" t="s">
        <v>5</v>
      </c>
      <c r="E19" s="39" t="e">
        <f>(C5/C8)*(1-EXP(-C15*C8))/(C15*C17)</f>
        <v>#VALUE!</v>
      </c>
      <c r="F19" s="66" t="s">
        <v>101</v>
      </c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 ht="14.25" customHeight="1" x14ac:dyDescent="0.25">
      <c r="A20" s="18"/>
      <c r="B20" s="71" t="s">
        <v>179</v>
      </c>
      <c r="C20" s="41" t="str">
        <f>IF(C2="First dose",C15*E19*1000/60,IF(C2="Steady state",C15*E20*1000/60,""))</f>
        <v/>
      </c>
      <c r="D20" s="72" t="s">
        <v>1</v>
      </c>
      <c r="E20" s="38" t="e">
        <f>(C5/C8)*(1-EXP(-C15*C8))/(C15*C17*(1-EXP(-C15*C6)))</f>
        <v>#VALUE!</v>
      </c>
      <c r="F20" s="66" t="s">
        <v>102</v>
      </c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</row>
    <row r="21" spans="1:19" ht="14.25" customHeight="1" x14ac:dyDescent="0.25">
      <c r="A21" s="18"/>
      <c r="B21" s="71" t="s">
        <v>141</v>
      </c>
      <c r="C21" s="41" t="str">
        <f>IF(C6="","",IF(C6="N/A","",C5*(24/C6)/(C20*60/1000)))</f>
        <v/>
      </c>
      <c r="D21" s="72" t="s">
        <v>18</v>
      </c>
      <c r="E21" s="38"/>
      <c r="F21" s="66" t="s">
        <v>86</v>
      </c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</row>
    <row r="22" spans="1:19" ht="14.25" customHeight="1" x14ac:dyDescent="0.25">
      <c r="A22" s="21"/>
      <c r="B22" s="21"/>
      <c r="C22" s="22"/>
      <c r="D22" s="21"/>
      <c r="E22" s="28"/>
      <c r="F22" s="6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</row>
    <row r="23" spans="1:19" ht="18.75" customHeight="1" x14ac:dyDescent="0.25">
      <c r="A23" s="289" t="s">
        <v>157</v>
      </c>
      <c r="B23" s="289"/>
      <c r="C23" s="289"/>
      <c r="D23" s="289"/>
      <c r="E23" s="28"/>
      <c r="F23" s="67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</row>
    <row r="24" spans="1:19" s="83" customFormat="1" ht="17.25" customHeight="1" x14ac:dyDescent="0.25">
      <c r="A24" s="84"/>
      <c r="B24" s="90" t="s">
        <v>19</v>
      </c>
      <c r="C24" s="102">
        <v>500</v>
      </c>
      <c r="D24" s="91" t="s">
        <v>18</v>
      </c>
      <c r="E24" s="103"/>
      <c r="F24" s="68" t="s">
        <v>52</v>
      </c>
      <c r="G24" s="21"/>
      <c r="H24" s="21"/>
      <c r="I24" s="21"/>
      <c r="J24" s="21"/>
      <c r="K24" s="21"/>
      <c r="L24" s="21"/>
      <c r="M24" s="21"/>
      <c r="N24" s="84"/>
      <c r="O24" s="84"/>
      <c r="P24" s="84"/>
      <c r="Q24" s="84"/>
      <c r="R24" s="84"/>
      <c r="S24" s="84"/>
    </row>
    <row r="25" spans="1:19" s="83" customFormat="1" ht="17.25" customHeight="1" x14ac:dyDescent="0.25">
      <c r="A25" s="84"/>
      <c r="B25" s="90" t="s">
        <v>13</v>
      </c>
      <c r="C25" s="102">
        <v>35</v>
      </c>
      <c r="D25" s="91" t="s">
        <v>8</v>
      </c>
      <c r="E25" s="104"/>
      <c r="F25" s="68" t="s">
        <v>53</v>
      </c>
      <c r="G25" s="21"/>
      <c r="H25" s="21"/>
      <c r="I25" s="21"/>
      <c r="J25" s="21"/>
      <c r="K25" s="21"/>
      <c r="L25" s="21"/>
      <c r="M25" s="21"/>
      <c r="N25" s="84"/>
      <c r="O25" s="84"/>
      <c r="P25" s="84"/>
      <c r="Q25" s="84"/>
      <c r="R25" s="84"/>
      <c r="S25" s="84"/>
    </row>
    <row r="26" spans="1:19" s="83" customFormat="1" ht="17.25" customHeight="1" x14ac:dyDescent="0.25">
      <c r="A26" s="84"/>
      <c r="B26" s="90" t="s">
        <v>14</v>
      </c>
      <c r="C26" s="102">
        <v>12.5</v>
      </c>
      <c r="D26" s="91" t="s">
        <v>8</v>
      </c>
      <c r="E26" s="104"/>
      <c r="F26" s="68" t="s">
        <v>54</v>
      </c>
      <c r="G26" s="21"/>
      <c r="H26" s="21"/>
      <c r="I26" s="21"/>
      <c r="J26" s="21"/>
      <c r="K26" s="21"/>
      <c r="L26" s="21"/>
      <c r="M26" s="21"/>
      <c r="N26" s="84"/>
      <c r="O26" s="84"/>
      <c r="P26" s="84"/>
      <c r="Q26" s="84"/>
      <c r="R26" s="84"/>
      <c r="S26" s="84"/>
    </row>
    <row r="27" spans="1:19" s="83" customFormat="1" ht="17.25" customHeight="1" x14ac:dyDescent="0.25">
      <c r="A27" s="84"/>
      <c r="B27" s="90" t="s">
        <v>10</v>
      </c>
      <c r="C27" s="102">
        <v>1</v>
      </c>
      <c r="D27" s="91" t="s">
        <v>7</v>
      </c>
      <c r="E27" s="104"/>
      <c r="F27" s="68" t="s">
        <v>39</v>
      </c>
      <c r="G27" s="21"/>
      <c r="H27" s="21"/>
      <c r="I27" s="21"/>
      <c r="J27" s="21"/>
      <c r="K27" s="21"/>
      <c r="L27" s="21"/>
      <c r="M27" s="21"/>
      <c r="N27" s="84"/>
      <c r="O27" s="84"/>
      <c r="P27" s="84"/>
      <c r="Q27" s="84"/>
      <c r="R27" s="84"/>
      <c r="S27" s="84"/>
    </row>
    <row r="28" spans="1:19" s="83" customFormat="1" ht="17.25" hidden="1" customHeight="1" x14ac:dyDescent="0.3">
      <c r="A28" s="84"/>
      <c r="B28" s="74" t="s">
        <v>90</v>
      </c>
      <c r="C28" s="105" t="e">
        <f>C24*C15*C19</f>
        <v>#VALUE!</v>
      </c>
      <c r="D28" s="91" t="s">
        <v>4</v>
      </c>
      <c r="E28" s="104"/>
      <c r="F28" s="69" t="s">
        <v>103</v>
      </c>
      <c r="G28" s="21"/>
      <c r="H28" s="21"/>
      <c r="I28" s="21"/>
      <c r="J28" s="21"/>
      <c r="K28" s="21"/>
      <c r="L28" s="21"/>
      <c r="M28" s="21"/>
      <c r="N28" s="84"/>
      <c r="O28" s="84"/>
      <c r="P28" s="84"/>
      <c r="Q28" s="84"/>
      <c r="R28" s="84"/>
      <c r="S28" s="84"/>
    </row>
    <row r="29" spans="1:19" s="83" customFormat="1" ht="17.25" customHeight="1" x14ac:dyDescent="0.3">
      <c r="A29" s="84"/>
      <c r="B29" s="74" t="s">
        <v>71</v>
      </c>
      <c r="C29" s="106" t="e">
        <f>C28/(24/C30)</f>
        <v>#VALUE!</v>
      </c>
      <c r="D29" s="91" t="s">
        <v>4</v>
      </c>
      <c r="E29" s="104"/>
      <c r="F29" s="69" t="s">
        <v>104</v>
      </c>
      <c r="G29" s="21"/>
      <c r="H29" s="21"/>
      <c r="I29" s="21"/>
      <c r="J29" s="21"/>
      <c r="K29" s="21"/>
      <c r="L29" s="21"/>
      <c r="M29" s="21"/>
      <c r="N29" s="84"/>
      <c r="O29" s="84"/>
      <c r="P29" s="84"/>
      <c r="Q29" s="84"/>
      <c r="R29" s="84"/>
      <c r="S29" s="84"/>
    </row>
    <row r="30" spans="1:19" s="83" customFormat="1" ht="17.25" customHeight="1" x14ac:dyDescent="0.3">
      <c r="A30" s="84"/>
      <c r="B30" s="74" t="s">
        <v>80</v>
      </c>
      <c r="C30" s="106" t="e">
        <f>LN(C26/C25)/-C15+C27</f>
        <v>#VALUE!</v>
      </c>
      <c r="D30" s="91" t="s">
        <v>7</v>
      </c>
      <c r="E30" s="104"/>
      <c r="F30" s="69" t="s">
        <v>105</v>
      </c>
      <c r="G30" s="21"/>
      <c r="H30" s="21"/>
      <c r="I30" s="21"/>
      <c r="J30" s="21"/>
      <c r="K30" s="21"/>
      <c r="L30" s="21"/>
      <c r="M30" s="21"/>
      <c r="N30" s="84"/>
      <c r="O30" s="84"/>
      <c r="P30" s="84"/>
      <c r="Q30" s="84"/>
      <c r="R30" s="84"/>
      <c r="S30" s="84"/>
    </row>
    <row r="31" spans="1:19" x14ac:dyDescent="0.25">
      <c r="A31" s="21"/>
      <c r="B31" s="21"/>
      <c r="C31" s="22"/>
      <c r="D31" s="21"/>
      <c r="E31" s="29"/>
      <c r="F31" s="21"/>
      <c r="G31" s="21"/>
      <c r="H31" s="21"/>
      <c r="I31" s="21"/>
      <c r="J31" s="21"/>
      <c r="K31" s="21"/>
      <c r="L31" s="21"/>
      <c r="M31" s="21"/>
      <c r="N31" s="116"/>
      <c r="O31" s="116"/>
      <c r="P31" s="116"/>
      <c r="Q31" s="116"/>
      <c r="R31" s="21"/>
      <c r="S31" s="21"/>
    </row>
    <row r="32" spans="1:19" ht="18.75" customHeight="1" x14ac:dyDescent="0.25">
      <c r="A32" s="289" t="s">
        <v>158</v>
      </c>
      <c r="B32" s="289"/>
      <c r="C32" s="289"/>
      <c r="D32" s="289"/>
      <c r="E32" s="29"/>
      <c r="F32" s="21"/>
      <c r="G32" s="21"/>
      <c r="H32" s="21"/>
      <c r="I32" s="21"/>
      <c r="J32" s="21"/>
      <c r="K32" s="21"/>
      <c r="L32" s="21"/>
      <c r="M32" s="21"/>
      <c r="N32" s="152"/>
      <c r="O32" s="152"/>
      <c r="P32" s="152"/>
      <c r="Q32" s="152"/>
      <c r="R32" s="21"/>
      <c r="S32" s="21"/>
    </row>
    <row r="33" spans="1:26" s="83" customFormat="1" ht="17.25" customHeight="1" x14ac:dyDescent="0.25">
      <c r="A33" s="84"/>
      <c r="B33" s="90" t="s">
        <v>38</v>
      </c>
      <c r="C33" s="109" t="e">
        <f>X49</f>
        <v>#VALUE!</v>
      </c>
      <c r="D33" s="91" t="s">
        <v>4</v>
      </c>
      <c r="E33" s="110" t="e">
        <f>IF(C29&lt;875,750,IF(C29&lt;1125,1000,IF(C29&lt;1375,1250,IF(C29&lt;1625,1500,IF(C29&lt;2125,2000,IF(C29&lt;2375,2250,2500))))))</f>
        <v>#VALUE!</v>
      </c>
      <c r="F33" s="84" t="e">
        <f>CONCATENATE("Next best match: ",X48,"mg IV every ",Y48,"h")</f>
        <v>#VALUE!</v>
      </c>
      <c r="G33" s="21"/>
      <c r="H33" s="21"/>
      <c r="I33" s="21"/>
      <c r="J33" s="21"/>
      <c r="K33" s="21"/>
      <c r="L33" s="21"/>
      <c r="M33" s="21"/>
      <c r="N33" s="172"/>
      <c r="O33" s="172"/>
      <c r="P33" s="172"/>
      <c r="Q33" s="172"/>
      <c r="R33" s="84"/>
      <c r="S33" s="84"/>
    </row>
    <row r="34" spans="1:26" s="83" customFormat="1" ht="17.25" customHeight="1" x14ac:dyDescent="0.25">
      <c r="A34" s="84"/>
      <c r="B34" s="90" t="s">
        <v>188</v>
      </c>
      <c r="C34" s="109" t="e">
        <f>Y49</f>
        <v>#VALUE!</v>
      </c>
      <c r="D34" s="91" t="s">
        <v>7</v>
      </c>
      <c r="E34" s="110" t="e">
        <f>IF(C30&lt;8.5,8,IF(C30&lt;15,12,24))</f>
        <v>#VALUE!</v>
      </c>
      <c r="F34" s="111"/>
      <c r="G34" s="21"/>
      <c r="H34" s="21"/>
      <c r="I34" s="21"/>
      <c r="J34" s="21"/>
      <c r="K34" s="21"/>
      <c r="L34" s="21"/>
      <c r="M34" s="21"/>
      <c r="N34" s="172"/>
      <c r="O34" s="172"/>
      <c r="P34" s="172"/>
      <c r="Q34" s="172"/>
      <c r="R34" s="84"/>
      <c r="S34" s="84"/>
    </row>
    <row r="35" spans="1:26" s="83" customFormat="1" ht="17.25" customHeight="1" x14ac:dyDescent="0.25">
      <c r="A35" s="84"/>
      <c r="B35" s="90" t="s">
        <v>48</v>
      </c>
      <c r="C35" s="115" t="e">
        <f>IF(C33&lt;750,0.5,IF(C33&lt;1125,1,IF(C33&lt;1625,1.5,IF(C33&lt;2225,2,IF(C33&lt;2725,2.5,"Enter time")))))</f>
        <v>#VALUE!</v>
      </c>
      <c r="D35" s="91" t="s">
        <v>7</v>
      </c>
      <c r="E35" s="168" t="e">
        <f>E36/24</f>
        <v>#VALUE!</v>
      </c>
      <c r="F35" s="84"/>
      <c r="G35" s="21"/>
      <c r="H35" s="21"/>
      <c r="I35" s="21"/>
      <c r="J35" s="21"/>
      <c r="K35" s="21"/>
      <c r="L35" s="21"/>
      <c r="M35" s="21"/>
      <c r="N35" s="172"/>
      <c r="O35" s="172"/>
      <c r="P35" s="172"/>
      <c r="Q35" s="172"/>
      <c r="R35" s="84"/>
      <c r="S35" s="84"/>
    </row>
    <row r="36" spans="1:26" s="83" customFormat="1" ht="17.25" customHeight="1" x14ac:dyDescent="0.25">
      <c r="A36" s="84"/>
      <c r="B36" s="90" t="s">
        <v>180</v>
      </c>
      <c r="C36" s="286" t="e">
        <f ca="1">IF(NOW()&lt;D7+E8+E35,D7+E8+E35,"Current level below desired Cmin")</f>
        <v>#VALUE!</v>
      </c>
      <c r="D36" s="287"/>
      <c r="E36" s="104" t="e">
        <f>LN(C17/C26)/C15</f>
        <v>#VALUE!</v>
      </c>
      <c r="F36" s="84"/>
      <c r="G36" s="21"/>
      <c r="H36" s="21"/>
      <c r="I36" s="21"/>
      <c r="J36" s="21"/>
      <c r="K36" s="21"/>
      <c r="L36" s="21"/>
      <c r="M36" s="21"/>
      <c r="N36" s="172"/>
      <c r="O36" s="172"/>
      <c r="P36" s="172"/>
      <c r="Q36" s="172"/>
      <c r="R36" s="84"/>
      <c r="S36" s="84"/>
    </row>
    <row r="37" spans="1:26" s="83" customFormat="1" ht="15" customHeight="1" x14ac:dyDescent="0.25">
      <c r="A37" s="84"/>
      <c r="B37" s="74" t="s">
        <v>202</v>
      </c>
      <c r="C37" s="106" t="e">
        <f>(C40+C41)*(24/C34)</f>
        <v>#VALUE!</v>
      </c>
      <c r="D37" s="91" t="s">
        <v>18</v>
      </c>
      <c r="E37" s="167"/>
      <c r="F37" s="84"/>
      <c r="G37" s="21"/>
      <c r="H37" s="21"/>
      <c r="I37" s="21"/>
      <c r="J37" s="21"/>
      <c r="K37" s="21"/>
      <c r="L37" s="21"/>
      <c r="M37" s="21"/>
      <c r="N37" s="172"/>
      <c r="O37" s="172"/>
      <c r="P37" s="172"/>
      <c r="Q37" s="172"/>
      <c r="R37" s="84"/>
      <c r="S37" s="84"/>
    </row>
    <row r="38" spans="1:26" s="83" customFormat="1" ht="15" customHeight="1" x14ac:dyDescent="0.25">
      <c r="A38" s="84"/>
      <c r="B38" s="74" t="s">
        <v>203</v>
      </c>
      <c r="C38" s="106" t="e">
        <f>(C33/C35*(1-EXP(-C15*C35)))/(C15*C19*(1-EXP(-C15*C34)))</f>
        <v>#VALUE!</v>
      </c>
      <c r="D38" s="91" t="s">
        <v>8</v>
      </c>
      <c r="E38" s="170" t="e">
        <f>IF(C30&lt;8.5,8,IF(C30&lt;15,12,24))</f>
        <v>#VALUE!</v>
      </c>
      <c r="F38" s="100"/>
      <c r="G38" s="21"/>
      <c r="H38" s="21"/>
      <c r="I38" s="21"/>
      <c r="J38" s="21"/>
      <c r="K38" s="21"/>
      <c r="L38" s="21"/>
      <c r="M38" s="21"/>
      <c r="N38" s="172"/>
      <c r="O38" s="172"/>
      <c r="P38" s="172"/>
      <c r="Q38" s="172"/>
      <c r="R38" s="84"/>
      <c r="S38" s="84"/>
    </row>
    <row r="39" spans="1:26" s="83" customFormat="1" ht="15" customHeight="1" x14ac:dyDescent="0.25">
      <c r="A39" s="84"/>
      <c r="B39" s="74" t="s">
        <v>204</v>
      </c>
      <c r="C39" s="106" t="e">
        <f>C38*EXP(-C15*(C34-C35))</f>
        <v>#VALUE!</v>
      </c>
      <c r="D39" s="91" t="s">
        <v>8</v>
      </c>
      <c r="E39" s="104" t="e">
        <f>C28/(24/E38)</f>
        <v>#VALUE!</v>
      </c>
      <c r="F39" s="136"/>
      <c r="G39" s="21"/>
      <c r="H39" s="21"/>
      <c r="I39" s="21"/>
      <c r="J39" s="21"/>
      <c r="K39" s="21"/>
      <c r="L39" s="21"/>
      <c r="M39" s="21"/>
      <c r="N39" s="172"/>
      <c r="O39" s="172"/>
      <c r="P39" s="172"/>
      <c r="Q39" s="172"/>
      <c r="R39" s="84"/>
      <c r="S39" s="84"/>
    </row>
    <row r="40" spans="1:26" ht="18" hidden="1" customHeight="1" x14ac:dyDescent="0.25">
      <c r="A40" s="21"/>
      <c r="B40" s="31" t="s">
        <v>16</v>
      </c>
      <c r="C40" s="32" t="e">
        <f>((C38+C39)/2)*C35</f>
        <v>#VALUE!</v>
      </c>
      <c r="D40" s="33"/>
      <c r="F40" s="21"/>
      <c r="G40" s="21"/>
      <c r="H40" s="21"/>
      <c r="I40" s="21"/>
      <c r="J40" s="21"/>
      <c r="K40" s="21"/>
      <c r="L40" s="21"/>
      <c r="M40" s="21"/>
      <c r="N40" s="172"/>
      <c r="O40" s="172"/>
      <c r="P40" s="172"/>
      <c r="Q40" s="172"/>
      <c r="R40" s="21"/>
      <c r="S40" s="21"/>
    </row>
    <row r="41" spans="1:26" ht="18" hidden="1" customHeight="1" x14ac:dyDescent="0.25">
      <c r="A41" s="21"/>
      <c r="B41" s="34" t="s">
        <v>17</v>
      </c>
      <c r="C41" s="35" t="e">
        <f>((C38-C39)/C15)</f>
        <v>#VALUE!</v>
      </c>
      <c r="D41" s="36"/>
      <c r="F41" s="21"/>
      <c r="G41" s="21"/>
      <c r="H41" s="21"/>
      <c r="I41" s="21"/>
      <c r="J41" s="21"/>
      <c r="K41" s="21"/>
      <c r="L41" s="21"/>
      <c r="M41" s="21"/>
      <c r="N41" s="172"/>
      <c r="O41" s="172"/>
      <c r="P41" s="172"/>
      <c r="Q41" s="172"/>
      <c r="R41" s="21"/>
      <c r="S41" s="21"/>
    </row>
    <row r="42" spans="1:26" x14ac:dyDescent="0.25">
      <c r="A42" s="21"/>
      <c r="B42" s="21"/>
      <c r="C42" s="22"/>
      <c r="D42" s="21"/>
      <c r="E42" s="21" t="e">
        <f>250*ROUND(E39/250,0)</f>
        <v>#VALUE!</v>
      </c>
      <c r="F42" s="21"/>
      <c r="G42" s="21"/>
      <c r="H42" s="21"/>
      <c r="I42" s="21"/>
      <c r="J42" s="21"/>
      <c r="K42" s="21"/>
      <c r="L42" s="21"/>
      <c r="M42" s="21"/>
      <c r="N42" s="172"/>
      <c r="O42" s="172"/>
      <c r="P42" s="172"/>
      <c r="Q42" s="172"/>
      <c r="R42" s="21"/>
      <c r="S42" s="21"/>
    </row>
    <row r="43" spans="1:26" ht="18" hidden="1" customHeight="1" x14ac:dyDescent="0.25">
      <c r="A43" s="21"/>
      <c r="B43" s="21"/>
      <c r="C43" s="22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172"/>
      <c r="O43" s="172"/>
      <c r="P43" s="172"/>
      <c r="Q43" s="172"/>
      <c r="R43" s="21"/>
      <c r="S43" s="21"/>
    </row>
    <row r="44" spans="1:26" ht="18" hidden="1" customHeight="1" x14ac:dyDescent="0.25">
      <c r="A44" s="21"/>
      <c r="B44" s="21"/>
      <c r="C44" s="22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172"/>
      <c r="O44" s="172"/>
      <c r="P44" s="172"/>
      <c r="Q44" s="172"/>
      <c r="R44" s="21"/>
      <c r="S44" s="21"/>
    </row>
    <row r="45" spans="1:26" x14ac:dyDescent="0.25">
      <c r="B45" s="21"/>
      <c r="C45" s="22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172"/>
      <c r="O45" s="172"/>
      <c r="P45" s="172"/>
      <c r="Q45" s="172"/>
      <c r="R45" s="21"/>
      <c r="S45" s="21"/>
    </row>
    <row r="46" spans="1:26" x14ac:dyDescent="0.25">
      <c r="A46" s="21"/>
      <c r="B46" s="21"/>
      <c r="C46" s="22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172"/>
      <c r="O46" s="172"/>
      <c r="P46" s="172"/>
      <c r="Q46" s="172"/>
      <c r="R46" s="21"/>
      <c r="S46" s="21"/>
    </row>
    <row r="47" spans="1:26" x14ac:dyDescent="0.25">
      <c r="A47" s="21"/>
      <c r="B47" s="21"/>
      <c r="C47" s="22"/>
      <c r="D47" s="21"/>
      <c r="E47" s="21"/>
      <c r="F47" s="21"/>
      <c r="G47" s="30"/>
      <c r="H47" s="30" t="s">
        <v>78</v>
      </c>
      <c r="I47" s="30" t="s">
        <v>79</v>
      </c>
      <c r="J47" s="30"/>
      <c r="K47" s="30" t="s">
        <v>154</v>
      </c>
      <c r="L47" s="30" t="s">
        <v>155</v>
      </c>
      <c r="M47" s="30" t="s">
        <v>156</v>
      </c>
      <c r="N47" s="21"/>
      <c r="O47" s="21"/>
      <c r="P47" s="21"/>
      <c r="Q47" s="21"/>
      <c r="R47" s="21"/>
      <c r="S47" s="21"/>
    </row>
    <row r="48" spans="1:26" s="27" customFormat="1" x14ac:dyDescent="0.25">
      <c r="C48" s="70"/>
      <c r="G48" s="85">
        <v>1.0208333333333333</v>
      </c>
      <c r="H48" s="177">
        <f ca="1">D7</f>
        <v>43934</v>
      </c>
      <c r="I48" s="178" t="str">
        <f>IF(C2="Steady state",C18,"0")</f>
        <v>0</v>
      </c>
      <c r="J48" s="178"/>
      <c r="K48" s="178">
        <f>IF(C2="Steady state",C18,0)</f>
        <v>0</v>
      </c>
      <c r="L48" s="178">
        <f>IF(C2="Steady state",C18,0)</f>
        <v>0</v>
      </c>
      <c r="M48" s="178">
        <f>IF(C2="Steady state",C18,0)</f>
        <v>0</v>
      </c>
      <c r="N48" s="256"/>
      <c r="O48" s="254"/>
      <c r="P48" s="254"/>
      <c r="Q48" s="254"/>
      <c r="R48" s="254"/>
      <c r="S48" s="254"/>
      <c r="T48" s="254"/>
      <c r="U48" s="254"/>
      <c r="V48" s="254"/>
      <c r="W48" s="254"/>
      <c r="X48" s="254" t="e">
        <f>VLOOKUP(Y51,X52:Z96,2,FALSE)</f>
        <v>#VALUE!</v>
      </c>
      <c r="Y48" s="254" t="e">
        <f>VLOOKUP(Y51,X52:Z96,3,FALSE)</f>
        <v>#VALUE!</v>
      </c>
      <c r="Z48" s="254"/>
    </row>
    <row r="49" spans="3:26" s="27" customFormat="1" x14ac:dyDescent="0.25">
      <c r="C49" s="70"/>
      <c r="G49" s="107"/>
      <c r="H49" s="177">
        <f ca="1">H48+$G$48</f>
        <v>43935.020833333336</v>
      </c>
      <c r="I49" s="108" t="str">
        <f>IF($C$8=1,K49,IF($C$8=1.5,L49,IF($C$8&gt;=2,M49,"")))</f>
        <v/>
      </c>
      <c r="J49" s="108">
        <v>0.5</v>
      </c>
      <c r="K49" s="108" t="e">
        <f>($C$17-$M$48)/2+$M$48</f>
        <v>#VALUE!</v>
      </c>
      <c r="L49" s="108" t="e">
        <f>($C$17-$M$48)/3+$M$48</f>
        <v>#VALUE!</v>
      </c>
      <c r="M49" s="108" t="e">
        <f>($C$17-$M$48)/4+$M$48</f>
        <v>#VALUE!</v>
      </c>
      <c r="N49" s="256"/>
      <c r="O49" s="254"/>
      <c r="P49" s="254"/>
      <c r="Q49" s="254"/>
      <c r="R49" s="254"/>
      <c r="S49" s="254"/>
      <c r="T49" s="254"/>
      <c r="U49" s="254"/>
      <c r="V49" s="254"/>
      <c r="W49" s="254"/>
      <c r="X49" s="254" t="e">
        <f>VLOOKUP(X51,X52:Z96,2,FALSE)</f>
        <v>#VALUE!</v>
      </c>
      <c r="Y49" s="254" t="e">
        <f>VLOOKUP(X51,X52:Z96,3,FALSE)</f>
        <v>#VALUE!</v>
      </c>
      <c r="Z49" s="254"/>
    </row>
    <row r="50" spans="3:26" s="27" customFormat="1" x14ac:dyDescent="0.25">
      <c r="C50" s="70"/>
      <c r="G50" s="107"/>
      <c r="H50" s="177">
        <f ca="1">H49+$G$48</f>
        <v>43936.041666666672</v>
      </c>
      <c r="I50" s="108" t="str">
        <f t="shared" ref="I50:I81" si="0">IF($C$8=1,K50,IF($C$8=1.5,L50,IF($C$8&gt;=2,M50,"")))</f>
        <v/>
      </c>
      <c r="J50" s="108">
        <f>J49+0.5</f>
        <v>1</v>
      </c>
      <c r="K50" s="108" t="str">
        <f>$C$17</f>
        <v/>
      </c>
      <c r="L50" s="108" t="e">
        <f>($C$17-$M$48)*2/3+$M$48</f>
        <v>#VALUE!</v>
      </c>
      <c r="M50" s="108" t="e">
        <f>($C$17-$M$48)/2+$M$48</f>
        <v>#VALUE!</v>
      </c>
      <c r="N50" s="256"/>
      <c r="O50" s="254"/>
      <c r="P50" s="254"/>
      <c r="Q50" s="254"/>
      <c r="R50" s="254"/>
      <c r="S50" s="254"/>
      <c r="T50" s="254"/>
      <c r="U50" s="254"/>
      <c r="V50" s="254"/>
      <c r="W50" s="254"/>
      <c r="X50" s="254" t="s">
        <v>192</v>
      </c>
      <c r="Y50" s="254" t="s">
        <v>193</v>
      </c>
      <c r="Z50" s="254"/>
    </row>
    <row r="51" spans="3:26" s="27" customFormat="1" x14ac:dyDescent="0.25">
      <c r="C51" s="70"/>
      <c r="G51" s="107"/>
      <c r="H51" s="177">
        <f t="shared" ref="H51:H79" ca="1" si="1">H50+$G$48</f>
        <v>43937.062500000007</v>
      </c>
      <c r="I51" s="108" t="str">
        <f t="shared" si="0"/>
        <v/>
      </c>
      <c r="J51" s="108">
        <f t="shared" ref="J51:J79" si="2">J50+0.5</f>
        <v>1.5</v>
      </c>
      <c r="K51" s="108" t="e">
        <f>$C$17*EXP(-$C$15*$J49)</f>
        <v>#VALUE!</v>
      </c>
      <c r="L51" s="108" t="str">
        <f>$C$17</f>
        <v/>
      </c>
      <c r="M51" s="108" t="e">
        <f>($C$17-$M$48)*3/4+$M$48</f>
        <v>#VALUE!</v>
      </c>
      <c r="N51" s="256"/>
      <c r="O51" s="254" t="s">
        <v>191</v>
      </c>
      <c r="P51" s="257" t="s">
        <v>38</v>
      </c>
      <c r="Q51" s="257" t="s">
        <v>184</v>
      </c>
      <c r="R51" s="257" t="s">
        <v>185</v>
      </c>
      <c r="S51" s="257" t="s">
        <v>186</v>
      </c>
      <c r="T51" s="257" t="s">
        <v>187</v>
      </c>
      <c r="U51" s="254"/>
      <c r="V51" s="254"/>
      <c r="W51" s="254"/>
      <c r="X51" s="254" t="e">
        <f>MIN(X52:X96)</f>
        <v>#VALUE!</v>
      </c>
      <c r="Y51" s="254" t="e">
        <f>SMALL(X52:X96,2)</f>
        <v>#VALUE!</v>
      </c>
      <c r="Z51" s="254"/>
    </row>
    <row r="52" spans="3:26" x14ac:dyDescent="0.25">
      <c r="G52" s="107"/>
      <c r="H52" s="177">
        <f t="shared" ca="1" si="1"/>
        <v>43938.083333333343</v>
      </c>
      <c r="I52" s="108" t="str">
        <f t="shared" si="0"/>
        <v/>
      </c>
      <c r="J52" s="108">
        <f t="shared" si="2"/>
        <v>2</v>
      </c>
      <c r="K52" s="108" t="e">
        <f t="shared" ref="K52:K81" si="3">$C$17*EXP(-$C$15*$J50)</f>
        <v>#VALUE!</v>
      </c>
      <c r="L52" s="108" t="e">
        <f>$C$17*EXP(-$C$15*$J49)</f>
        <v>#VALUE!</v>
      </c>
      <c r="M52" s="108" t="str">
        <f>C17</f>
        <v/>
      </c>
      <c r="N52" s="256">
        <f>IF(P52&lt;750,0.5,IF(P52&lt;1125,1,IF(P52&lt;1625,1.5,IF(P52&lt;2225,2,IF(P52&lt;2725,2.5,"Enter time")))))</f>
        <v>0.5</v>
      </c>
      <c r="O52" s="254">
        <f t="shared" ref="O52:O96" si="4">P52*24/Q52</f>
        <v>250</v>
      </c>
      <c r="P52" s="258">
        <v>500</v>
      </c>
      <c r="Q52" s="254">
        <v>48</v>
      </c>
      <c r="R52" s="254" t="e">
        <f>P52/$C$19/(1-EXP(-$C$15*Q52))</f>
        <v>#VALUE!</v>
      </c>
      <c r="S52" s="254" t="e">
        <f>R52*EXP(-$C$15*(Q52-N52))</f>
        <v>#VALUE!</v>
      </c>
      <c r="T52" s="254" t="e">
        <f>P52*24/Q52/$C$15/$C$19</f>
        <v>#VALUE!</v>
      </c>
      <c r="U52" s="254" t="e">
        <f>((R52-$C$25)^2)/$C$25</f>
        <v>#VALUE!</v>
      </c>
      <c r="V52" s="254" t="e">
        <f>((S52-$C$26)^2)/$C$26</f>
        <v>#VALUE!</v>
      </c>
      <c r="W52" s="254" t="e">
        <f>((T52-$C$24)^2)/$C$24</f>
        <v>#VALUE!</v>
      </c>
      <c r="X52" s="259" t="e">
        <f>(U52+V52+W52)</f>
        <v>#VALUE!</v>
      </c>
      <c r="Y52" s="258">
        <v>500</v>
      </c>
      <c r="Z52" s="254">
        <v>48</v>
      </c>
    </row>
    <row r="53" spans="3:26" x14ac:dyDescent="0.25">
      <c r="G53" s="107"/>
      <c r="H53" s="177">
        <f t="shared" ca="1" si="1"/>
        <v>43939.104166666679</v>
      </c>
      <c r="I53" s="108" t="str">
        <f t="shared" si="0"/>
        <v/>
      </c>
      <c r="J53" s="108">
        <f t="shared" si="2"/>
        <v>2.5</v>
      </c>
      <c r="K53" s="108" t="e">
        <f t="shared" si="3"/>
        <v>#VALUE!</v>
      </c>
      <c r="L53" s="108" t="e">
        <f t="shared" ref="L53:L81" si="5">$C$17*EXP(-$C$15*$J50)</f>
        <v>#VALUE!</v>
      </c>
      <c r="M53" s="108" t="e">
        <f>$C$17*EXP(-$C$15*$J49)</f>
        <v>#VALUE!</v>
      </c>
      <c r="N53" s="256">
        <f t="shared" ref="N53:N96" si="6">IF(P53&lt;750,0.5,IF(P53&lt;1125,1,IF(P53&lt;1625,1.5,IF(P53&lt;2225,2,IF(P53&lt;2725,2.5,"Enter time")))))</f>
        <v>0.5</v>
      </c>
      <c r="O53" s="254">
        <f t="shared" si="4"/>
        <v>333.33333333333331</v>
      </c>
      <c r="P53" s="258">
        <v>500</v>
      </c>
      <c r="Q53" s="254">
        <v>36</v>
      </c>
      <c r="R53" s="254" t="e">
        <f t="shared" ref="R53:R96" si="7">P53/$C$19/(1-EXP(-$C$15*Q53))</f>
        <v>#VALUE!</v>
      </c>
      <c r="S53" s="254" t="e">
        <f t="shared" ref="S53:S96" si="8">R53*EXP(-$C$15*(Q53-N53))</f>
        <v>#VALUE!</v>
      </c>
      <c r="T53" s="254" t="e">
        <f t="shared" ref="T53:T96" si="9">P53*24/Q53/$C$15/$C$19</f>
        <v>#VALUE!</v>
      </c>
      <c r="U53" s="254" t="e">
        <f t="shared" ref="U53:U96" si="10">((R53-$C$25)^2)/$C$25</f>
        <v>#VALUE!</v>
      </c>
      <c r="V53" s="254" t="e">
        <f t="shared" ref="V53:V96" si="11">((S53-$C$26)^2)/$C$26</f>
        <v>#VALUE!</v>
      </c>
      <c r="W53" s="254" t="e">
        <f t="shared" ref="W53:W96" si="12">((T53-$C$24)^2)/$C$24</f>
        <v>#VALUE!</v>
      </c>
      <c r="X53" s="259" t="e">
        <f t="shared" ref="X53:X96" si="13">(U53+V53+W53)</f>
        <v>#VALUE!</v>
      </c>
      <c r="Y53" s="258">
        <v>500</v>
      </c>
      <c r="Z53" s="254">
        <v>36</v>
      </c>
    </row>
    <row r="54" spans="3:26" x14ac:dyDescent="0.25">
      <c r="G54" s="107"/>
      <c r="H54" s="177">
        <f t="shared" ca="1" si="1"/>
        <v>43940.125000000015</v>
      </c>
      <c r="I54" s="108" t="str">
        <f t="shared" si="0"/>
        <v/>
      </c>
      <c r="J54" s="108">
        <f t="shared" si="2"/>
        <v>3</v>
      </c>
      <c r="K54" s="108" t="e">
        <f t="shared" si="3"/>
        <v>#VALUE!</v>
      </c>
      <c r="L54" s="108" t="e">
        <f t="shared" si="5"/>
        <v>#VALUE!</v>
      </c>
      <c r="M54" s="108" t="e">
        <f t="shared" ref="M54:M81" si="14">$C$17*EXP(-$C$15*$J50)</f>
        <v>#VALUE!</v>
      </c>
      <c r="N54" s="256">
        <f t="shared" si="6"/>
        <v>1</v>
      </c>
      <c r="O54" s="254">
        <f t="shared" si="4"/>
        <v>375</v>
      </c>
      <c r="P54" s="254">
        <v>750</v>
      </c>
      <c r="Q54" s="254">
        <v>48</v>
      </c>
      <c r="R54" s="254" t="e">
        <f t="shared" si="7"/>
        <v>#VALUE!</v>
      </c>
      <c r="S54" s="254" t="e">
        <f t="shared" si="8"/>
        <v>#VALUE!</v>
      </c>
      <c r="T54" s="254" t="e">
        <f t="shared" si="9"/>
        <v>#VALUE!</v>
      </c>
      <c r="U54" s="254" t="e">
        <f t="shared" si="10"/>
        <v>#VALUE!</v>
      </c>
      <c r="V54" s="254" t="e">
        <f t="shared" si="11"/>
        <v>#VALUE!</v>
      </c>
      <c r="W54" s="254" t="e">
        <f t="shared" si="12"/>
        <v>#VALUE!</v>
      </c>
      <c r="X54" s="259" t="e">
        <f t="shared" si="13"/>
        <v>#VALUE!</v>
      </c>
      <c r="Y54" s="254">
        <v>750</v>
      </c>
      <c r="Z54" s="254">
        <v>48</v>
      </c>
    </row>
    <row r="55" spans="3:26" x14ac:dyDescent="0.25">
      <c r="G55" s="107"/>
      <c r="H55" s="177">
        <f t="shared" ca="1" si="1"/>
        <v>43941.14583333335</v>
      </c>
      <c r="I55" s="108" t="str">
        <f t="shared" si="0"/>
        <v/>
      </c>
      <c r="J55" s="108">
        <f t="shared" si="2"/>
        <v>3.5</v>
      </c>
      <c r="K55" s="108" t="e">
        <f t="shared" si="3"/>
        <v>#VALUE!</v>
      </c>
      <c r="L55" s="108" t="e">
        <f t="shared" si="5"/>
        <v>#VALUE!</v>
      </c>
      <c r="M55" s="108" t="e">
        <f t="shared" si="14"/>
        <v>#VALUE!</v>
      </c>
      <c r="N55" s="256">
        <f t="shared" si="6"/>
        <v>0.5</v>
      </c>
      <c r="O55" s="254">
        <f t="shared" si="4"/>
        <v>500</v>
      </c>
      <c r="P55" s="258">
        <v>500</v>
      </c>
      <c r="Q55" s="254">
        <v>24</v>
      </c>
      <c r="R55" s="254" t="e">
        <f t="shared" si="7"/>
        <v>#VALUE!</v>
      </c>
      <c r="S55" s="254" t="e">
        <f t="shared" si="8"/>
        <v>#VALUE!</v>
      </c>
      <c r="T55" s="254" t="e">
        <f t="shared" si="9"/>
        <v>#VALUE!</v>
      </c>
      <c r="U55" s="254" t="e">
        <f t="shared" si="10"/>
        <v>#VALUE!</v>
      </c>
      <c r="V55" s="254" t="e">
        <f t="shared" si="11"/>
        <v>#VALUE!</v>
      </c>
      <c r="W55" s="254" t="e">
        <f t="shared" si="12"/>
        <v>#VALUE!</v>
      </c>
      <c r="X55" s="259" t="e">
        <f t="shared" si="13"/>
        <v>#VALUE!</v>
      </c>
      <c r="Y55" s="258">
        <v>500</v>
      </c>
      <c r="Z55" s="254">
        <v>24</v>
      </c>
    </row>
    <row r="56" spans="3:26" x14ac:dyDescent="0.25">
      <c r="G56" s="107"/>
      <c r="H56" s="177">
        <f t="shared" ca="1" si="1"/>
        <v>43942.166666666686</v>
      </c>
      <c r="I56" s="108" t="str">
        <f t="shared" si="0"/>
        <v/>
      </c>
      <c r="J56" s="108">
        <f t="shared" si="2"/>
        <v>4</v>
      </c>
      <c r="K56" s="108" t="e">
        <f t="shared" si="3"/>
        <v>#VALUE!</v>
      </c>
      <c r="L56" s="108" t="e">
        <f t="shared" si="5"/>
        <v>#VALUE!</v>
      </c>
      <c r="M56" s="108" t="e">
        <f t="shared" si="14"/>
        <v>#VALUE!</v>
      </c>
      <c r="N56" s="256">
        <f t="shared" si="6"/>
        <v>1</v>
      </c>
      <c r="O56" s="254">
        <f t="shared" si="4"/>
        <v>500</v>
      </c>
      <c r="P56" s="254">
        <v>750</v>
      </c>
      <c r="Q56" s="254">
        <v>36</v>
      </c>
      <c r="R56" s="254" t="e">
        <f t="shared" si="7"/>
        <v>#VALUE!</v>
      </c>
      <c r="S56" s="254" t="e">
        <f t="shared" si="8"/>
        <v>#VALUE!</v>
      </c>
      <c r="T56" s="254" t="e">
        <f t="shared" si="9"/>
        <v>#VALUE!</v>
      </c>
      <c r="U56" s="254" t="e">
        <f t="shared" si="10"/>
        <v>#VALUE!</v>
      </c>
      <c r="V56" s="254" t="e">
        <f t="shared" si="11"/>
        <v>#VALUE!</v>
      </c>
      <c r="W56" s="254" t="e">
        <f t="shared" si="12"/>
        <v>#VALUE!</v>
      </c>
      <c r="X56" s="259" t="e">
        <f t="shared" si="13"/>
        <v>#VALUE!</v>
      </c>
      <c r="Y56" s="254">
        <v>750</v>
      </c>
      <c r="Z56" s="254">
        <v>36</v>
      </c>
    </row>
    <row r="57" spans="3:26" x14ac:dyDescent="0.25">
      <c r="G57" s="107"/>
      <c r="H57" s="177">
        <f t="shared" ca="1" si="1"/>
        <v>43943.187500000022</v>
      </c>
      <c r="I57" s="108" t="str">
        <f t="shared" si="0"/>
        <v/>
      </c>
      <c r="J57" s="108">
        <f t="shared" si="2"/>
        <v>4.5</v>
      </c>
      <c r="K57" s="108" t="e">
        <f t="shared" si="3"/>
        <v>#VALUE!</v>
      </c>
      <c r="L57" s="108" t="e">
        <f t="shared" si="5"/>
        <v>#VALUE!</v>
      </c>
      <c r="M57" s="108" t="e">
        <f t="shared" si="14"/>
        <v>#VALUE!</v>
      </c>
      <c r="N57" s="256">
        <f t="shared" si="6"/>
        <v>1</v>
      </c>
      <c r="O57" s="254">
        <f t="shared" si="4"/>
        <v>500</v>
      </c>
      <c r="P57" s="260">
        <v>1000</v>
      </c>
      <c r="Q57" s="254">
        <v>48</v>
      </c>
      <c r="R57" s="254" t="e">
        <f t="shared" si="7"/>
        <v>#VALUE!</v>
      </c>
      <c r="S57" s="254" t="e">
        <f t="shared" si="8"/>
        <v>#VALUE!</v>
      </c>
      <c r="T57" s="254" t="e">
        <f t="shared" si="9"/>
        <v>#VALUE!</v>
      </c>
      <c r="U57" s="254" t="e">
        <f t="shared" si="10"/>
        <v>#VALUE!</v>
      </c>
      <c r="V57" s="254" t="e">
        <f t="shared" si="11"/>
        <v>#VALUE!</v>
      </c>
      <c r="W57" s="254" t="e">
        <f t="shared" si="12"/>
        <v>#VALUE!</v>
      </c>
      <c r="X57" s="259" t="e">
        <f t="shared" si="13"/>
        <v>#VALUE!</v>
      </c>
      <c r="Y57" s="260">
        <v>1000</v>
      </c>
      <c r="Z57" s="254">
        <v>48</v>
      </c>
    </row>
    <row r="58" spans="3:26" x14ac:dyDescent="0.25">
      <c r="G58" s="107"/>
      <c r="H58" s="177">
        <f t="shared" ca="1" si="1"/>
        <v>43944.208333333358</v>
      </c>
      <c r="I58" s="108" t="str">
        <f t="shared" si="0"/>
        <v/>
      </c>
      <c r="J58" s="108">
        <f t="shared" si="2"/>
        <v>5</v>
      </c>
      <c r="K58" s="108" t="e">
        <f t="shared" si="3"/>
        <v>#VALUE!</v>
      </c>
      <c r="L58" s="108" t="e">
        <f t="shared" si="5"/>
        <v>#VALUE!</v>
      </c>
      <c r="M58" s="108" t="e">
        <f t="shared" si="14"/>
        <v>#VALUE!</v>
      </c>
      <c r="N58" s="256">
        <f t="shared" si="6"/>
        <v>1.5</v>
      </c>
      <c r="O58" s="254">
        <f t="shared" si="4"/>
        <v>625</v>
      </c>
      <c r="P58" s="260">
        <v>1250</v>
      </c>
      <c r="Q58" s="254">
        <v>48</v>
      </c>
      <c r="R58" s="254" t="e">
        <f t="shared" si="7"/>
        <v>#VALUE!</v>
      </c>
      <c r="S58" s="254" t="e">
        <f t="shared" si="8"/>
        <v>#VALUE!</v>
      </c>
      <c r="T58" s="254" t="e">
        <f t="shared" si="9"/>
        <v>#VALUE!</v>
      </c>
      <c r="U58" s="254" t="e">
        <f t="shared" si="10"/>
        <v>#VALUE!</v>
      </c>
      <c r="V58" s="254" t="e">
        <f t="shared" si="11"/>
        <v>#VALUE!</v>
      </c>
      <c r="W58" s="254" t="e">
        <f t="shared" si="12"/>
        <v>#VALUE!</v>
      </c>
      <c r="X58" s="259" t="e">
        <f t="shared" si="13"/>
        <v>#VALUE!</v>
      </c>
      <c r="Y58" s="260">
        <v>1250</v>
      </c>
      <c r="Z58" s="254">
        <v>48</v>
      </c>
    </row>
    <row r="59" spans="3:26" x14ac:dyDescent="0.25">
      <c r="G59" s="107"/>
      <c r="H59" s="177">
        <f t="shared" ca="1" si="1"/>
        <v>43945.229166666693</v>
      </c>
      <c r="I59" s="108" t="str">
        <f t="shared" si="0"/>
        <v/>
      </c>
      <c r="J59" s="108">
        <f t="shared" si="2"/>
        <v>5.5</v>
      </c>
      <c r="K59" s="108" t="e">
        <f t="shared" si="3"/>
        <v>#VALUE!</v>
      </c>
      <c r="L59" s="108" t="e">
        <f t="shared" si="5"/>
        <v>#VALUE!</v>
      </c>
      <c r="M59" s="108" t="e">
        <f t="shared" si="14"/>
        <v>#VALUE!</v>
      </c>
      <c r="N59" s="256">
        <f t="shared" si="6"/>
        <v>1</v>
      </c>
      <c r="O59" s="254">
        <f t="shared" si="4"/>
        <v>666.66666666666663</v>
      </c>
      <c r="P59" s="260">
        <v>1000</v>
      </c>
      <c r="Q59" s="254">
        <v>36</v>
      </c>
      <c r="R59" s="254" t="e">
        <f t="shared" si="7"/>
        <v>#VALUE!</v>
      </c>
      <c r="S59" s="254" t="e">
        <f t="shared" si="8"/>
        <v>#VALUE!</v>
      </c>
      <c r="T59" s="254" t="e">
        <f t="shared" si="9"/>
        <v>#VALUE!</v>
      </c>
      <c r="U59" s="254" t="e">
        <f t="shared" si="10"/>
        <v>#VALUE!</v>
      </c>
      <c r="V59" s="254" t="e">
        <f t="shared" si="11"/>
        <v>#VALUE!</v>
      </c>
      <c r="W59" s="254" t="e">
        <f t="shared" si="12"/>
        <v>#VALUE!</v>
      </c>
      <c r="X59" s="259" t="e">
        <f t="shared" si="13"/>
        <v>#VALUE!</v>
      </c>
      <c r="Y59" s="260">
        <v>1000</v>
      </c>
      <c r="Z59" s="254">
        <v>36</v>
      </c>
    </row>
    <row r="60" spans="3:26" x14ac:dyDescent="0.25">
      <c r="G60" s="107"/>
      <c r="H60" s="177">
        <f t="shared" ca="1" si="1"/>
        <v>43946.250000000029</v>
      </c>
      <c r="I60" s="108" t="str">
        <f t="shared" si="0"/>
        <v/>
      </c>
      <c r="J60" s="108">
        <f t="shared" si="2"/>
        <v>6</v>
      </c>
      <c r="K60" s="108" t="e">
        <f t="shared" si="3"/>
        <v>#VALUE!</v>
      </c>
      <c r="L60" s="108" t="e">
        <f t="shared" si="5"/>
        <v>#VALUE!</v>
      </c>
      <c r="M60" s="108" t="e">
        <f t="shared" si="14"/>
        <v>#VALUE!</v>
      </c>
      <c r="N60" s="256">
        <f t="shared" si="6"/>
        <v>1</v>
      </c>
      <c r="O60" s="254">
        <f t="shared" si="4"/>
        <v>750</v>
      </c>
      <c r="P60" s="254">
        <v>750</v>
      </c>
      <c r="Q60" s="254">
        <v>24</v>
      </c>
      <c r="R60" s="254" t="e">
        <f t="shared" si="7"/>
        <v>#VALUE!</v>
      </c>
      <c r="S60" s="254" t="e">
        <f t="shared" si="8"/>
        <v>#VALUE!</v>
      </c>
      <c r="T60" s="254" t="e">
        <f t="shared" si="9"/>
        <v>#VALUE!</v>
      </c>
      <c r="U60" s="254" t="e">
        <f t="shared" si="10"/>
        <v>#VALUE!</v>
      </c>
      <c r="V60" s="254" t="e">
        <f t="shared" si="11"/>
        <v>#VALUE!</v>
      </c>
      <c r="W60" s="254" t="e">
        <f t="shared" si="12"/>
        <v>#VALUE!</v>
      </c>
      <c r="X60" s="259" t="e">
        <f t="shared" si="13"/>
        <v>#VALUE!</v>
      </c>
      <c r="Y60" s="254">
        <v>750</v>
      </c>
      <c r="Z60" s="254">
        <v>24</v>
      </c>
    </row>
    <row r="61" spans="3:26" x14ac:dyDescent="0.25">
      <c r="G61" s="107"/>
      <c r="H61" s="177">
        <f t="shared" ca="1" si="1"/>
        <v>43947.270833333365</v>
      </c>
      <c r="I61" s="108" t="str">
        <f t="shared" si="0"/>
        <v/>
      </c>
      <c r="J61" s="108">
        <f t="shared" si="2"/>
        <v>6.5</v>
      </c>
      <c r="K61" s="108" t="e">
        <f t="shared" si="3"/>
        <v>#VALUE!</v>
      </c>
      <c r="L61" s="108" t="e">
        <f t="shared" si="5"/>
        <v>#VALUE!</v>
      </c>
      <c r="M61" s="108" t="e">
        <f t="shared" si="14"/>
        <v>#VALUE!</v>
      </c>
      <c r="N61" s="256">
        <f t="shared" si="6"/>
        <v>1.5</v>
      </c>
      <c r="O61" s="254">
        <f t="shared" si="4"/>
        <v>750</v>
      </c>
      <c r="P61" s="260">
        <v>1500</v>
      </c>
      <c r="Q61" s="254">
        <v>48</v>
      </c>
      <c r="R61" s="254" t="e">
        <f t="shared" si="7"/>
        <v>#VALUE!</v>
      </c>
      <c r="S61" s="254" t="e">
        <f t="shared" si="8"/>
        <v>#VALUE!</v>
      </c>
      <c r="T61" s="254" t="e">
        <f t="shared" si="9"/>
        <v>#VALUE!</v>
      </c>
      <c r="U61" s="254" t="e">
        <f t="shared" si="10"/>
        <v>#VALUE!</v>
      </c>
      <c r="V61" s="254" t="e">
        <f t="shared" si="11"/>
        <v>#VALUE!</v>
      </c>
      <c r="W61" s="254" t="e">
        <f t="shared" si="12"/>
        <v>#VALUE!</v>
      </c>
      <c r="X61" s="259" t="e">
        <f t="shared" si="13"/>
        <v>#VALUE!</v>
      </c>
      <c r="Y61" s="260">
        <v>1500</v>
      </c>
      <c r="Z61" s="254">
        <v>48</v>
      </c>
    </row>
    <row r="62" spans="3:26" x14ac:dyDescent="0.25">
      <c r="G62" s="107"/>
      <c r="H62" s="177">
        <f t="shared" ca="1" si="1"/>
        <v>43948.291666666701</v>
      </c>
      <c r="I62" s="108" t="str">
        <f t="shared" si="0"/>
        <v/>
      </c>
      <c r="J62" s="108">
        <f t="shared" si="2"/>
        <v>7</v>
      </c>
      <c r="K62" s="108" t="e">
        <f t="shared" si="3"/>
        <v>#VALUE!</v>
      </c>
      <c r="L62" s="108" t="e">
        <f t="shared" si="5"/>
        <v>#VALUE!</v>
      </c>
      <c r="M62" s="108" t="e">
        <f t="shared" si="14"/>
        <v>#VALUE!</v>
      </c>
      <c r="N62" s="256">
        <f t="shared" si="6"/>
        <v>1.5</v>
      </c>
      <c r="O62" s="254">
        <f t="shared" si="4"/>
        <v>833.33333333333337</v>
      </c>
      <c r="P62" s="260">
        <v>1250</v>
      </c>
      <c r="Q62" s="254">
        <v>36</v>
      </c>
      <c r="R62" s="254" t="e">
        <f t="shared" si="7"/>
        <v>#VALUE!</v>
      </c>
      <c r="S62" s="254" t="e">
        <f t="shared" si="8"/>
        <v>#VALUE!</v>
      </c>
      <c r="T62" s="254" t="e">
        <f t="shared" si="9"/>
        <v>#VALUE!</v>
      </c>
      <c r="U62" s="254" t="e">
        <f t="shared" si="10"/>
        <v>#VALUE!</v>
      </c>
      <c r="V62" s="254" t="e">
        <f t="shared" si="11"/>
        <v>#VALUE!</v>
      </c>
      <c r="W62" s="254" t="e">
        <f t="shared" si="12"/>
        <v>#VALUE!</v>
      </c>
      <c r="X62" s="259" t="e">
        <f t="shared" si="13"/>
        <v>#VALUE!</v>
      </c>
      <c r="Y62" s="260">
        <v>1250</v>
      </c>
      <c r="Z62" s="254">
        <v>36</v>
      </c>
    </row>
    <row r="63" spans="3:26" x14ac:dyDescent="0.25">
      <c r="G63" s="107"/>
      <c r="H63" s="177">
        <f t="shared" ca="1" si="1"/>
        <v>43949.312500000036</v>
      </c>
      <c r="I63" s="108" t="str">
        <f t="shared" si="0"/>
        <v/>
      </c>
      <c r="J63" s="108">
        <f t="shared" si="2"/>
        <v>7.5</v>
      </c>
      <c r="K63" s="108" t="e">
        <f t="shared" si="3"/>
        <v>#VALUE!</v>
      </c>
      <c r="L63" s="108" t="e">
        <f t="shared" si="5"/>
        <v>#VALUE!</v>
      </c>
      <c r="M63" s="108" t="e">
        <f t="shared" si="14"/>
        <v>#VALUE!</v>
      </c>
      <c r="N63" s="256">
        <f t="shared" si="6"/>
        <v>2</v>
      </c>
      <c r="O63" s="254">
        <f t="shared" si="4"/>
        <v>875</v>
      </c>
      <c r="P63" s="254">
        <v>1750</v>
      </c>
      <c r="Q63" s="254">
        <v>48</v>
      </c>
      <c r="R63" s="254" t="e">
        <f t="shared" si="7"/>
        <v>#VALUE!</v>
      </c>
      <c r="S63" s="254" t="e">
        <f t="shared" si="8"/>
        <v>#VALUE!</v>
      </c>
      <c r="T63" s="254" t="e">
        <f t="shared" si="9"/>
        <v>#VALUE!</v>
      </c>
      <c r="U63" s="254" t="e">
        <f t="shared" si="10"/>
        <v>#VALUE!</v>
      </c>
      <c r="V63" s="254" t="e">
        <f t="shared" si="11"/>
        <v>#VALUE!</v>
      </c>
      <c r="W63" s="254" t="e">
        <f t="shared" si="12"/>
        <v>#VALUE!</v>
      </c>
      <c r="X63" s="259" t="e">
        <f t="shared" si="13"/>
        <v>#VALUE!</v>
      </c>
      <c r="Y63" s="254">
        <v>1750</v>
      </c>
      <c r="Z63" s="254">
        <v>48</v>
      </c>
    </row>
    <row r="64" spans="3:26" x14ac:dyDescent="0.25">
      <c r="G64" s="107"/>
      <c r="H64" s="177">
        <f t="shared" ca="1" si="1"/>
        <v>43950.333333333372</v>
      </c>
      <c r="I64" s="108" t="str">
        <f t="shared" si="0"/>
        <v/>
      </c>
      <c r="J64" s="108">
        <f t="shared" si="2"/>
        <v>8</v>
      </c>
      <c r="K64" s="108" t="e">
        <f t="shared" si="3"/>
        <v>#VALUE!</v>
      </c>
      <c r="L64" s="108" t="e">
        <f t="shared" si="5"/>
        <v>#VALUE!</v>
      </c>
      <c r="M64" s="108" t="e">
        <f t="shared" si="14"/>
        <v>#VALUE!</v>
      </c>
      <c r="N64" s="256">
        <f t="shared" si="6"/>
        <v>0.5</v>
      </c>
      <c r="O64" s="254">
        <f t="shared" si="4"/>
        <v>1000</v>
      </c>
      <c r="P64" s="258">
        <v>500</v>
      </c>
      <c r="Q64" s="254">
        <v>12</v>
      </c>
      <c r="R64" s="254" t="e">
        <f t="shared" si="7"/>
        <v>#VALUE!</v>
      </c>
      <c r="S64" s="254" t="e">
        <f t="shared" si="8"/>
        <v>#VALUE!</v>
      </c>
      <c r="T64" s="254" t="e">
        <f t="shared" si="9"/>
        <v>#VALUE!</v>
      </c>
      <c r="U64" s="254" t="e">
        <f t="shared" si="10"/>
        <v>#VALUE!</v>
      </c>
      <c r="V64" s="254" t="e">
        <f t="shared" si="11"/>
        <v>#VALUE!</v>
      </c>
      <c r="W64" s="254" t="e">
        <f t="shared" si="12"/>
        <v>#VALUE!</v>
      </c>
      <c r="X64" s="259" t="e">
        <f t="shared" si="13"/>
        <v>#VALUE!</v>
      </c>
      <c r="Y64" s="258">
        <v>500</v>
      </c>
      <c r="Z64" s="254">
        <v>12</v>
      </c>
    </row>
    <row r="65" spans="1:26" x14ac:dyDescent="0.25">
      <c r="G65" s="107"/>
      <c r="H65" s="177">
        <f t="shared" ca="1" si="1"/>
        <v>43951.354166666708</v>
      </c>
      <c r="I65" s="108" t="str">
        <f t="shared" si="0"/>
        <v/>
      </c>
      <c r="J65" s="108">
        <f t="shared" si="2"/>
        <v>8.5</v>
      </c>
      <c r="K65" s="108" t="e">
        <f t="shared" si="3"/>
        <v>#VALUE!</v>
      </c>
      <c r="L65" s="108" t="e">
        <f t="shared" si="5"/>
        <v>#VALUE!</v>
      </c>
      <c r="M65" s="108" t="e">
        <f t="shared" si="14"/>
        <v>#VALUE!</v>
      </c>
      <c r="N65" s="256">
        <f t="shared" si="6"/>
        <v>1</v>
      </c>
      <c r="O65" s="254">
        <f t="shared" si="4"/>
        <v>1000</v>
      </c>
      <c r="P65" s="260">
        <v>1000</v>
      </c>
      <c r="Q65" s="254">
        <v>24</v>
      </c>
      <c r="R65" s="254" t="e">
        <f t="shared" si="7"/>
        <v>#VALUE!</v>
      </c>
      <c r="S65" s="254" t="e">
        <f t="shared" si="8"/>
        <v>#VALUE!</v>
      </c>
      <c r="T65" s="254" t="e">
        <f t="shared" si="9"/>
        <v>#VALUE!</v>
      </c>
      <c r="U65" s="254" t="e">
        <f t="shared" si="10"/>
        <v>#VALUE!</v>
      </c>
      <c r="V65" s="254" t="e">
        <f t="shared" si="11"/>
        <v>#VALUE!</v>
      </c>
      <c r="W65" s="254" t="e">
        <f t="shared" si="12"/>
        <v>#VALUE!</v>
      </c>
      <c r="X65" s="259" t="e">
        <f t="shared" si="13"/>
        <v>#VALUE!</v>
      </c>
      <c r="Y65" s="260">
        <v>1000</v>
      </c>
      <c r="Z65" s="254">
        <v>24</v>
      </c>
    </row>
    <row r="66" spans="1:26" x14ac:dyDescent="0.25">
      <c r="G66" s="107"/>
      <c r="H66" s="177">
        <f t="shared" ca="1" si="1"/>
        <v>43952.375000000044</v>
      </c>
      <c r="I66" s="108" t="str">
        <f t="shared" si="0"/>
        <v/>
      </c>
      <c r="J66" s="108">
        <f t="shared" si="2"/>
        <v>9</v>
      </c>
      <c r="K66" s="108" t="e">
        <f t="shared" si="3"/>
        <v>#VALUE!</v>
      </c>
      <c r="L66" s="108" t="e">
        <f t="shared" si="5"/>
        <v>#VALUE!</v>
      </c>
      <c r="M66" s="108" t="e">
        <f t="shared" si="14"/>
        <v>#VALUE!</v>
      </c>
      <c r="N66" s="256">
        <f t="shared" si="6"/>
        <v>1.5</v>
      </c>
      <c r="O66" s="254">
        <f t="shared" si="4"/>
        <v>1000</v>
      </c>
      <c r="P66" s="260">
        <v>1500</v>
      </c>
      <c r="Q66" s="254">
        <v>36</v>
      </c>
      <c r="R66" s="254" t="e">
        <f t="shared" si="7"/>
        <v>#VALUE!</v>
      </c>
      <c r="S66" s="254" t="e">
        <f t="shared" si="8"/>
        <v>#VALUE!</v>
      </c>
      <c r="T66" s="254" t="e">
        <f t="shared" si="9"/>
        <v>#VALUE!</v>
      </c>
      <c r="U66" s="254" t="e">
        <f t="shared" si="10"/>
        <v>#VALUE!</v>
      </c>
      <c r="V66" s="254" t="e">
        <f t="shared" si="11"/>
        <v>#VALUE!</v>
      </c>
      <c r="W66" s="254" t="e">
        <f t="shared" si="12"/>
        <v>#VALUE!</v>
      </c>
      <c r="X66" s="259" t="e">
        <f t="shared" si="13"/>
        <v>#VALUE!</v>
      </c>
      <c r="Y66" s="260">
        <v>1500</v>
      </c>
      <c r="Z66" s="254">
        <v>36</v>
      </c>
    </row>
    <row r="67" spans="1:26" x14ac:dyDescent="0.25">
      <c r="G67" s="107"/>
      <c r="H67" s="177">
        <f t="shared" ca="1" si="1"/>
        <v>43953.395833333379</v>
      </c>
      <c r="I67" s="108" t="str">
        <f t="shared" si="0"/>
        <v/>
      </c>
      <c r="J67" s="108">
        <f t="shared" si="2"/>
        <v>9.5</v>
      </c>
      <c r="K67" s="108" t="e">
        <f t="shared" si="3"/>
        <v>#VALUE!</v>
      </c>
      <c r="L67" s="108" t="e">
        <f t="shared" si="5"/>
        <v>#VALUE!</v>
      </c>
      <c r="M67" s="108" t="e">
        <f t="shared" si="14"/>
        <v>#VALUE!</v>
      </c>
      <c r="N67" s="256">
        <f t="shared" si="6"/>
        <v>2</v>
      </c>
      <c r="O67" s="254">
        <f t="shared" si="4"/>
        <v>1000</v>
      </c>
      <c r="P67" s="254">
        <v>2000</v>
      </c>
      <c r="Q67" s="254">
        <v>48</v>
      </c>
      <c r="R67" s="254" t="e">
        <f t="shared" si="7"/>
        <v>#VALUE!</v>
      </c>
      <c r="S67" s="254" t="e">
        <f t="shared" si="8"/>
        <v>#VALUE!</v>
      </c>
      <c r="T67" s="254" t="e">
        <f t="shared" si="9"/>
        <v>#VALUE!</v>
      </c>
      <c r="U67" s="254" t="e">
        <f t="shared" si="10"/>
        <v>#VALUE!</v>
      </c>
      <c r="V67" s="254" t="e">
        <f t="shared" si="11"/>
        <v>#VALUE!</v>
      </c>
      <c r="W67" s="254" t="e">
        <f t="shared" si="12"/>
        <v>#VALUE!</v>
      </c>
      <c r="X67" s="259" t="e">
        <f t="shared" si="13"/>
        <v>#VALUE!</v>
      </c>
      <c r="Y67" s="254">
        <v>2000</v>
      </c>
      <c r="Z67" s="254">
        <v>48</v>
      </c>
    </row>
    <row r="68" spans="1:26" x14ac:dyDescent="0.25">
      <c r="G68" s="107"/>
      <c r="H68" s="177">
        <f t="shared" ca="1" si="1"/>
        <v>43954.416666666715</v>
      </c>
      <c r="I68" s="108" t="str">
        <f t="shared" si="0"/>
        <v/>
      </c>
      <c r="J68" s="108">
        <f t="shared" si="2"/>
        <v>10</v>
      </c>
      <c r="K68" s="108" t="e">
        <f t="shared" si="3"/>
        <v>#VALUE!</v>
      </c>
      <c r="L68" s="108" t="e">
        <f t="shared" si="5"/>
        <v>#VALUE!</v>
      </c>
      <c r="M68" s="108" t="e">
        <f t="shared" si="14"/>
        <v>#VALUE!</v>
      </c>
      <c r="N68" s="256">
        <f t="shared" si="6"/>
        <v>2.5</v>
      </c>
      <c r="O68" s="254">
        <f t="shared" si="4"/>
        <v>1125</v>
      </c>
      <c r="P68" s="254">
        <v>2250</v>
      </c>
      <c r="Q68" s="254">
        <v>48</v>
      </c>
      <c r="R68" s="254" t="e">
        <f t="shared" si="7"/>
        <v>#VALUE!</v>
      </c>
      <c r="S68" s="254" t="e">
        <f t="shared" si="8"/>
        <v>#VALUE!</v>
      </c>
      <c r="T68" s="254" t="e">
        <f t="shared" si="9"/>
        <v>#VALUE!</v>
      </c>
      <c r="U68" s="254" t="e">
        <f t="shared" si="10"/>
        <v>#VALUE!</v>
      </c>
      <c r="V68" s="254" t="e">
        <f t="shared" si="11"/>
        <v>#VALUE!</v>
      </c>
      <c r="W68" s="254" t="e">
        <f t="shared" si="12"/>
        <v>#VALUE!</v>
      </c>
      <c r="X68" s="259" t="e">
        <f t="shared" si="13"/>
        <v>#VALUE!</v>
      </c>
      <c r="Y68" s="254">
        <v>2250</v>
      </c>
      <c r="Z68" s="254">
        <v>48</v>
      </c>
    </row>
    <row r="69" spans="1:26" x14ac:dyDescent="0.25">
      <c r="G69" s="107"/>
      <c r="H69" s="177">
        <f t="shared" ca="1" si="1"/>
        <v>43955.437500000051</v>
      </c>
      <c r="I69" s="108" t="str">
        <f t="shared" si="0"/>
        <v/>
      </c>
      <c r="J69" s="108">
        <f t="shared" si="2"/>
        <v>10.5</v>
      </c>
      <c r="K69" s="108" t="e">
        <f t="shared" si="3"/>
        <v>#VALUE!</v>
      </c>
      <c r="L69" s="108" t="e">
        <f t="shared" si="5"/>
        <v>#VALUE!</v>
      </c>
      <c r="M69" s="108" t="e">
        <f t="shared" si="14"/>
        <v>#VALUE!</v>
      </c>
      <c r="N69" s="256">
        <f t="shared" si="6"/>
        <v>2</v>
      </c>
      <c r="O69" s="254">
        <f t="shared" si="4"/>
        <v>1166.6666666666667</v>
      </c>
      <c r="P69" s="254">
        <v>1750</v>
      </c>
      <c r="Q69" s="254">
        <v>36</v>
      </c>
      <c r="R69" s="254" t="e">
        <f t="shared" si="7"/>
        <v>#VALUE!</v>
      </c>
      <c r="S69" s="254" t="e">
        <f t="shared" si="8"/>
        <v>#VALUE!</v>
      </c>
      <c r="T69" s="254" t="e">
        <f t="shared" si="9"/>
        <v>#VALUE!</v>
      </c>
      <c r="U69" s="254" t="e">
        <f t="shared" si="10"/>
        <v>#VALUE!</v>
      </c>
      <c r="V69" s="254" t="e">
        <f t="shared" si="11"/>
        <v>#VALUE!</v>
      </c>
      <c r="W69" s="254" t="e">
        <f t="shared" si="12"/>
        <v>#VALUE!</v>
      </c>
      <c r="X69" s="259" t="e">
        <f t="shared" si="13"/>
        <v>#VALUE!</v>
      </c>
      <c r="Y69" s="254">
        <v>1750</v>
      </c>
      <c r="Z69" s="254">
        <v>36</v>
      </c>
    </row>
    <row r="70" spans="1:26" x14ac:dyDescent="0.25">
      <c r="G70" s="107"/>
      <c r="H70" s="177">
        <f t="shared" ca="1" si="1"/>
        <v>43956.458333333387</v>
      </c>
      <c r="I70" s="108" t="str">
        <f t="shared" si="0"/>
        <v/>
      </c>
      <c r="J70" s="108">
        <f t="shared" si="2"/>
        <v>11</v>
      </c>
      <c r="K70" s="108" t="e">
        <f t="shared" si="3"/>
        <v>#VALUE!</v>
      </c>
      <c r="L70" s="108" t="e">
        <f t="shared" si="5"/>
        <v>#VALUE!</v>
      </c>
      <c r="M70" s="108" t="e">
        <f t="shared" si="14"/>
        <v>#VALUE!</v>
      </c>
      <c r="N70" s="256">
        <f t="shared" si="6"/>
        <v>1.5</v>
      </c>
      <c r="O70" s="254">
        <f t="shared" si="4"/>
        <v>1250</v>
      </c>
      <c r="P70" s="260">
        <v>1250</v>
      </c>
      <c r="Q70" s="254">
        <v>24</v>
      </c>
      <c r="R70" s="254" t="e">
        <f t="shared" si="7"/>
        <v>#VALUE!</v>
      </c>
      <c r="S70" s="254" t="e">
        <f t="shared" si="8"/>
        <v>#VALUE!</v>
      </c>
      <c r="T70" s="254" t="e">
        <f t="shared" si="9"/>
        <v>#VALUE!</v>
      </c>
      <c r="U70" s="254" t="e">
        <f t="shared" si="10"/>
        <v>#VALUE!</v>
      </c>
      <c r="V70" s="254" t="e">
        <f t="shared" si="11"/>
        <v>#VALUE!</v>
      </c>
      <c r="W70" s="254" t="e">
        <f t="shared" si="12"/>
        <v>#VALUE!</v>
      </c>
      <c r="X70" s="259" t="e">
        <f t="shared" si="13"/>
        <v>#VALUE!</v>
      </c>
      <c r="Y70" s="260">
        <v>1250</v>
      </c>
      <c r="Z70" s="254">
        <v>24</v>
      </c>
    </row>
    <row r="71" spans="1:26" x14ac:dyDescent="0.25">
      <c r="G71" s="107"/>
      <c r="H71" s="177">
        <f t="shared" ca="1" si="1"/>
        <v>43957.479166666722</v>
      </c>
      <c r="I71" s="108" t="str">
        <f t="shared" si="0"/>
        <v/>
      </c>
      <c r="J71" s="108">
        <f t="shared" si="2"/>
        <v>11.5</v>
      </c>
      <c r="K71" s="108" t="e">
        <f t="shared" si="3"/>
        <v>#VALUE!</v>
      </c>
      <c r="L71" s="108" t="e">
        <f t="shared" si="5"/>
        <v>#VALUE!</v>
      </c>
      <c r="M71" s="108" t="e">
        <f t="shared" si="14"/>
        <v>#VALUE!</v>
      </c>
      <c r="N71" s="256">
        <f t="shared" si="6"/>
        <v>2.5</v>
      </c>
      <c r="O71" s="254">
        <f t="shared" si="4"/>
        <v>1250</v>
      </c>
      <c r="P71" s="254">
        <v>2500</v>
      </c>
      <c r="Q71" s="254">
        <v>48</v>
      </c>
      <c r="R71" s="254" t="e">
        <f t="shared" si="7"/>
        <v>#VALUE!</v>
      </c>
      <c r="S71" s="254" t="e">
        <f t="shared" si="8"/>
        <v>#VALUE!</v>
      </c>
      <c r="T71" s="254" t="e">
        <f t="shared" si="9"/>
        <v>#VALUE!</v>
      </c>
      <c r="U71" s="254" t="e">
        <f t="shared" si="10"/>
        <v>#VALUE!</v>
      </c>
      <c r="V71" s="254" t="e">
        <f t="shared" si="11"/>
        <v>#VALUE!</v>
      </c>
      <c r="W71" s="254" t="e">
        <f t="shared" si="12"/>
        <v>#VALUE!</v>
      </c>
      <c r="X71" s="259" t="e">
        <f t="shared" si="13"/>
        <v>#VALUE!</v>
      </c>
      <c r="Y71" s="254">
        <v>2500</v>
      </c>
      <c r="Z71" s="254">
        <v>48</v>
      </c>
    </row>
    <row r="72" spans="1:26" x14ac:dyDescent="0.25">
      <c r="G72" s="107"/>
      <c r="H72" s="177">
        <f t="shared" ca="1" si="1"/>
        <v>43958.500000000058</v>
      </c>
      <c r="I72" s="108" t="str">
        <f t="shared" si="0"/>
        <v/>
      </c>
      <c r="J72" s="108">
        <f t="shared" si="2"/>
        <v>12</v>
      </c>
      <c r="K72" s="108" t="e">
        <f t="shared" si="3"/>
        <v>#VALUE!</v>
      </c>
      <c r="L72" s="108" t="e">
        <f t="shared" si="5"/>
        <v>#VALUE!</v>
      </c>
      <c r="M72" s="108" t="e">
        <f t="shared" si="14"/>
        <v>#VALUE!</v>
      </c>
      <c r="N72" s="256">
        <f t="shared" si="6"/>
        <v>2</v>
      </c>
      <c r="O72" s="254">
        <f t="shared" si="4"/>
        <v>1333.3333333333333</v>
      </c>
      <c r="P72" s="254">
        <v>2000</v>
      </c>
      <c r="Q72" s="254">
        <v>36</v>
      </c>
      <c r="R72" s="254" t="e">
        <f t="shared" si="7"/>
        <v>#VALUE!</v>
      </c>
      <c r="S72" s="254" t="e">
        <f t="shared" si="8"/>
        <v>#VALUE!</v>
      </c>
      <c r="T72" s="254" t="e">
        <f t="shared" si="9"/>
        <v>#VALUE!</v>
      </c>
      <c r="U72" s="254" t="e">
        <f t="shared" si="10"/>
        <v>#VALUE!</v>
      </c>
      <c r="V72" s="254" t="e">
        <f t="shared" si="11"/>
        <v>#VALUE!</v>
      </c>
      <c r="W72" s="254" t="e">
        <f t="shared" si="12"/>
        <v>#VALUE!</v>
      </c>
      <c r="X72" s="259" t="e">
        <f t="shared" si="13"/>
        <v>#VALUE!</v>
      </c>
      <c r="Y72" s="254">
        <v>2000</v>
      </c>
      <c r="Z72" s="254">
        <v>36</v>
      </c>
    </row>
    <row r="73" spans="1:26" x14ac:dyDescent="0.25">
      <c r="A73" s="151" t="e">
        <f>CONCATENATE("Patient is currently receiving vancomycin ",C5," mg IV every ",C6, " hours for [insert diagnosis]. Multiple levels were drawn, including ",C9," mg/dL at ",E9," and ",C11," mg/dL at ",E11,". Using a desired AUC of ",C24, " mcg*h/mL, a desired Cmax of ",C25, " and Cmin of ",C26," a calculated dose of ",ROUND(C29,1)," mg every ",ROUND(C30,1)," hours is calculated (total daily dose = Desired AUC*calculated Ke*calculated Vd;interval determined by natural log trough/peak divided by -Ke plus the infusion time). Will start patient on ",C33," mg every ",C34," hours to conform to traditional dosages and dosing intervals. Predicted Cmax = ",ROUND(C38,1)," Cmin = ",ROUND(C39,1))</f>
        <v>#VALUE!</v>
      </c>
      <c r="G73" s="107"/>
      <c r="H73" s="177">
        <f t="shared" ca="1" si="1"/>
        <v>43959.520833333394</v>
      </c>
      <c r="I73" s="108" t="str">
        <f t="shared" si="0"/>
        <v/>
      </c>
      <c r="J73" s="108">
        <f t="shared" si="2"/>
        <v>12.5</v>
      </c>
      <c r="K73" s="108" t="e">
        <f t="shared" si="3"/>
        <v>#VALUE!</v>
      </c>
      <c r="L73" s="108" t="e">
        <f t="shared" si="5"/>
        <v>#VALUE!</v>
      </c>
      <c r="M73" s="108" t="e">
        <f t="shared" si="14"/>
        <v>#VALUE!</v>
      </c>
      <c r="N73" s="256">
        <f t="shared" si="6"/>
        <v>0.5</v>
      </c>
      <c r="O73" s="254">
        <f t="shared" si="4"/>
        <v>1500</v>
      </c>
      <c r="P73" s="258">
        <v>500</v>
      </c>
      <c r="Q73" s="254">
        <v>8</v>
      </c>
      <c r="R73" s="254" t="e">
        <f t="shared" si="7"/>
        <v>#VALUE!</v>
      </c>
      <c r="S73" s="254" t="e">
        <f t="shared" si="8"/>
        <v>#VALUE!</v>
      </c>
      <c r="T73" s="254" t="e">
        <f t="shared" si="9"/>
        <v>#VALUE!</v>
      </c>
      <c r="U73" s="254" t="e">
        <f t="shared" si="10"/>
        <v>#VALUE!</v>
      </c>
      <c r="V73" s="254" t="e">
        <f t="shared" si="11"/>
        <v>#VALUE!</v>
      </c>
      <c r="W73" s="254" t="e">
        <f t="shared" si="12"/>
        <v>#VALUE!</v>
      </c>
      <c r="X73" s="259" t="e">
        <f t="shared" si="13"/>
        <v>#VALUE!</v>
      </c>
      <c r="Y73" s="258">
        <v>500</v>
      </c>
      <c r="Z73" s="254">
        <v>8</v>
      </c>
    </row>
    <row r="74" spans="1:26" x14ac:dyDescent="0.25">
      <c r="G74" s="107"/>
      <c r="H74" s="177">
        <f t="shared" ca="1" si="1"/>
        <v>43960.54166666673</v>
      </c>
      <c r="I74" s="108" t="str">
        <f t="shared" si="0"/>
        <v/>
      </c>
      <c r="J74" s="108">
        <f t="shared" si="2"/>
        <v>13</v>
      </c>
      <c r="K74" s="108" t="e">
        <f t="shared" si="3"/>
        <v>#VALUE!</v>
      </c>
      <c r="L74" s="108" t="e">
        <f t="shared" si="5"/>
        <v>#VALUE!</v>
      </c>
      <c r="M74" s="108" t="e">
        <f t="shared" si="14"/>
        <v>#VALUE!</v>
      </c>
      <c r="N74" s="256">
        <f t="shared" si="6"/>
        <v>1</v>
      </c>
      <c r="O74" s="254">
        <f t="shared" si="4"/>
        <v>1500</v>
      </c>
      <c r="P74" s="254">
        <v>750</v>
      </c>
      <c r="Q74" s="254">
        <v>12</v>
      </c>
      <c r="R74" s="254" t="e">
        <f t="shared" si="7"/>
        <v>#VALUE!</v>
      </c>
      <c r="S74" s="254" t="e">
        <f t="shared" si="8"/>
        <v>#VALUE!</v>
      </c>
      <c r="T74" s="254" t="e">
        <f t="shared" si="9"/>
        <v>#VALUE!</v>
      </c>
      <c r="U74" s="254" t="e">
        <f t="shared" si="10"/>
        <v>#VALUE!</v>
      </c>
      <c r="V74" s="254" t="e">
        <f t="shared" si="11"/>
        <v>#VALUE!</v>
      </c>
      <c r="W74" s="254" t="e">
        <f t="shared" si="12"/>
        <v>#VALUE!</v>
      </c>
      <c r="X74" s="259" t="e">
        <f t="shared" si="13"/>
        <v>#VALUE!</v>
      </c>
      <c r="Y74" s="254">
        <v>750</v>
      </c>
      <c r="Z74" s="254">
        <v>12</v>
      </c>
    </row>
    <row r="75" spans="1:26" x14ac:dyDescent="0.25">
      <c r="G75" s="151"/>
      <c r="H75" s="177">
        <f t="shared" ca="1" si="1"/>
        <v>43961.562500000065</v>
      </c>
      <c r="I75" s="108" t="str">
        <f t="shared" si="0"/>
        <v/>
      </c>
      <c r="J75" s="108">
        <f t="shared" si="2"/>
        <v>13.5</v>
      </c>
      <c r="K75" s="108" t="e">
        <f t="shared" si="3"/>
        <v>#VALUE!</v>
      </c>
      <c r="L75" s="108" t="e">
        <f t="shared" si="5"/>
        <v>#VALUE!</v>
      </c>
      <c r="M75" s="108" t="e">
        <f t="shared" si="14"/>
        <v>#VALUE!</v>
      </c>
      <c r="N75" s="256">
        <f t="shared" si="6"/>
        <v>1.5</v>
      </c>
      <c r="O75" s="254">
        <f t="shared" si="4"/>
        <v>1500</v>
      </c>
      <c r="P75" s="260">
        <v>1500</v>
      </c>
      <c r="Q75" s="254">
        <v>24</v>
      </c>
      <c r="R75" s="254" t="e">
        <f t="shared" si="7"/>
        <v>#VALUE!</v>
      </c>
      <c r="S75" s="254" t="e">
        <f t="shared" si="8"/>
        <v>#VALUE!</v>
      </c>
      <c r="T75" s="254" t="e">
        <f t="shared" si="9"/>
        <v>#VALUE!</v>
      </c>
      <c r="U75" s="254" t="e">
        <f t="shared" si="10"/>
        <v>#VALUE!</v>
      </c>
      <c r="V75" s="254" t="e">
        <f t="shared" si="11"/>
        <v>#VALUE!</v>
      </c>
      <c r="W75" s="254" t="e">
        <f t="shared" si="12"/>
        <v>#VALUE!</v>
      </c>
      <c r="X75" s="259" t="e">
        <f t="shared" si="13"/>
        <v>#VALUE!</v>
      </c>
      <c r="Y75" s="260">
        <v>1500</v>
      </c>
      <c r="Z75" s="254">
        <v>24</v>
      </c>
    </row>
    <row r="76" spans="1:26" x14ac:dyDescent="0.25">
      <c r="G76" s="179"/>
      <c r="H76" s="177">
        <f t="shared" ca="1" si="1"/>
        <v>43962.583333333401</v>
      </c>
      <c r="I76" s="108" t="str">
        <f t="shared" si="0"/>
        <v/>
      </c>
      <c r="J76" s="108">
        <f t="shared" si="2"/>
        <v>14</v>
      </c>
      <c r="K76" s="108" t="e">
        <f t="shared" si="3"/>
        <v>#VALUE!</v>
      </c>
      <c r="L76" s="108" t="e">
        <f t="shared" si="5"/>
        <v>#VALUE!</v>
      </c>
      <c r="M76" s="108" t="e">
        <f t="shared" si="14"/>
        <v>#VALUE!</v>
      </c>
      <c r="N76" s="256">
        <f t="shared" si="6"/>
        <v>2.5</v>
      </c>
      <c r="O76" s="254">
        <f t="shared" si="4"/>
        <v>1500</v>
      </c>
      <c r="P76" s="254">
        <v>2250</v>
      </c>
      <c r="Q76" s="254">
        <v>36</v>
      </c>
      <c r="R76" s="254" t="e">
        <f t="shared" si="7"/>
        <v>#VALUE!</v>
      </c>
      <c r="S76" s="254" t="e">
        <f t="shared" si="8"/>
        <v>#VALUE!</v>
      </c>
      <c r="T76" s="254" t="e">
        <f t="shared" si="9"/>
        <v>#VALUE!</v>
      </c>
      <c r="U76" s="254" t="e">
        <f t="shared" si="10"/>
        <v>#VALUE!</v>
      </c>
      <c r="V76" s="254" t="e">
        <f t="shared" si="11"/>
        <v>#VALUE!</v>
      </c>
      <c r="W76" s="254" t="e">
        <f t="shared" si="12"/>
        <v>#VALUE!</v>
      </c>
      <c r="X76" s="259" t="e">
        <f t="shared" si="13"/>
        <v>#VALUE!</v>
      </c>
      <c r="Y76" s="254">
        <v>2250</v>
      </c>
      <c r="Z76" s="254">
        <v>36</v>
      </c>
    </row>
    <row r="77" spans="1:26" x14ac:dyDescent="0.25">
      <c r="G77" s="181"/>
      <c r="H77" s="177">
        <f t="shared" ca="1" si="1"/>
        <v>43963.604166666737</v>
      </c>
      <c r="I77" s="108" t="str">
        <f t="shared" si="0"/>
        <v/>
      </c>
      <c r="J77" s="108">
        <f t="shared" si="2"/>
        <v>14.5</v>
      </c>
      <c r="K77" s="108" t="e">
        <f t="shared" si="3"/>
        <v>#VALUE!</v>
      </c>
      <c r="L77" s="108" t="e">
        <f t="shared" si="5"/>
        <v>#VALUE!</v>
      </c>
      <c r="M77" s="108" t="e">
        <f t="shared" si="14"/>
        <v>#VALUE!</v>
      </c>
      <c r="N77" s="256">
        <f t="shared" si="6"/>
        <v>2.5</v>
      </c>
      <c r="O77" s="254">
        <f t="shared" si="4"/>
        <v>1666.6666666666667</v>
      </c>
      <c r="P77" s="254">
        <v>2500</v>
      </c>
      <c r="Q77" s="254">
        <v>36</v>
      </c>
      <c r="R77" s="254" t="e">
        <f t="shared" si="7"/>
        <v>#VALUE!</v>
      </c>
      <c r="S77" s="254" t="e">
        <f t="shared" si="8"/>
        <v>#VALUE!</v>
      </c>
      <c r="T77" s="254" t="e">
        <f t="shared" si="9"/>
        <v>#VALUE!</v>
      </c>
      <c r="U77" s="254" t="e">
        <f t="shared" si="10"/>
        <v>#VALUE!</v>
      </c>
      <c r="V77" s="254" t="e">
        <f t="shared" si="11"/>
        <v>#VALUE!</v>
      </c>
      <c r="W77" s="254" t="e">
        <f t="shared" si="12"/>
        <v>#VALUE!</v>
      </c>
      <c r="X77" s="259" t="e">
        <f t="shared" si="13"/>
        <v>#VALUE!</v>
      </c>
      <c r="Y77" s="254">
        <v>2500</v>
      </c>
      <c r="Z77" s="254">
        <v>36</v>
      </c>
    </row>
    <row r="78" spans="1:26" x14ac:dyDescent="0.25">
      <c r="G78" s="181"/>
      <c r="H78" s="177">
        <f t="shared" ca="1" si="1"/>
        <v>43964.625000000073</v>
      </c>
      <c r="I78" s="108" t="str">
        <f t="shared" si="0"/>
        <v/>
      </c>
      <c r="J78" s="108">
        <f t="shared" si="2"/>
        <v>15</v>
      </c>
      <c r="K78" s="108" t="e">
        <f t="shared" si="3"/>
        <v>#VALUE!</v>
      </c>
      <c r="L78" s="108" t="e">
        <f t="shared" si="5"/>
        <v>#VALUE!</v>
      </c>
      <c r="M78" s="108" t="e">
        <f t="shared" si="14"/>
        <v>#VALUE!</v>
      </c>
      <c r="N78" s="256">
        <f t="shared" si="6"/>
        <v>2</v>
      </c>
      <c r="O78" s="254">
        <f t="shared" si="4"/>
        <v>1750</v>
      </c>
      <c r="P78" s="254">
        <v>1750</v>
      </c>
      <c r="Q78" s="254">
        <v>24</v>
      </c>
      <c r="R78" s="254" t="e">
        <f t="shared" si="7"/>
        <v>#VALUE!</v>
      </c>
      <c r="S78" s="254" t="e">
        <f t="shared" si="8"/>
        <v>#VALUE!</v>
      </c>
      <c r="T78" s="254" t="e">
        <f t="shared" si="9"/>
        <v>#VALUE!</v>
      </c>
      <c r="U78" s="254" t="e">
        <f t="shared" si="10"/>
        <v>#VALUE!</v>
      </c>
      <c r="V78" s="254" t="e">
        <f t="shared" si="11"/>
        <v>#VALUE!</v>
      </c>
      <c r="W78" s="254" t="e">
        <f t="shared" si="12"/>
        <v>#VALUE!</v>
      </c>
      <c r="X78" s="259" t="e">
        <f t="shared" si="13"/>
        <v>#VALUE!</v>
      </c>
      <c r="Y78" s="254">
        <v>1750</v>
      </c>
      <c r="Z78" s="254">
        <v>24</v>
      </c>
    </row>
    <row r="79" spans="1:26" x14ac:dyDescent="0.25">
      <c r="G79" s="181"/>
      <c r="H79" s="177">
        <f t="shared" ca="1" si="1"/>
        <v>43965.645833333409</v>
      </c>
      <c r="I79" s="108" t="str">
        <f t="shared" si="0"/>
        <v/>
      </c>
      <c r="J79" s="108">
        <f t="shared" si="2"/>
        <v>15.5</v>
      </c>
      <c r="K79" s="108" t="e">
        <f t="shared" si="3"/>
        <v>#VALUE!</v>
      </c>
      <c r="L79" s="108" t="e">
        <f t="shared" si="5"/>
        <v>#VALUE!</v>
      </c>
      <c r="M79" s="108" t="e">
        <f t="shared" si="14"/>
        <v>#VALUE!</v>
      </c>
      <c r="N79" s="256">
        <f t="shared" si="6"/>
        <v>1</v>
      </c>
      <c r="O79" s="254">
        <f t="shared" si="4"/>
        <v>2000</v>
      </c>
      <c r="P79" s="260">
        <v>1000</v>
      </c>
      <c r="Q79" s="254">
        <v>12</v>
      </c>
      <c r="R79" s="254" t="e">
        <f t="shared" si="7"/>
        <v>#VALUE!</v>
      </c>
      <c r="S79" s="254" t="e">
        <f t="shared" si="8"/>
        <v>#VALUE!</v>
      </c>
      <c r="T79" s="254" t="e">
        <f t="shared" si="9"/>
        <v>#VALUE!</v>
      </c>
      <c r="U79" s="254" t="e">
        <f t="shared" si="10"/>
        <v>#VALUE!</v>
      </c>
      <c r="V79" s="254" t="e">
        <f t="shared" si="11"/>
        <v>#VALUE!</v>
      </c>
      <c r="W79" s="254" t="e">
        <f t="shared" si="12"/>
        <v>#VALUE!</v>
      </c>
      <c r="X79" s="259" t="e">
        <f t="shared" si="13"/>
        <v>#VALUE!</v>
      </c>
      <c r="Y79" s="260">
        <v>1000</v>
      </c>
      <c r="Z79" s="254">
        <v>12</v>
      </c>
    </row>
    <row r="80" spans="1:26" x14ac:dyDescent="0.25">
      <c r="G80" s="181"/>
      <c r="H80" s="177">
        <f ca="1">H79+$G$48</f>
        <v>43966.666666666744</v>
      </c>
      <c r="I80" s="108" t="str">
        <f t="shared" si="0"/>
        <v/>
      </c>
      <c r="J80" s="108">
        <f>J79+0.5</f>
        <v>16</v>
      </c>
      <c r="K80" s="108" t="e">
        <f t="shared" si="3"/>
        <v>#VALUE!</v>
      </c>
      <c r="L80" s="108" t="e">
        <f t="shared" si="5"/>
        <v>#VALUE!</v>
      </c>
      <c r="M80" s="108" t="e">
        <f t="shared" si="14"/>
        <v>#VALUE!</v>
      </c>
      <c r="N80" s="256">
        <f t="shared" si="6"/>
        <v>2</v>
      </c>
      <c r="O80" s="254">
        <f t="shared" si="4"/>
        <v>2000</v>
      </c>
      <c r="P80" s="254">
        <v>2000</v>
      </c>
      <c r="Q80" s="254">
        <v>24</v>
      </c>
      <c r="R80" s="254" t="e">
        <f t="shared" si="7"/>
        <v>#VALUE!</v>
      </c>
      <c r="S80" s="254" t="e">
        <f t="shared" si="8"/>
        <v>#VALUE!</v>
      </c>
      <c r="T80" s="254" t="e">
        <f t="shared" si="9"/>
        <v>#VALUE!</v>
      </c>
      <c r="U80" s="254" t="e">
        <f t="shared" si="10"/>
        <v>#VALUE!</v>
      </c>
      <c r="V80" s="254" t="e">
        <f t="shared" si="11"/>
        <v>#VALUE!</v>
      </c>
      <c r="W80" s="254" t="e">
        <f t="shared" si="12"/>
        <v>#VALUE!</v>
      </c>
      <c r="X80" s="259" t="e">
        <f t="shared" si="13"/>
        <v>#VALUE!</v>
      </c>
      <c r="Y80" s="254">
        <v>2000</v>
      </c>
      <c r="Z80" s="254">
        <v>24</v>
      </c>
    </row>
    <row r="81" spans="7:26" x14ac:dyDescent="0.25">
      <c r="G81" s="181"/>
      <c r="H81" s="177">
        <f ca="1">H80+$G$48</f>
        <v>43967.68750000008</v>
      </c>
      <c r="I81" s="108" t="str">
        <f t="shared" si="0"/>
        <v/>
      </c>
      <c r="J81" s="108">
        <f>J80+0.5</f>
        <v>16.5</v>
      </c>
      <c r="K81" s="108" t="e">
        <f t="shared" si="3"/>
        <v>#VALUE!</v>
      </c>
      <c r="L81" s="108" t="e">
        <f t="shared" si="5"/>
        <v>#VALUE!</v>
      </c>
      <c r="M81" s="108" t="e">
        <f t="shared" si="14"/>
        <v>#VALUE!</v>
      </c>
      <c r="N81" s="256">
        <f t="shared" si="6"/>
        <v>1</v>
      </c>
      <c r="O81" s="254">
        <f t="shared" si="4"/>
        <v>2250</v>
      </c>
      <c r="P81" s="254">
        <v>750</v>
      </c>
      <c r="Q81" s="254">
        <v>8</v>
      </c>
      <c r="R81" s="254" t="e">
        <f t="shared" si="7"/>
        <v>#VALUE!</v>
      </c>
      <c r="S81" s="254" t="e">
        <f t="shared" si="8"/>
        <v>#VALUE!</v>
      </c>
      <c r="T81" s="254" t="e">
        <f t="shared" si="9"/>
        <v>#VALUE!</v>
      </c>
      <c r="U81" s="254" t="e">
        <f t="shared" si="10"/>
        <v>#VALUE!</v>
      </c>
      <c r="V81" s="254" t="e">
        <f t="shared" si="11"/>
        <v>#VALUE!</v>
      </c>
      <c r="W81" s="254" t="e">
        <f t="shared" si="12"/>
        <v>#VALUE!</v>
      </c>
      <c r="X81" s="259" t="e">
        <f t="shared" si="13"/>
        <v>#VALUE!</v>
      </c>
      <c r="Y81" s="254">
        <v>750</v>
      </c>
      <c r="Z81" s="254">
        <v>8</v>
      </c>
    </row>
    <row r="82" spans="7:26" x14ac:dyDescent="0.25">
      <c r="G82" s="181"/>
      <c r="H82" s="181"/>
      <c r="I82" s="181"/>
      <c r="J82" s="181"/>
      <c r="K82" s="181"/>
      <c r="L82" s="181"/>
      <c r="M82" s="181"/>
      <c r="N82" s="256">
        <f t="shared" si="6"/>
        <v>2.5</v>
      </c>
      <c r="O82" s="254">
        <f t="shared" si="4"/>
        <v>2250</v>
      </c>
      <c r="P82" s="254">
        <v>2250</v>
      </c>
      <c r="Q82" s="254">
        <v>24</v>
      </c>
      <c r="R82" s="254" t="e">
        <f t="shared" si="7"/>
        <v>#VALUE!</v>
      </c>
      <c r="S82" s="254" t="e">
        <f t="shared" si="8"/>
        <v>#VALUE!</v>
      </c>
      <c r="T82" s="254" t="e">
        <f t="shared" si="9"/>
        <v>#VALUE!</v>
      </c>
      <c r="U82" s="254" t="e">
        <f t="shared" si="10"/>
        <v>#VALUE!</v>
      </c>
      <c r="V82" s="254" t="e">
        <f t="shared" si="11"/>
        <v>#VALUE!</v>
      </c>
      <c r="W82" s="254" t="e">
        <f t="shared" si="12"/>
        <v>#VALUE!</v>
      </c>
      <c r="X82" s="259" t="e">
        <f t="shared" si="13"/>
        <v>#VALUE!</v>
      </c>
      <c r="Y82" s="254">
        <v>2250</v>
      </c>
      <c r="Z82" s="254">
        <v>24</v>
      </c>
    </row>
    <row r="83" spans="7:26" x14ac:dyDescent="0.25">
      <c r="G83" s="172"/>
      <c r="H83" s="172"/>
      <c r="I83" s="172"/>
      <c r="J83" s="172"/>
      <c r="K83" s="172"/>
      <c r="L83" s="172"/>
      <c r="M83" s="172"/>
      <c r="N83" s="256">
        <f t="shared" si="6"/>
        <v>1.5</v>
      </c>
      <c r="O83" s="254">
        <f t="shared" si="4"/>
        <v>2500</v>
      </c>
      <c r="P83" s="260">
        <v>1250</v>
      </c>
      <c r="Q83" s="254">
        <v>12</v>
      </c>
      <c r="R83" s="254" t="e">
        <f t="shared" si="7"/>
        <v>#VALUE!</v>
      </c>
      <c r="S83" s="254" t="e">
        <f t="shared" si="8"/>
        <v>#VALUE!</v>
      </c>
      <c r="T83" s="254" t="e">
        <f t="shared" si="9"/>
        <v>#VALUE!</v>
      </c>
      <c r="U83" s="254" t="e">
        <f t="shared" si="10"/>
        <v>#VALUE!</v>
      </c>
      <c r="V83" s="254" t="e">
        <f t="shared" si="11"/>
        <v>#VALUE!</v>
      </c>
      <c r="W83" s="254" t="e">
        <f t="shared" si="12"/>
        <v>#VALUE!</v>
      </c>
      <c r="X83" s="259" t="e">
        <f t="shared" si="13"/>
        <v>#VALUE!</v>
      </c>
      <c r="Y83" s="260">
        <v>1250</v>
      </c>
      <c r="Z83" s="254">
        <v>12</v>
      </c>
    </row>
    <row r="84" spans="7:26" x14ac:dyDescent="0.25">
      <c r="G84" s="172"/>
      <c r="H84" s="172"/>
      <c r="I84" s="172"/>
      <c r="J84" s="172"/>
      <c r="K84" s="172"/>
      <c r="L84" s="172"/>
      <c r="M84" s="172"/>
      <c r="N84" s="256">
        <f t="shared" si="6"/>
        <v>2.5</v>
      </c>
      <c r="O84" s="254">
        <f t="shared" si="4"/>
        <v>2500</v>
      </c>
      <c r="P84" s="254">
        <v>2500</v>
      </c>
      <c r="Q84" s="254">
        <v>24</v>
      </c>
      <c r="R84" s="254" t="e">
        <f t="shared" si="7"/>
        <v>#VALUE!</v>
      </c>
      <c r="S84" s="254" t="e">
        <f t="shared" si="8"/>
        <v>#VALUE!</v>
      </c>
      <c r="T84" s="254" t="e">
        <f t="shared" si="9"/>
        <v>#VALUE!</v>
      </c>
      <c r="U84" s="254" t="e">
        <f t="shared" si="10"/>
        <v>#VALUE!</v>
      </c>
      <c r="V84" s="254" t="e">
        <f t="shared" si="11"/>
        <v>#VALUE!</v>
      </c>
      <c r="W84" s="254" t="e">
        <f t="shared" si="12"/>
        <v>#VALUE!</v>
      </c>
      <c r="X84" s="259" t="e">
        <f t="shared" si="13"/>
        <v>#VALUE!</v>
      </c>
      <c r="Y84" s="254">
        <v>2500</v>
      </c>
      <c r="Z84" s="254">
        <v>24</v>
      </c>
    </row>
    <row r="85" spans="7:26" x14ac:dyDescent="0.25">
      <c r="G85" s="172"/>
      <c r="H85" s="172"/>
      <c r="I85" s="172"/>
      <c r="J85" s="172"/>
      <c r="K85" s="172"/>
      <c r="L85" s="172"/>
      <c r="M85" s="172"/>
      <c r="N85" s="256">
        <f t="shared" si="6"/>
        <v>1</v>
      </c>
      <c r="O85" s="254">
        <f t="shared" si="4"/>
        <v>3000</v>
      </c>
      <c r="P85" s="260">
        <v>1000</v>
      </c>
      <c r="Q85" s="254">
        <v>8</v>
      </c>
      <c r="R85" s="254" t="e">
        <f t="shared" si="7"/>
        <v>#VALUE!</v>
      </c>
      <c r="S85" s="254" t="e">
        <f t="shared" si="8"/>
        <v>#VALUE!</v>
      </c>
      <c r="T85" s="254" t="e">
        <f t="shared" si="9"/>
        <v>#VALUE!</v>
      </c>
      <c r="U85" s="254" t="e">
        <f t="shared" si="10"/>
        <v>#VALUE!</v>
      </c>
      <c r="V85" s="254" t="e">
        <f t="shared" si="11"/>
        <v>#VALUE!</v>
      </c>
      <c r="W85" s="254" t="e">
        <f t="shared" si="12"/>
        <v>#VALUE!</v>
      </c>
      <c r="X85" s="259" t="e">
        <f t="shared" si="13"/>
        <v>#VALUE!</v>
      </c>
      <c r="Y85" s="260">
        <v>1000</v>
      </c>
      <c r="Z85" s="254">
        <v>8</v>
      </c>
    </row>
    <row r="86" spans="7:26" x14ac:dyDescent="0.25">
      <c r="G86" s="172"/>
      <c r="H86" s="172"/>
      <c r="I86" s="172"/>
      <c r="J86" s="172"/>
      <c r="K86" s="172"/>
      <c r="L86" s="172"/>
      <c r="M86" s="172"/>
      <c r="N86" s="256">
        <f t="shared" si="6"/>
        <v>1.5</v>
      </c>
      <c r="O86" s="254">
        <f t="shared" si="4"/>
        <v>3000</v>
      </c>
      <c r="P86" s="260">
        <v>1500</v>
      </c>
      <c r="Q86" s="254">
        <v>12</v>
      </c>
      <c r="R86" s="254" t="e">
        <f t="shared" si="7"/>
        <v>#VALUE!</v>
      </c>
      <c r="S86" s="254" t="e">
        <f t="shared" si="8"/>
        <v>#VALUE!</v>
      </c>
      <c r="T86" s="254" t="e">
        <f t="shared" si="9"/>
        <v>#VALUE!</v>
      </c>
      <c r="U86" s="254" t="e">
        <f t="shared" si="10"/>
        <v>#VALUE!</v>
      </c>
      <c r="V86" s="254" t="e">
        <f t="shared" si="11"/>
        <v>#VALUE!</v>
      </c>
      <c r="W86" s="254" t="e">
        <f t="shared" si="12"/>
        <v>#VALUE!</v>
      </c>
      <c r="X86" s="259" t="e">
        <f t="shared" si="13"/>
        <v>#VALUE!</v>
      </c>
      <c r="Y86" s="260">
        <v>1500</v>
      </c>
      <c r="Z86" s="254">
        <v>12</v>
      </c>
    </row>
    <row r="87" spans="7:26" x14ac:dyDescent="0.25">
      <c r="G87" s="172"/>
      <c r="H87" s="172"/>
      <c r="I87" s="172"/>
      <c r="J87" s="172"/>
      <c r="K87" s="172"/>
      <c r="L87" s="172"/>
      <c r="M87" s="172"/>
      <c r="N87" s="256">
        <f t="shared" si="6"/>
        <v>2</v>
      </c>
      <c r="O87" s="254">
        <f t="shared" si="4"/>
        <v>3500</v>
      </c>
      <c r="P87" s="254">
        <v>1750</v>
      </c>
      <c r="Q87" s="254">
        <v>12</v>
      </c>
      <c r="R87" s="254" t="e">
        <f t="shared" si="7"/>
        <v>#VALUE!</v>
      </c>
      <c r="S87" s="254" t="e">
        <f t="shared" si="8"/>
        <v>#VALUE!</v>
      </c>
      <c r="T87" s="254" t="e">
        <f t="shared" si="9"/>
        <v>#VALUE!</v>
      </c>
      <c r="U87" s="254" t="e">
        <f t="shared" si="10"/>
        <v>#VALUE!</v>
      </c>
      <c r="V87" s="254" t="e">
        <f t="shared" si="11"/>
        <v>#VALUE!</v>
      </c>
      <c r="W87" s="254" t="e">
        <f t="shared" si="12"/>
        <v>#VALUE!</v>
      </c>
      <c r="X87" s="259" t="e">
        <f t="shared" si="13"/>
        <v>#VALUE!</v>
      </c>
      <c r="Y87" s="254">
        <v>1750</v>
      </c>
      <c r="Z87" s="254">
        <v>12</v>
      </c>
    </row>
    <row r="88" spans="7:26" x14ac:dyDescent="0.25">
      <c r="G88" s="172"/>
      <c r="H88" s="172"/>
      <c r="I88" s="172"/>
      <c r="J88" s="172"/>
      <c r="K88" s="172"/>
      <c r="L88" s="172"/>
      <c r="M88" s="172"/>
      <c r="N88" s="256">
        <f t="shared" si="6"/>
        <v>1.5</v>
      </c>
      <c r="O88" s="254">
        <f t="shared" si="4"/>
        <v>3750</v>
      </c>
      <c r="P88" s="260">
        <v>1250</v>
      </c>
      <c r="Q88" s="254">
        <v>8</v>
      </c>
      <c r="R88" s="254" t="e">
        <f t="shared" si="7"/>
        <v>#VALUE!</v>
      </c>
      <c r="S88" s="254" t="e">
        <f t="shared" si="8"/>
        <v>#VALUE!</v>
      </c>
      <c r="T88" s="254" t="e">
        <f t="shared" si="9"/>
        <v>#VALUE!</v>
      </c>
      <c r="U88" s="254" t="e">
        <f t="shared" si="10"/>
        <v>#VALUE!</v>
      </c>
      <c r="V88" s="254" t="e">
        <f t="shared" si="11"/>
        <v>#VALUE!</v>
      </c>
      <c r="W88" s="254" t="e">
        <f t="shared" si="12"/>
        <v>#VALUE!</v>
      </c>
      <c r="X88" s="259" t="e">
        <f t="shared" si="13"/>
        <v>#VALUE!</v>
      </c>
      <c r="Y88" s="260">
        <v>1250</v>
      </c>
      <c r="Z88" s="254">
        <v>8</v>
      </c>
    </row>
    <row r="89" spans="7:26" x14ac:dyDescent="0.25">
      <c r="G89" s="172"/>
      <c r="H89" s="172"/>
      <c r="I89" s="172"/>
      <c r="J89" s="172"/>
      <c r="K89" s="172"/>
      <c r="L89" s="172"/>
      <c r="M89" s="172"/>
      <c r="N89" s="256">
        <f t="shared" si="6"/>
        <v>2</v>
      </c>
      <c r="O89" s="254">
        <f t="shared" si="4"/>
        <v>4000</v>
      </c>
      <c r="P89" s="254">
        <v>2000</v>
      </c>
      <c r="Q89" s="254">
        <v>12</v>
      </c>
      <c r="R89" s="254" t="e">
        <f t="shared" si="7"/>
        <v>#VALUE!</v>
      </c>
      <c r="S89" s="254" t="e">
        <f t="shared" si="8"/>
        <v>#VALUE!</v>
      </c>
      <c r="T89" s="254" t="e">
        <f t="shared" si="9"/>
        <v>#VALUE!</v>
      </c>
      <c r="U89" s="254" t="e">
        <f t="shared" si="10"/>
        <v>#VALUE!</v>
      </c>
      <c r="V89" s="254" t="e">
        <f t="shared" si="11"/>
        <v>#VALUE!</v>
      </c>
      <c r="W89" s="254" t="e">
        <f t="shared" si="12"/>
        <v>#VALUE!</v>
      </c>
      <c r="X89" s="259" t="e">
        <f t="shared" si="13"/>
        <v>#VALUE!</v>
      </c>
      <c r="Y89" s="254">
        <v>2000</v>
      </c>
      <c r="Z89" s="254">
        <v>12</v>
      </c>
    </row>
    <row r="90" spans="7:26" x14ac:dyDescent="0.25">
      <c r="G90" s="172"/>
      <c r="H90" s="172"/>
      <c r="I90" s="172"/>
      <c r="J90" s="172"/>
      <c r="K90" s="172"/>
      <c r="L90" s="172"/>
      <c r="M90" s="172"/>
      <c r="N90" s="256">
        <f t="shared" si="6"/>
        <v>1.5</v>
      </c>
      <c r="O90" s="254">
        <f t="shared" si="4"/>
        <v>4500</v>
      </c>
      <c r="P90" s="260">
        <v>1500</v>
      </c>
      <c r="Q90" s="254">
        <v>8</v>
      </c>
      <c r="R90" s="254" t="e">
        <f t="shared" si="7"/>
        <v>#VALUE!</v>
      </c>
      <c r="S90" s="254" t="e">
        <f t="shared" si="8"/>
        <v>#VALUE!</v>
      </c>
      <c r="T90" s="254" t="e">
        <f t="shared" si="9"/>
        <v>#VALUE!</v>
      </c>
      <c r="U90" s="254" t="e">
        <f t="shared" si="10"/>
        <v>#VALUE!</v>
      </c>
      <c r="V90" s="254" t="e">
        <f t="shared" si="11"/>
        <v>#VALUE!</v>
      </c>
      <c r="W90" s="254" t="e">
        <f t="shared" si="12"/>
        <v>#VALUE!</v>
      </c>
      <c r="X90" s="259" t="e">
        <f t="shared" si="13"/>
        <v>#VALUE!</v>
      </c>
      <c r="Y90" s="260">
        <v>1500</v>
      </c>
      <c r="Z90" s="254">
        <v>8</v>
      </c>
    </row>
    <row r="91" spans="7:26" x14ac:dyDescent="0.25">
      <c r="G91" s="21"/>
      <c r="H91" s="21"/>
      <c r="I91" s="21"/>
      <c r="J91" s="21"/>
      <c r="K91" s="21"/>
      <c r="L91" s="21"/>
      <c r="M91" s="21"/>
      <c r="N91" s="256">
        <f t="shared" si="6"/>
        <v>2.5</v>
      </c>
      <c r="O91" s="254">
        <f t="shared" si="4"/>
        <v>4500</v>
      </c>
      <c r="P91" s="254">
        <v>2250</v>
      </c>
      <c r="Q91" s="254">
        <v>12</v>
      </c>
      <c r="R91" s="254" t="e">
        <f t="shared" si="7"/>
        <v>#VALUE!</v>
      </c>
      <c r="S91" s="254" t="e">
        <f t="shared" si="8"/>
        <v>#VALUE!</v>
      </c>
      <c r="T91" s="254" t="e">
        <f t="shared" si="9"/>
        <v>#VALUE!</v>
      </c>
      <c r="U91" s="254" t="e">
        <f t="shared" si="10"/>
        <v>#VALUE!</v>
      </c>
      <c r="V91" s="254" t="e">
        <f t="shared" si="11"/>
        <v>#VALUE!</v>
      </c>
      <c r="W91" s="254" t="e">
        <f t="shared" si="12"/>
        <v>#VALUE!</v>
      </c>
      <c r="X91" s="259" t="e">
        <f t="shared" si="13"/>
        <v>#VALUE!</v>
      </c>
      <c r="Y91" s="254">
        <v>2250</v>
      </c>
      <c r="Z91" s="254">
        <v>12</v>
      </c>
    </row>
    <row r="92" spans="7:26" x14ac:dyDescent="0.25">
      <c r="G92" s="27"/>
      <c r="H92" s="27"/>
      <c r="I92" s="27"/>
      <c r="J92" s="27"/>
      <c r="K92" s="27"/>
      <c r="L92" s="27"/>
      <c r="M92" s="27"/>
      <c r="N92" s="256">
        <f t="shared" si="6"/>
        <v>2.5</v>
      </c>
      <c r="O92" s="254">
        <f t="shared" si="4"/>
        <v>5000</v>
      </c>
      <c r="P92" s="254">
        <v>2500</v>
      </c>
      <c r="Q92" s="254">
        <v>12</v>
      </c>
      <c r="R92" s="254" t="e">
        <f t="shared" si="7"/>
        <v>#VALUE!</v>
      </c>
      <c r="S92" s="254" t="e">
        <f t="shared" si="8"/>
        <v>#VALUE!</v>
      </c>
      <c r="T92" s="254" t="e">
        <f t="shared" si="9"/>
        <v>#VALUE!</v>
      </c>
      <c r="U92" s="254" t="e">
        <f t="shared" si="10"/>
        <v>#VALUE!</v>
      </c>
      <c r="V92" s="254" t="e">
        <f t="shared" si="11"/>
        <v>#VALUE!</v>
      </c>
      <c r="W92" s="254" t="e">
        <f t="shared" si="12"/>
        <v>#VALUE!</v>
      </c>
      <c r="X92" s="259" t="e">
        <f t="shared" si="13"/>
        <v>#VALUE!</v>
      </c>
      <c r="Y92" s="254">
        <v>2500</v>
      </c>
      <c r="Z92" s="254">
        <v>12</v>
      </c>
    </row>
    <row r="93" spans="7:26" x14ac:dyDescent="0.25">
      <c r="G93" s="27"/>
      <c r="H93" s="27"/>
      <c r="I93" s="27"/>
      <c r="J93" s="27"/>
      <c r="K93" s="27"/>
      <c r="L93" s="27"/>
      <c r="M93" s="27"/>
      <c r="N93" s="256">
        <f t="shared" si="6"/>
        <v>2</v>
      </c>
      <c r="O93" s="254">
        <f t="shared" si="4"/>
        <v>5250</v>
      </c>
      <c r="P93" s="254">
        <v>1750</v>
      </c>
      <c r="Q93" s="254">
        <v>8</v>
      </c>
      <c r="R93" s="254" t="e">
        <f t="shared" si="7"/>
        <v>#VALUE!</v>
      </c>
      <c r="S93" s="254" t="e">
        <f t="shared" si="8"/>
        <v>#VALUE!</v>
      </c>
      <c r="T93" s="254" t="e">
        <f t="shared" si="9"/>
        <v>#VALUE!</v>
      </c>
      <c r="U93" s="254" t="e">
        <f t="shared" si="10"/>
        <v>#VALUE!</v>
      </c>
      <c r="V93" s="254" t="e">
        <f t="shared" si="11"/>
        <v>#VALUE!</v>
      </c>
      <c r="W93" s="254" t="e">
        <f t="shared" si="12"/>
        <v>#VALUE!</v>
      </c>
      <c r="X93" s="259" t="e">
        <f t="shared" si="13"/>
        <v>#VALUE!</v>
      </c>
      <c r="Y93" s="254">
        <v>1750</v>
      </c>
      <c r="Z93" s="254">
        <v>8</v>
      </c>
    </row>
    <row r="94" spans="7:26" x14ac:dyDescent="0.25">
      <c r="G94" s="27"/>
      <c r="H94" s="27"/>
      <c r="I94" s="27"/>
      <c r="J94" s="27"/>
      <c r="K94" s="27"/>
      <c r="L94" s="27"/>
      <c r="M94" s="27"/>
      <c r="N94" s="256">
        <f t="shared" si="6"/>
        <v>2</v>
      </c>
      <c r="O94" s="254">
        <f t="shared" si="4"/>
        <v>6000</v>
      </c>
      <c r="P94" s="254">
        <v>2000</v>
      </c>
      <c r="Q94" s="254">
        <v>8</v>
      </c>
      <c r="R94" s="254" t="e">
        <f t="shared" si="7"/>
        <v>#VALUE!</v>
      </c>
      <c r="S94" s="254" t="e">
        <f t="shared" si="8"/>
        <v>#VALUE!</v>
      </c>
      <c r="T94" s="254" t="e">
        <f t="shared" si="9"/>
        <v>#VALUE!</v>
      </c>
      <c r="U94" s="254" t="e">
        <f t="shared" si="10"/>
        <v>#VALUE!</v>
      </c>
      <c r="V94" s="254" t="e">
        <f t="shared" si="11"/>
        <v>#VALUE!</v>
      </c>
      <c r="W94" s="254" t="e">
        <f t="shared" si="12"/>
        <v>#VALUE!</v>
      </c>
      <c r="X94" s="259" t="e">
        <f t="shared" si="13"/>
        <v>#VALUE!</v>
      </c>
      <c r="Y94" s="254">
        <v>2000</v>
      </c>
      <c r="Z94" s="254">
        <v>8</v>
      </c>
    </row>
    <row r="95" spans="7:26" x14ac:dyDescent="0.25">
      <c r="G95" s="27"/>
      <c r="H95" s="27"/>
      <c r="I95" s="27"/>
      <c r="J95" s="27"/>
      <c r="K95" s="27"/>
      <c r="L95" s="27"/>
      <c r="M95" s="27"/>
      <c r="N95" s="256">
        <f t="shared" si="6"/>
        <v>2.5</v>
      </c>
      <c r="O95" s="254">
        <f t="shared" si="4"/>
        <v>6750</v>
      </c>
      <c r="P95" s="254">
        <v>2250</v>
      </c>
      <c r="Q95" s="254">
        <v>8</v>
      </c>
      <c r="R95" s="254" t="e">
        <f t="shared" si="7"/>
        <v>#VALUE!</v>
      </c>
      <c r="S95" s="254" t="e">
        <f t="shared" si="8"/>
        <v>#VALUE!</v>
      </c>
      <c r="T95" s="254" t="e">
        <f t="shared" si="9"/>
        <v>#VALUE!</v>
      </c>
      <c r="U95" s="254" t="e">
        <f t="shared" si="10"/>
        <v>#VALUE!</v>
      </c>
      <c r="V95" s="254" t="e">
        <f t="shared" si="11"/>
        <v>#VALUE!</v>
      </c>
      <c r="W95" s="254" t="e">
        <f t="shared" si="12"/>
        <v>#VALUE!</v>
      </c>
      <c r="X95" s="259" t="e">
        <f t="shared" si="13"/>
        <v>#VALUE!</v>
      </c>
      <c r="Y95" s="254">
        <v>2250</v>
      </c>
      <c r="Z95" s="254">
        <v>8</v>
      </c>
    </row>
    <row r="96" spans="7:26" x14ac:dyDescent="0.25">
      <c r="G96" s="27"/>
      <c r="H96" s="27"/>
      <c r="I96" s="27"/>
      <c r="J96" s="27"/>
      <c r="K96" s="27"/>
      <c r="L96" s="27"/>
      <c r="M96" s="27"/>
      <c r="N96" s="256">
        <f t="shared" si="6"/>
        <v>2.5</v>
      </c>
      <c r="O96" s="254">
        <f t="shared" si="4"/>
        <v>7500</v>
      </c>
      <c r="P96" s="254">
        <v>2500</v>
      </c>
      <c r="Q96" s="254">
        <v>8</v>
      </c>
      <c r="R96" s="254" t="e">
        <f t="shared" si="7"/>
        <v>#VALUE!</v>
      </c>
      <c r="S96" s="254" t="e">
        <f t="shared" si="8"/>
        <v>#VALUE!</v>
      </c>
      <c r="T96" s="254" t="e">
        <f t="shared" si="9"/>
        <v>#VALUE!</v>
      </c>
      <c r="U96" s="254" t="e">
        <f t="shared" si="10"/>
        <v>#VALUE!</v>
      </c>
      <c r="V96" s="254" t="e">
        <f t="shared" si="11"/>
        <v>#VALUE!</v>
      </c>
      <c r="W96" s="254" t="e">
        <f t="shared" si="12"/>
        <v>#VALUE!</v>
      </c>
      <c r="X96" s="259" t="e">
        <f t="shared" si="13"/>
        <v>#VALUE!</v>
      </c>
      <c r="Y96" s="254">
        <v>2500</v>
      </c>
      <c r="Z96" s="254">
        <v>8</v>
      </c>
    </row>
    <row r="97" spans="7:13" x14ac:dyDescent="0.25">
      <c r="G97" s="27"/>
      <c r="H97" s="27"/>
      <c r="I97" s="27"/>
      <c r="J97" s="27"/>
      <c r="K97" s="27"/>
      <c r="L97" s="27"/>
      <c r="M97" s="27"/>
    </row>
    <row r="98" spans="7:13" x14ac:dyDescent="0.25">
      <c r="H98" s="27"/>
      <c r="I98" s="27"/>
      <c r="J98" s="27"/>
      <c r="K98" s="27"/>
    </row>
    <row r="99" spans="7:13" x14ac:dyDescent="0.25">
      <c r="H99" s="27"/>
      <c r="I99" s="27"/>
      <c r="J99" s="27"/>
      <c r="K99" s="27"/>
    </row>
    <row r="100" spans="7:13" x14ac:dyDescent="0.25">
      <c r="H100" s="27"/>
      <c r="I100" s="27"/>
      <c r="J100" s="27"/>
    </row>
    <row r="101" spans="7:13" x14ac:dyDescent="0.25">
      <c r="H101" s="27"/>
      <c r="I101" s="27"/>
      <c r="J101" s="27"/>
    </row>
  </sheetData>
  <sheetProtection sheet="1" objects="1" scenarios="1" selectLockedCells="1"/>
  <protectedRanges>
    <protectedRange sqref="C5:C12 C24:C27 C33:C36" name="Dosing by Levels Variables"/>
  </protectedRanges>
  <mergeCells count="5">
    <mergeCell ref="C36:D36"/>
    <mergeCell ref="A1:D1"/>
    <mergeCell ref="A14:D14"/>
    <mergeCell ref="A23:D23"/>
    <mergeCell ref="A32:D32"/>
  </mergeCells>
  <phoneticPr fontId="6" type="noConversion"/>
  <dataValidations count="4">
    <dataValidation type="decimal" allowBlank="1" showInputMessage="1" showErrorMessage="1" sqref="C24">
      <formula1>300</formula1>
      <formula2>700</formula2>
    </dataValidation>
    <dataValidation type="decimal" allowBlank="1" showInputMessage="1" showErrorMessage="1" sqref="C25">
      <formula1>15</formula1>
      <formula2>65</formula2>
    </dataValidation>
    <dataValidation type="decimal" allowBlank="1" showInputMessage="1" showErrorMessage="1" sqref="C26">
      <formula1>7.5</formula1>
      <formula2>22</formula2>
    </dataValidation>
    <dataValidation type="list" allowBlank="1" showInputMessage="1" showErrorMessage="1" sqref="C2">
      <formula1>$C$3:$C$4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724" r:id="rId4" name="CommandButton6">
          <controlPr defaultSize="0" autoLine="0" autoPict="0" r:id="rId5">
            <anchor moveWithCells="1">
              <from>
                <xdr:col>5</xdr:col>
                <xdr:colOff>57150</xdr:colOff>
                <xdr:row>30</xdr:row>
                <xdr:rowOff>95250</xdr:rowOff>
              </from>
              <to>
                <xdr:col>5</xdr:col>
                <xdr:colOff>1447800</xdr:colOff>
                <xdr:row>31</xdr:row>
                <xdr:rowOff>228600</xdr:rowOff>
              </to>
            </anchor>
          </controlPr>
        </control>
      </mc:Choice>
      <mc:Fallback>
        <control shapeId="18724" r:id="rId4" name="CommandButton6"/>
      </mc:Fallback>
    </mc:AlternateContent>
    <mc:AlternateContent xmlns:mc="http://schemas.openxmlformats.org/markup-compatibility/2006">
      <mc:Choice Requires="x14">
        <control shapeId="18563" r:id="rId6" name="CommandButton5">
          <controlPr defaultSize="0" autoLine="0" r:id="rId7">
            <anchor moveWithCells="1">
              <from>
                <xdr:col>5</xdr:col>
                <xdr:colOff>9525</xdr:colOff>
                <xdr:row>8</xdr:row>
                <xdr:rowOff>219075</xdr:rowOff>
              </from>
              <to>
                <xdr:col>5</xdr:col>
                <xdr:colOff>600075</xdr:colOff>
                <xdr:row>10</xdr:row>
                <xdr:rowOff>19050</xdr:rowOff>
              </to>
            </anchor>
          </controlPr>
        </control>
      </mc:Choice>
      <mc:Fallback>
        <control shapeId="18563" r:id="rId6" name="CommandButton5"/>
      </mc:Fallback>
    </mc:AlternateContent>
    <mc:AlternateContent xmlns:mc="http://schemas.openxmlformats.org/markup-compatibility/2006">
      <mc:Choice Requires="x14">
        <control shapeId="18562" r:id="rId8" name="CommandButton4">
          <controlPr defaultSize="0" autoLine="0" autoPict="0" r:id="rId9">
            <anchor moveWithCells="1">
              <from>
                <xdr:col>5</xdr:col>
                <xdr:colOff>9525</xdr:colOff>
                <xdr:row>5</xdr:row>
                <xdr:rowOff>219075</xdr:rowOff>
              </from>
              <to>
                <xdr:col>5</xdr:col>
                <xdr:colOff>600075</xdr:colOff>
                <xdr:row>7</xdr:row>
                <xdr:rowOff>19050</xdr:rowOff>
              </to>
            </anchor>
          </controlPr>
        </control>
      </mc:Choice>
      <mc:Fallback>
        <control shapeId="18562" r:id="rId8" name="CommandButton4"/>
      </mc:Fallback>
    </mc:AlternateContent>
    <mc:AlternateContent xmlns:mc="http://schemas.openxmlformats.org/markup-compatibility/2006">
      <mc:Choice Requires="x14">
        <control shapeId="18530" r:id="rId10" name="CommandButton3">
          <controlPr defaultSize="0" autoLine="0" r:id="rId11">
            <anchor moveWithCells="1">
              <from>
                <xdr:col>5</xdr:col>
                <xdr:colOff>647700</xdr:colOff>
                <xdr:row>1</xdr:row>
                <xdr:rowOff>9525</xdr:rowOff>
              </from>
              <to>
                <xdr:col>5</xdr:col>
                <xdr:colOff>3514725</xdr:colOff>
                <xdr:row>5</xdr:row>
                <xdr:rowOff>38100</xdr:rowOff>
              </to>
            </anchor>
          </controlPr>
        </control>
      </mc:Choice>
      <mc:Fallback>
        <control shapeId="18530" r:id="rId10" name="CommandButton3"/>
      </mc:Fallback>
    </mc:AlternateContent>
    <mc:AlternateContent xmlns:mc="http://schemas.openxmlformats.org/markup-compatibility/2006">
      <mc:Choice Requires="x14">
        <control shapeId="18435" r:id="rId12" name="CommandButton2">
          <controlPr defaultSize="0" autoLine="0" r:id="rId13">
            <anchor moveWithCells="1">
              <from>
                <xdr:col>5</xdr:col>
                <xdr:colOff>2124075</xdr:colOff>
                <xdr:row>5</xdr:row>
                <xdr:rowOff>66675</xdr:rowOff>
              </from>
              <to>
                <xdr:col>5</xdr:col>
                <xdr:colOff>3514725</xdr:colOff>
                <xdr:row>7</xdr:row>
                <xdr:rowOff>95250</xdr:rowOff>
              </to>
            </anchor>
          </controlPr>
        </control>
      </mc:Choice>
      <mc:Fallback>
        <control shapeId="18435" r:id="rId12" name="CommandButton2"/>
      </mc:Fallback>
    </mc:AlternateContent>
    <mc:AlternateContent xmlns:mc="http://schemas.openxmlformats.org/markup-compatibility/2006">
      <mc:Choice Requires="x14">
        <control shapeId="18434" r:id="rId14" name="CommandButton1">
          <controlPr defaultSize="0" autoLine="0" r:id="rId15">
            <anchor moveWithCells="1">
              <from>
                <xdr:col>5</xdr:col>
                <xdr:colOff>647700</xdr:colOff>
                <xdr:row>5</xdr:row>
                <xdr:rowOff>66675</xdr:rowOff>
              </from>
              <to>
                <xdr:col>5</xdr:col>
                <xdr:colOff>2038350</xdr:colOff>
                <xdr:row>7</xdr:row>
                <xdr:rowOff>95250</xdr:rowOff>
              </to>
            </anchor>
          </controlPr>
        </control>
      </mc:Choice>
      <mc:Fallback>
        <control shapeId="18434" r:id="rId1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128"/>
  <sheetViews>
    <sheetView workbookViewId="0">
      <selection activeCell="F34" sqref="F34"/>
    </sheetView>
  </sheetViews>
  <sheetFormatPr defaultColWidth="8.85546875" defaultRowHeight="18" x14ac:dyDescent="0.25"/>
  <cols>
    <col min="1" max="1" width="5.7109375" style="23" customWidth="1"/>
    <col min="2" max="2" width="36.5703125" style="23" customWidth="1"/>
    <col min="3" max="3" width="22.7109375" style="37" bestFit="1" customWidth="1"/>
    <col min="4" max="4" width="21.140625" style="23" customWidth="1"/>
    <col min="5" max="5" width="24.140625" style="23" hidden="1" customWidth="1"/>
    <col min="6" max="6" width="63.42578125" style="23" bestFit="1" customWidth="1"/>
    <col min="7" max="7" width="8.42578125" style="23" customWidth="1"/>
    <col min="8" max="8" width="9.42578125" style="23" bestFit="1" customWidth="1"/>
    <col min="9" max="9" width="12.85546875" style="23" bestFit="1" customWidth="1"/>
    <col min="10" max="10" width="12.85546875" style="23" customWidth="1"/>
    <col min="11" max="16384" width="8.85546875" style="23"/>
  </cols>
  <sheetData>
    <row r="1" spans="1:19" ht="19.5" x14ac:dyDescent="0.25">
      <c r="A1" s="288" t="s">
        <v>25</v>
      </c>
      <c r="B1" s="288"/>
      <c r="C1" s="288"/>
      <c r="D1" s="288"/>
      <c r="F1" s="180" t="s">
        <v>147</v>
      </c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</row>
    <row r="2" spans="1:19" s="83" customFormat="1" x14ac:dyDescent="0.25">
      <c r="A2" s="80"/>
      <c r="B2" s="81" t="s">
        <v>83</v>
      </c>
      <c r="C2" s="82"/>
      <c r="D2" s="81"/>
      <c r="F2" s="84"/>
      <c r="G2" s="21"/>
      <c r="H2" s="21"/>
      <c r="I2" s="21"/>
      <c r="J2" s="21"/>
      <c r="K2" s="21"/>
      <c r="L2" s="21"/>
      <c r="M2" s="21"/>
      <c r="N2" s="84"/>
      <c r="O2" s="84"/>
      <c r="P2" s="84"/>
      <c r="Q2" s="84"/>
      <c r="R2" s="84"/>
      <c r="S2" s="84"/>
    </row>
    <row r="3" spans="1:19" s="83" customFormat="1" hidden="1" x14ac:dyDescent="0.25">
      <c r="A3" s="80"/>
      <c r="B3" s="81"/>
      <c r="C3" s="176" t="s">
        <v>85</v>
      </c>
      <c r="D3" s="81"/>
      <c r="F3" s="84"/>
      <c r="G3" s="21"/>
      <c r="H3" s="21"/>
      <c r="I3" s="21"/>
      <c r="J3" s="21"/>
      <c r="K3" s="21"/>
      <c r="L3" s="21"/>
      <c r="M3" s="21"/>
      <c r="N3" s="84"/>
      <c r="O3" s="84"/>
      <c r="P3" s="84"/>
      <c r="Q3" s="84"/>
      <c r="R3" s="84"/>
      <c r="S3" s="84"/>
    </row>
    <row r="4" spans="1:19" s="83" customFormat="1" hidden="1" x14ac:dyDescent="0.25">
      <c r="A4" s="80"/>
      <c r="B4" s="81"/>
      <c r="C4" s="176" t="s">
        <v>84</v>
      </c>
      <c r="D4" s="81"/>
      <c r="F4" s="84"/>
      <c r="G4" s="21"/>
      <c r="H4" s="21"/>
      <c r="I4" s="21"/>
      <c r="J4" s="21"/>
      <c r="K4" s="21"/>
      <c r="L4" s="21"/>
      <c r="M4" s="21"/>
      <c r="N4" s="84"/>
      <c r="O4" s="84"/>
      <c r="P4" s="84"/>
      <c r="Q4" s="84"/>
      <c r="R4" s="84"/>
      <c r="S4" s="84"/>
    </row>
    <row r="5" spans="1:19" s="83" customFormat="1" x14ac:dyDescent="0.25">
      <c r="A5" s="84"/>
      <c r="B5" s="90" t="s">
        <v>38</v>
      </c>
      <c r="C5" s="82"/>
      <c r="D5" s="91" t="s">
        <v>4</v>
      </c>
      <c r="F5" s="89"/>
      <c r="G5" s="21"/>
      <c r="H5" s="21"/>
      <c r="I5" s="21"/>
      <c r="J5" s="21"/>
      <c r="K5" s="21"/>
      <c r="L5" s="21"/>
      <c r="M5" s="21"/>
      <c r="N5" s="84"/>
      <c r="O5" s="84"/>
      <c r="P5" s="84"/>
      <c r="Q5" s="84"/>
      <c r="R5" s="84"/>
      <c r="S5" s="84"/>
    </row>
    <row r="6" spans="1:19" s="83" customFormat="1" x14ac:dyDescent="0.25">
      <c r="A6" s="84"/>
      <c r="B6" s="90" t="s">
        <v>130</v>
      </c>
      <c r="C6" s="82"/>
      <c r="D6" s="91" t="s">
        <v>82</v>
      </c>
      <c r="F6" s="89"/>
      <c r="G6" s="21"/>
      <c r="H6" s="21"/>
      <c r="I6" s="21"/>
      <c r="J6" s="21"/>
      <c r="K6" s="21"/>
      <c r="L6" s="21"/>
      <c r="M6" s="21"/>
      <c r="N6" s="84"/>
      <c r="O6" s="84"/>
      <c r="P6" s="84"/>
      <c r="Q6" s="84"/>
      <c r="R6" s="84"/>
      <c r="S6" s="84"/>
    </row>
    <row r="7" spans="1:19" s="83" customFormat="1" x14ac:dyDescent="0.25">
      <c r="A7" s="84"/>
      <c r="B7" s="90" t="s">
        <v>75</v>
      </c>
      <c r="C7" s="173" t="s">
        <v>159</v>
      </c>
      <c r="D7" s="174" t="e">
        <f ca="1">TODAY()+C7</f>
        <v>#VALUE!</v>
      </c>
      <c r="E7" s="93"/>
      <c r="F7" s="89"/>
      <c r="G7" s="21"/>
      <c r="H7" s="21"/>
      <c r="I7" s="21"/>
      <c r="J7" s="21"/>
      <c r="K7" s="21"/>
      <c r="L7" s="21"/>
      <c r="M7" s="21"/>
      <c r="N7" s="84"/>
      <c r="O7" s="84"/>
      <c r="P7" s="84"/>
      <c r="Q7" s="84"/>
      <c r="R7" s="84"/>
      <c r="S7" s="84"/>
    </row>
    <row r="8" spans="1:19" s="83" customFormat="1" x14ac:dyDescent="0.25">
      <c r="A8" s="84"/>
      <c r="B8" s="90" t="s">
        <v>15</v>
      </c>
      <c r="C8" s="94" t="str">
        <f>IF(C5&lt;750,"",IF(C5&lt;1125,1,IF(C5&lt;1625,1.5,2)))</f>
        <v/>
      </c>
      <c r="D8" s="91" t="s">
        <v>77</v>
      </c>
      <c r="E8" s="95" t="e">
        <f>C8/24</f>
        <v>#VALUE!</v>
      </c>
      <c r="G8" s="21"/>
      <c r="H8" s="21"/>
      <c r="I8" s="21"/>
      <c r="J8" s="21"/>
      <c r="K8" s="21"/>
      <c r="L8" s="21"/>
      <c r="M8" s="21"/>
      <c r="N8" s="84"/>
      <c r="O8" s="84"/>
      <c r="P8" s="84"/>
      <c r="Q8" s="84"/>
      <c r="R8" s="84"/>
      <c r="S8" s="84"/>
    </row>
    <row r="9" spans="1:19" s="83" customFormat="1" x14ac:dyDescent="0.25">
      <c r="A9" s="84"/>
      <c r="B9" s="90" t="s">
        <v>11</v>
      </c>
      <c r="C9" s="94"/>
      <c r="D9" s="91" t="s">
        <v>8</v>
      </c>
      <c r="E9" s="96" t="str">
        <f>TEXT(C10,"h:mm AM/PM")</f>
        <v>Enter hour here</v>
      </c>
      <c r="F9" s="97"/>
      <c r="G9" s="21"/>
      <c r="H9" s="21"/>
      <c r="I9" s="21"/>
      <c r="J9" s="21"/>
      <c r="K9" s="21"/>
      <c r="L9" s="21"/>
      <c r="M9" s="21"/>
      <c r="N9" s="84"/>
      <c r="O9" s="84"/>
      <c r="P9" s="84"/>
      <c r="Q9" s="84"/>
      <c r="R9" s="84"/>
      <c r="S9" s="84"/>
    </row>
    <row r="10" spans="1:19" s="83" customFormat="1" x14ac:dyDescent="0.25">
      <c r="A10" s="84"/>
      <c r="B10" s="90" t="s">
        <v>73</v>
      </c>
      <c r="C10" s="173" t="s">
        <v>159</v>
      </c>
      <c r="D10" s="175" t="e">
        <f ca="1">TODAY()+C10</f>
        <v>#VALUE!</v>
      </c>
      <c r="E10" s="99" t="e">
        <f ca="1">(D10-(D7+E8))*24</f>
        <v>#VALUE!</v>
      </c>
      <c r="F10" s="100"/>
      <c r="G10" s="21"/>
      <c r="H10" s="21"/>
      <c r="I10" s="21"/>
      <c r="J10" s="21"/>
      <c r="K10" s="21"/>
      <c r="L10" s="21"/>
      <c r="M10" s="21"/>
      <c r="N10" s="84"/>
      <c r="O10" s="84"/>
      <c r="P10" s="84"/>
      <c r="Q10" s="84"/>
      <c r="R10" s="84"/>
      <c r="S10" s="84"/>
    </row>
    <row r="11" spans="1:19" s="83" customFormat="1" x14ac:dyDescent="0.25">
      <c r="A11" s="84"/>
      <c r="B11" s="90" t="s">
        <v>9</v>
      </c>
      <c r="C11" s="183">
        <v>0.65</v>
      </c>
      <c r="D11" s="91" t="s">
        <v>2</v>
      </c>
      <c r="E11" s="96" t="str">
        <f>TEXT(C12,"h:mm AM/PM")</f>
        <v>12:00 AM</v>
      </c>
      <c r="F11" s="89"/>
      <c r="G11" s="21"/>
      <c r="H11" s="21"/>
      <c r="I11" s="21"/>
      <c r="J11" s="21"/>
      <c r="K11" s="21"/>
      <c r="L11" s="21"/>
      <c r="M11" s="21"/>
      <c r="N11" s="84"/>
      <c r="O11" s="84"/>
      <c r="P11" s="84"/>
      <c r="Q11" s="84"/>
      <c r="R11" s="84"/>
      <c r="S11" s="84"/>
    </row>
    <row r="12" spans="1:19" s="101" customFormat="1" x14ac:dyDescent="0.25">
      <c r="A12" s="84"/>
      <c r="B12" s="90" t="s">
        <v>139</v>
      </c>
      <c r="C12" s="183"/>
      <c r="D12" s="182" t="s">
        <v>0</v>
      </c>
      <c r="E12" s="99">
        <f>C11*C12</f>
        <v>0</v>
      </c>
      <c r="F12" s="100"/>
      <c r="G12" s="21"/>
      <c r="H12" s="21"/>
      <c r="I12" s="21"/>
      <c r="J12" s="21"/>
      <c r="K12" s="21"/>
      <c r="L12" s="21"/>
      <c r="M12" s="21"/>
      <c r="N12" s="84"/>
      <c r="O12" s="84"/>
      <c r="P12" s="84"/>
      <c r="Q12" s="84"/>
      <c r="R12" s="84"/>
      <c r="S12" s="84"/>
    </row>
    <row r="13" spans="1:19" s="27" customFormat="1" x14ac:dyDescent="0.25">
      <c r="A13" s="21"/>
      <c r="B13" s="21"/>
      <c r="C13" s="22"/>
      <c r="D13" s="21"/>
      <c r="E13" s="28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 x14ac:dyDescent="0.25">
      <c r="A14" s="289" t="s">
        <v>106</v>
      </c>
      <c r="B14" s="289"/>
      <c r="C14" s="289"/>
      <c r="D14" s="289"/>
      <c r="E14" s="38"/>
      <c r="F14" s="1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</row>
    <row r="15" spans="1:19" ht="14.25" customHeight="1" x14ac:dyDescent="0.25">
      <c r="A15" s="18"/>
      <c r="B15" s="71" t="s">
        <v>6</v>
      </c>
      <c r="C15" s="73" t="str">
        <f>IF(C2="","",IF(C2="First dose",E16,E15))</f>
        <v/>
      </c>
      <c r="D15" s="72" t="s">
        <v>3</v>
      </c>
      <c r="E15" s="38" t="e">
        <f ca="1">VLOOKUP(C9,C50:D96,2)</f>
        <v>#N/A</v>
      </c>
      <c r="F15" s="66" t="s">
        <v>97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 ht="14.25" customHeight="1" x14ac:dyDescent="0.25">
      <c r="A16" s="18"/>
      <c r="B16" s="71" t="s">
        <v>89</v>
      </c>
      <c r="C16" s="41" t="str">
        <f>IF(C15="","",LN(2)/C15)</f>
        <v/>
      </c>
      <c r="D16" s="72" t="s">
        <v>7</v>
      </c>
      <c r="E16" s="38" t="e">
        <f ca="1">LN((C5/E12)/C9)/E10</f>
        <v>#DIV/0!</v>
      </c>
      <c r="F16" s="66" t="s">
        <v>98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 ht="14.25" customHeight="1" x14ac:dyDescent="0.25">
      <c r="A17" s="18"/>
      <c r="B17" s="71" t="s">
        <v>142</v>
      </c>
      <c r="C17" s="41" t="str">
        <f>IF(C15="","",C9/(EXP(-C15*E10)))</f>
        <v/>
      </c>
      <c r="D17" s="72" t="s">
        <v>8</v>
      </c>
      <c r="E17" s="38"/>
      <c r="F17" s="66" t="s">
        <v>99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1:19" ht="14.25" customHeight="1" x14ac:dyDescent="0.25">
      <c r="A18" s="18"/>
      <c r="B18" s="71" t="s">
        <v>143</v>
      </c>
      <c r="C18" s="41" t="str">
        <f>IF(C6="","",C17*EXP(-C15*(C6-C8)))</f>
        <v/>
      </c>
      <c r="D18" s="72" t="s">
        <v>8</v>
      </c>
      <c r="E18" s="38"/>
      <c r="F18" s="66" t="s">
        <v>100</v>
      </c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 ht="14.25" customHeight="1" x14ac:dyDescent="0.25">
      <c r="A19" s="18"/>
      <c r="B19" s="71" t="s">
        <v>87</v>
      </c>
      <c r="C19" s="41">
        <f>E12</f>
        <v>0</v>
      </c>
      <c r="D19" s="72" t="s">
        <v>5</v>
      </c>
      <c r="E19" s="39"/>
      <c r="F19" s="66" t="s">
        <v>101</v>
      </c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 ht="14.25" customHeight="1" x14ac:dyDescent="0.25">
      <c r="A20" s="18"/>
      <c r="B20" s="71" t="s">
        <v>88</v>
      </c>
      <c r="C20" s="41" t="str">
        <f>IF(C2="First dose",C15*E12*1000/60,IF(C2="Steady state",C15*E12*1000/60,""))</f>
        <v/>
      </c>
      <c r="D20" s="72" t="s">
        <v>1</v>
      </c>
      <c r="E20" s="38"/>
      <c r="F20" s="66" t="s">
        <v>102</v>
      </c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</row>
    <row r="21" spans="1:19" ht="14.25" customHeight="1" x14ac:dyDescent="0.25">
      <c r="A21" s="18"/>
      <c r="B21" s="71" t="s">
        <v>141</v>
      </c>
      <c r="C21" s="41" t="str">
        <f>IF(C6="","",C5*(24/C6)/(C20*60/1000))</f>
        <v/>
      </c>
      <c r="D21" s="72" t="s">
        <v>18</v>
      </c>
      <c r="E21" s="38"/>
      <c r="F21" s="66" t="s">
        <v>86</v>
      </c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</row>
    <row r="22" spans="1:19" ht="14.25" customHeight="1" x14ac:dyDescent="0.25">
      <c r="A22" s="21"/>
      <c r="B22" s="21"/>
      <c r="C22" s="22"/>
      <c r="D22" s="21"/>
      <c r="E22" s="28"/>
      <c r="F22" s="6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</row>
    <row r="23" spans="1:19" x14ac:dyDescent="0.25">
      <c r="A23" s="289" t="s">
        <v>157</v>
      </c>
      <c r="B23" s="289"/>
      <c r="C23" s="289"/>
      <c r="D23" s="289"/>
      <c r="E23" s="28"/>
      <c r="F23" s="67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</row>
    <row r="24" spans="1:19" s="83" customFormat="1" ht="17.25" customHeight="1" x14ac:dyDescent="0.25">
      <c r="A24" s="84"/>
      <c r="B24" s="90" t="s">
        <v>19</v>
      </c>
      <c r="C24" s="102">
        <v>500</v>
      </c>
      <c r="D24" s="91" t="s">
        <v>18</v>
      </c>
      <c r="E24" s="103"/>
      <c r="F24" s="68" t="s">
        <v>52</v>
      </c>
      <c r="G24" s="21"/>
      <c r="H24" s="21"/>
      <c r="I24" s="21"/>
      <c r="J24" s="21"/>
      <c r="K24" s="21"/>
      <c r="L24" s="21"/>
      <c r="M24" s="21"/>
      <c r="N24" s="84"/>
      <c r="O24" s="84"/>
      <c r="P24" s="84"/>
      <c r="Q24" s="84"/>
      <c r="R24" s="84"/>
      <c r="S24" s="84"/>
    </row>
    <row r="25" spans="1:19" s="83" customFormat="1" ht="17.25" customHeight="1" x14ac:dyDescent="0.25">
      <c r="A25" s="84"/>
      <c r="B25" s="90" t="s">
        <v>13</v>
      </c>
      <c r="C25" s="102">
        <v>35</v>
      </c>
      <c r="D25" s="91" t="s">
        <v>8</v>
      </c>
      <c r="E25" s="104"/>
      <c r="F25" s="68" t="s">
        <v>53</v>
      </c>
      <c r="G25" s="21"/>
      <c r="H25" s="21"/>
      <c r="I25" s="21"/>
      <c r="J25" s="21"/>
      <c r="K25" s="21"/>
      <c r="L25" s="21"/>
      <c r="M25" s="21"/>
      <c r="N25" s="84"/>
      <c r="O25" s="84"/>
      <c r="P25" s="84"/>
      <c r="Q25" s="84"/>
      <c r="R25" s="84"/>
      <c r="S25" s="84"/>
    </row>
    <row r="26" spans="1:19" s="83" customFormat="1" ht="17.25" customHeight="1" x14ac:dyDescent="0.25">
      <c r="A26" s="84"/>
      <c r="B26" s="90" t="s">
        <v>14</v>
      </c>
      <c r="C26" s="102">
        <v>12.5</v>
      </c>
      <c r="D26" s="91" t="s">
        <v>8</v>
      </c>
      <c r="E26" s="104"/>
      <c r="F26" s="68" t="s">
        <v>54</v>
      </c>
      <c r="G26" s="21"/>
      <c r="H26" s="21"/>
      <c r="I26" s="21"/>
      <c r="J26" s="21"/>
      <c r="K26" s="21"/>
      <c r="L26" s="21"/>
      <c r="M26" s="21"/>
      <c r="N26" s="84"/>
      <c r="O26" s="84"/>
      <c r="P26" s="84"/>
      <c r="Q26" s="84"/>
      <c r="R26" s="84"/>
      <c r="S26" s="84"/>
    </row>
    <row r="27" spans="1:19" s="83" customFormat="1" ht="17.25" customHeight="1" x14ac:dyDescent="0.25">
      <c r="A27" s="84"/>
      <c r="B27" s="90" t="s">
        <v>10</v>
      </c>
      <c r="C27" s="102">
        <v>1</v>
      </c>
      <c r="D27" s="91" t="s">
        <v>7</v>
      </c>
      <c r="E27" s="104"/>
      <c r="F27" s="68" t="s">
        <v>39</v>
      </c>
      <c r="G27" s="21"/>
      <c r="H27" s="21"/>
      <c r="I27" s="21"/>
      <c r="J27" s="21"/>
      <c r="K27" s="21"/>
      <c r="L27" s="21"/>
      <c r="M27" s="21"/>
      <c r="N27" s="84"/>
      <c r="O27" s="84"/>
      <c r="P27" s="84"/>
      <c r="Q27" s="84"/>
      <c r="R27" s="84"/>
      <c r="S27" s="84"/>
    </row>
    <row r="28" spans="1:19" s="83" customFormat="1" ht="17.25" customHeight="1" x14ac:dyDescent="0.3">
      <c r="A28" s="84"/>
      <c r="B28" s="74" t="s">
        <v>90</v>
      </c>
      <c r="C28" s="105" t="e">
        <f>C24*C15*C19</f>
        <v>#VALUE!</v>
      </c>
      <c r="D28" s="91" t="s">
        <v>4</v>
      </c>
      <c r="E28" s="104"/>
      <c r="F28" s="69" t="s">
        <v>103</v>
      </c>
      <c r="G28" s="21"/>
      <c r="H28" s="21"/>
      <c r="I28" s="21"/>
      <c r="J28" s="21"/>
      <c r="K28" s="21"/>
      <c r="L28" s="21"/>
      <c r="M28" s="21"/>
      <c r="N28" s="84"/>
      <c r="O28" s="84"/>
      <c r="P28" s="84"/>
      <c r="Q28" s="84"/>
      <c r="R28" s="84"/>
      <c r="S28" s="84"/>
    </row>
    <row r="29" spans="1:19" s="83" customFormat="1" ht="17.25" customHeight="1" x14ac:dyDescent="0.3">
      <c r="A29" s="84"/>
      <c r="B29" s="74" t="s">
        <v>71</v>
      </c>
      <c r="C29" s="106" t="e">
        <f>C28/(24/C30)</f>
        <v>#VALUE!</v>
      </c>
      <c r="D29" s="91" t="s">
        <v>4</v>
      </c>
      <c r="E29" s="104"/>
      <c r="F29" s="69" t="s">
        <v>104</v>
      </c>
      <c r="G29" s="21"/>
      <c r="H29" s="21"/>
      <c r="I29" s="21"/>
      <c r="J29" s="21"/>
      <c r="K29" s="21"/>
      <c r="L29" s="21"/>
      <c r="M29" s="21"/>
      <c r="N29" s="84"/>
      <c r="O29" s="84"/>
      <c r="P29" s="84"/>
      <c r="Q29" s="84"/>
      <c r="R29" s="84"/>
      <c r="S29" s="84"/>
    </row>
    <row r="30" spans="1:19" s="83" customFormat="1" ht="17.25" customHeight="1" x14ac:dyDescent="0.3">
      <c r="A30" s="84"/>
      <c r="B30" s="74" t="s">
        <v>80</v>
      </c>
      <c r="C30" s="106" t="e">
        <f>LN(C26/C25)/-C15+C27</f>
        <v>#VALUE!</v>
      </c>
      <c r="D30" s="91" t="s">
        <v>7</v>
      </c>
      <c r="E30" s="104"/>
      <c r="F30" s="69" t="s">
        <v>105</v>
      </c>
      <c r="G30" s="21"/>
      <c r="H30" s="21"/>
      <c r="I30" s="21"/>
      <c r="J30" s="21"/>
      <c r="K30" s="21"/>
      <c r="L30" s="21"/>
      <c r="M30" s="21"/>
      <c r="N30" s="84"/>
      <c r="O30" s="84"/>
      <c r="P30" s="84"/>
      <c r="Q30" s="84"/>
      <c r="R30" s="84"/>
      <c r="S30" s="84"/>
    </row>
    <row r="31" spans="1:19" x14ac:dyDescent="0.25">
      <c r="A31" s="21"/>
      <c r="B31" s="21"/>
      <c r="C31" s="22"/>
      <c r="D31" s="21"/>
      <c r="E31" s="29"/>
      <c r="F31" s="21"/>
      <c r="G31" s="21"/>
      <c r="H31" s="21"/>
      <c r="I31" s="21"/>
      <c r="J31" s="21"/>
      <c r="K31" s="21"/>
      <c r="L31" s="21"/>
      <c r="M31" s="21"/>
      <c r="N31" s="116"/>
      <c r="O31" s="116"/>
      <c r="P31" s="116"/>
      <c r="Q31" s="116"/>
      <c r="R31" s="21"/>
      <c r="S31" s="21"/>
    </row>
    <row r="32" spans="1:19" x14ac:dyDescent="0.25">
      <c r="A32" s="289" t="s">
        <v>158</v>
      </c>
      <c r="B32" s="289"/>
      <c r="C32" s="289"/>
      <c r="D32" s="289"/>
      <c r="E32" s="29"/>
      <c r="F32" s="21"/>
      <c r="G32" s="21"/>
      <c r="H32" s="21"/>
      <c r="I32" s="21"/>
      <c r="J32" s="21"/>
      <c r="K32" s="21"/>
      <c r="L32" s="21"/>
      <c r="M32" s="21"/>
      <c r="N32" s="152"/>
      <c r="O32" s="152"/>
      <c r="P32" s="152"/>
      <c r="Q32" s="152"/>
      <c r="R32" s="21"/>
      <c r="S32" s="21"/>
    </row>
    <row r="33" spans="1:19" s="83" customFormat="1" ht="17.25" customHeight="1" x14ac:dyDescent="0.25">
      <c r="A33" s="84"/>
      <c r="B33" s="90" t="s">
        <v>20</v>
      </c>
      <c r="C33" s="109" t="e">
        <f>E42</f>
        <v>#VALUE!</v>
      </c>
      <c r="D33" s="91" t="s">
        <v>4</v>
      </c>
      <c r="E33" s="110" t="e">
        <f>IF(C29&lt;875,750,IF(C29&lt;1125,1000,IF(C29&lt;1375,1250,IF(C29&lt;1625,1500,IF(C29&lt;2125,2000,IF(C29&lt;2375,2250,2500))))))</f>
        <v>#VALUE!</v>
      </c>
      <c r="F33" s="111"/>
      <c r="G33" s="21"/>
      <c r="H33" s="21"/>
      <c r="I33" s="21"/>
      <c r="J33" s="21"/>
      <c r="K33" s="21"/>
      <c r="L33" s="21"/>
      <c r="M33" s="21"/>
      <c r="N33" s="172"/>
      <c r="O33" s="172"/>
      <c r="P33" s="172"/>
      <c r="Q33" s="172"/>
      <c r="R33" s="84"/>
      <c r="S33" s="84"/>
    </row>
    <row r="34" spans="1:19" s="83" customFormat="1" ht="17.25" customHeight="1" x14ac:dyDescent="0.25">
      <c r="A34" s="84"/>
      <c r="B34" s="90" t="s">
        <v>81</v>
      </c>
      <c r="C34" s="109" t="e">
        <f>E38</f>
        <v>#VALUE!</v>
      </c>
      <c r="D34" s="91" t="s">
        <v>7</v>
      </c>
      <c r="E34" s="110" t="e">
        <f>IF(C30&lt;8.5,8,IF(C30&lt;15,12,24))</f>
        <v>#VALUE!</v>
      </c>
      <c r="F34" s="111"/>
      <c r="G34" s="21"/>
      <c r="H34" s="21"/>
      <c r="I34" s="21"/>
      <c r="J34" s="21"/>
      <c r="K34" s="21"/>
      <c r="L34" s="21"/>
      <c r="M34" s="21"/>
      <c r="N34" s="172"/>
      <c r="O34" s="172"/>
      <c r="P34" s="172"/>
      <c r="Q34" s="172"/>
      <c r="R34" s="84"/>
      <c r="S34" s="84"/>
    </row>
    <row r="35" spans="1:19" s="83" customFormat="1" ht="17.25" customHeight="1" x14ac:dyDescent="0.25">
      <c r="A35" s="84"/>
      <c r="B35" s="90" t="s">
        <v>21</v>
      </c>
      <c r="C35" s="115" t="e">
        <f>IF(C33&lt;750,"",IF(C33&lt;1125,1,IF(C33&lt;1625,1.5,2)))</f>
        <v>#VALUE!</v>
      </c>
      <c r="D35" s="91" t="s">
        <v>7</v>
      </c>
      <c r="E35" s="168" t="e">
        <f>E36/24</f>
        <v>#VALUE!</v>
      </c>
      <c r="F35" s="84"/>
      <c r="G35" s="21"/>
      <c r="H35" s="21"/>
      <c r="I35" s="21"/>
      <c r="J35" s="21"/>
      <c r="K35" s="21"/>
      <c r="L35" s="21"/>
      <c r="M35" s="21"/>
      <c r="N35" s="172"/>
      <c r="O35" s="172"/>
      <c r="P35" s="172"/>
      <c r="Q35" s="172"/>
      <c r="R35" s="84"/>
      <c r="S35" s="84"/>
    </row>
    <row r="36" spans="1:19" s="83" customFormat="1" ht="17.25" customHeight="1" x14ac:dyDescent="0.25">
      <c r="A36" s="84"/>
      <c r="B36" s="90" t="s">
        <v>153</v>
      </c>
      <c r="C36" s="169" t="e">
        <f ca="1">D7+E8+E35</f>
        <v>#VALUE!</v>
      </c>
      <c r="D36" s="91"/>
      <c r="E36" s="104" t="e">
        <f>LN(C17/15)/C15</f>
        <v>#VALUE!</v>
      </c>
      <c r="F36" s="84"/>
      <c r="G36" s="21"/>
      <c r="H36" s="21"/>
      <c r="I36" s="21"/>
      <c r="J36" s="21"/>
      <c r="K36" s="21"/>
      <c r="L36" s="21"/>
      <c r="M36" s="21"/>
      <c r="N36" s="172"/>
      <c r="O36" s="172"/>
      <c r="P36" s="172"/>
      <c r="Q36" s="172"/>
      <c r="R36" s="84"/>
      <c r="S36" s="84"/>
    </row>
    <row r="37" spans="1:19" s="83" customFormat="1" ht="15" customHeight="1" x14ac:dyDescent="0.25">
      <c r="A37" s="84"/>
      <c r="B37" s="74" t="s">
        <v>22</v>
      </c>
      <c r="C37" s="106" t="e">
        <f>(C40+C41)*(24/C34)</f>
        <v>#VALUE!</v>
      </c>
      <c r="D37" s="91" t="s">
        <v>18</v>
      </c>
      <c r="E37" s="167"/>
      <c r="F37" s="84"/>
      <c r="G37" s="21"/>
      <c r="H37" s="21"/>
      <c r="I37" s="21"/>
      <c r="J37" s="21"/>
      <c r="K37" s="21"/>
      <c r="L37" s="21"/>
      <c r="M37" s="21"/>
      <c r="N37" s="172"/>
      <c r="O37" s="172"/>
      <c r="P37" s="172"/>
      <c r="Q37" s="172"/>
      <c r="R37" s="84"/>
      <c r="S37" s="84"/>
    </row>
    <row r="38" spans="1:19" s="83" customFormat="1" ht="15" customHeight="1" x14ac:dyDescent="0.25">
      <c r="A38" s="84"/>
      <c r="B38" s="74" t="s">
        <v>24</v>
      </c>
      <c r="C38" s="106" t="e">
        <f>(C33/C35*(1-EXP(-C15*C35)))/(C15*C19*(1-EXP(-C15*C34)))</f>
        <v>#VALUE!</v>
      </c>
      <c r="D38" s="91" t="s">
        <v>8</v>
      </c>
      <c r="E38" s="170" t="e">
        <f>IF(C30&lt;8.5,8,IF(C30&lt;15,12,24))</f>
        <v>#VALUE!</v>
      </c>
      <c r="F38" s="100"/>
      <c r="G38" s="21"/>
      <c r="H38" s="21"/>
      <c r="I38" s="21"/>
      <c r="J38" s="21"/>
      <c r="K38" s="21"/>
      <c r="L38" s="21"/>
      <c r="M38" s="21"/>
      <c r="N38" s="172"/>
      <c r="O38" s="172"/>
      <c r="P38" s="172"/>
      <c r="Q38" s="172"/>
      <c r="R38" s="84"/>
      <c r="S38" s="84"/>
    </row>
    <row r="39" spans="1:19" s="83" customFormat="1" ht="15" customHeight="1" x14ac:dyDescent="0.25">
      <c r="A39" s="84"/>
      <c r="B39" s="74" t="s">
        <v>23</v>
      </c>
      <c r="C39" s="106" t="e">
        <f>C38*EXP(-C15*(C34-C35))</f>
        <v>#VALUE!</v>
      </c>
      <c r="D39" s="91" t="s">
        <v>8</v>
      </c>
      <c r="E39" s="104" t="e">
        <f>C28/(24/E38)</f>
        <v>#VALUE!</v>
      </c>
      <c r="F39" s="136"/>
      <c r="G39" s="21"/>
      <c r="H39" s="21"/>
      <c r="I39" s="21"/>
      <c r="J39" s="21"/>
      <c r="K39" s="21"/>
      <c r="L39" s="21"/>
      <c r="M39" s="21"/>
      <c r="N39" s="172"/>
      <c r="O39" s="172"/>
      <c r="P39" s="172"/>
      <c r="Q39" s="172"/>
      <c r="R39" s="84"/>
      <c r="S39" s="84"/>
    </row>
    <row r="40" spans="1:19" ht="18" hidden="1" customHeight="1" x14ac:dyDescent="0.25">
      <c r="A40" s="21"/>
      <c r="B40" s="31" t="s">
        <v>16</v>
      </c>
      <c r="C40" s="32" t="e">
        <f>((C38+C39)/2)*C35</f>
        <v>#VALUE!</v>
      </c>
      <c r="D40" s="33"/>
      <c r="F40" s="21"/>
      <c r="G40" s="21"/>
      <c r="H40" s="21"/>
      <c r="I40" s="21"/>
      <c r="J40" s="21"/>
      <c r="K40" s="21"/>
      <c r="L40" s="21"/>
      <c r="M40" s="21"/>
      <c r="N40" s="172"/>
      <c r="O40" s="172"/>
      <c r="P40" s="172"/>
      <c r="Q40" s="172"/>
      <c r="R40" s="21"/>
      <c r="S40" s="21"/>
    </row>
    <row r="41" spans="1:19" ht="18" hidden="1" customHeight="1" x14ac:dyDescent="0.25">
      <c r="A41" s="21"/>
      <c r="B41" s="34" t="s">
        <v>17</v>
      </c>
      <c r="C41" s="35" t="e">
        <f>((C38-C39)/C15)</f>
        <v>#VALUE!</v>
      </c>
      <c r="D41" s="36"/>
      <c r="F41" s="21"/>
      <c r="G41" s="21"/>
      <c r="H41" s="21"/>
      <c r="I41" s="21"/>
      <c r="J41" s="21"/>
      <c r="K41" s="21"/>
      <c r="L41" s="21"/>
      <c r="M41" s="21"/>
      <c r="N41" s="172"/>
      <c r="O41" s="172"/>
      <c r="P41" s="172"/>
      <c r="Q41" s="172"/>
      <c r="R41" s="21"/>
      <c r="S41" s="21"/>
    </row>
    <row r="42" spans="1:19" x14ac:dyDescent="0.25">
      <c r="A42" s="21"/>
      <c r="B42" s="21"/>
      <c r="C42" s="22"/>
      <c r="D42" s="21"/>
      <c r="E42" s="21" t="e">
        <f>250*ROUND(E39/250,0)</f>
        <v>#VALUE!</v>
      </c>
      <c r="F42" s="21"/>
      <c r="G42" s="21"/>
      <c r="H42" s="21"/>
      <c r="I42" s="21"/>
      <c r="J42" s="21"/>
      <c r="K42" s="21"/>
      <c r="L42" s="21"/>
      <c r="M42" s="21"/>
      <c r="N42" s="172"/>
      <c r="O42" s="172"/>
      <c r="P42" s="172"/>
      <c r="Q42" s="172"/>
      <c r="R42" s="21"/>
      <c r="S42" s="21"/>
    </row>
    <row r="43" spans="1:19" ht="18" hidden="1" customHeight="1" x14ac:dyDescent="0.25">
      <c r="A43" s="21"/>
      <c r="B43" s="21"/>
      <c r="C43" s="22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172"/>
      <c r="O43" s="172"/>
      <c r="P43" s="172"/>
      <c r="Q43" s="172"/>
      <c r="R43" s="21"/>
      <c r="S43" s="21"/>
    </row>
    <row r="44" spans="1:19" ht="18" hidden="1" customHeight="1" x14ac:dyDescent="0.25">
      <c r="A44" s="21"/>
      <c r="B44" s="21"/>
      <c r="C44" s="22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172"/>
      <c r="O44" s="172"/>
      <c r="P44" s="172"/>
      <c r="Q44" s="172"/>
      <c r="R44" s="21"/>
      <c r="S44" s="21"/>
    </row>
    <row r="45" spans="1:19" x14ac:dyDescent="0.25">
      <c r="B45" s="21"/>
      <c r="C45" s="22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172"/>
      <c r="O45" s="172"/>
      <c r="P45" s="172"/>
      <c r="Q45" s="172"/>
      <c r="R45" s="21"/>
      <c r="S45" s="21"/>
    </row>
    <row r="46" spans="1:19" x14ac:dyDescent="0.25">
      <c r="A46" s="21"/>
      <c r="B46" s="21"/>
      <c r="C46" s="22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172"/>
      <c r="O46" s="172"/>
      <c r="P46" s="172"/>
      <c r="Q46" s="172"/>
      <c r="R46" s="21"/>
      <c r="S46" s="21"/>
    </row>
    <row r="47" spans="1:19" x14ac:dyDescent="0.25">
      <c r="A47" s="21"/>
      <c r="B47" s="21"/>
      <c r="C47" s="22"/>
      <c r="D47" s="21"/>
      <c r="E47" s="21"/>
      <c r="F47" s="21"/>
      <c r="G47" s="30"/>
      <c r="H47" s="30" t="s">
        <v>78</v>
      </c>
      <c r="I47" s="30" t="s">
        <v>79</v>
      </c>
      <c r="J47" s="30"/>
      <c r="K47" s="30" t="s">
        <v>154</v>
      </c>
      <c r="L47" s="30" t="s">
        <v>155</v>
      </c>
      <c r="M47" s="30" t="s">
        <v>156</v>
      </c>
      <c r="N47" s="21"/>
      <c r="O47" s="21"/>
      <c r="P47" s="21"/>
      <c r="Q47" s="21"/>
      <c r="R47" s="21"/>
      <c r="S47" s="21"/>
    </row>
    <row r="48" spans="1:19" s="27" customFormat="1" x14ac:dyDescent="0.25">
      <c r="A48" s="132"/>
      <c r="B48" s="132"/>
      <c r="C48" s="133"/>
      <c r="D48" s="132"/>
      <c r="G48" s="85">
        <v>1.0208333333333333</v>
      </c>
      <c r="H48" s="177" t="e">
        <f ca="1">D7</f>
        <v>#VALUE!</v>
      </c>
      <c r="I48" s="178" t="str">
        <f>IF(C2="Steady state",C18,"0")</f>
        <v>0</v>
      </c>
      <c r="J48" s="178"/>
      <c r="K48" s="178">
        <f>IF(C2="Steady state",C18,0)</f>
        <v>0</v>
      </c>
      <c r="L48" s="178">
        <f>IF(C2="Steady state",C18,0)</f>
        <v>0</v>
      </c>
      <c r="M48" s="178">
        <f>IF(C2="Steady state",C18,0)</f>
        <v>0</v>
      </c>
    </row>
    <row r="49" spans="1:13" s="27" customFormat="1" x14ac:dyDescent="0.25">
      <c r="A49" s="132"/>
      <c r="B49" s="132" t="s">
        <v>131</v>
      </c>
      <c r="C49" s="133" t="s">
        <v>133</v>
      </c>
      <c r="D49" s="133" t="s">
        <v>132</v>
      </c>
      <c r="G49" s="107"/>
      <c r="H49" s="177" t="e">
        <f t="shared" ref="H49:H81" ca="1" si="0">H48+$G$48</f>
        <v>#VALUE!</v>
      </c>
      <c r="I49" s="108" t="str">
        <f t="shared" ref="I49:I81" si="1">IF($C$8=1,K49,IF($C$8=1.5,L49,IF($C$8=2,M49,"")))</f>
        <v/>
      </c>
      <c r="J49" s="108">
        <v>0.5</v>
      </c>
      <c r="K49" s="108" t="e">
        <f>($C$17-$M$48)/2+$M$48</f>
        <v>#VALUE!</v>
      </c>
      <c r="L49" s="108" t="e">
        <f>($C$17-$M$48)/3+$M$48</f>
        <v>#VALUE!</v>
      </c>
      <c r="M49" s="108" t="e">
        <f>($C$17-$M$48)/4+$M$48</f>
        <v>#VALUE!</v>
      </c>
    </row>
    <row r="50" spans="1:13" s="27" customFormat="1" x14ac:dyDescent="0.25">
      <c r="A50" s="132"/>
      <c r="B50" s="132">
        <f t="shared" ref="B50:B113" si="2">(D50-0.0044)/0.00083</f>
        <v>235.66265060240966</v>
      </c>
      <c r="C50" s="132" t="e">
        <f ca="1">((($C$5/$E$12*EXP(-D50*$C$6)+$C$5/$E$12)*EXP(-D50*$C$6)+$C$5/$E$12)*EXP(-D50*$C$6)+$C$5/$E$12)*EXP(-D50*$E$10)</f>
        <v>#DIV/0!</v>
      </c>
      <c r="D50" s="133">
        <v>0.2</v>
      </c>
      <c r="G50" s="107"/>
      <c r="H50" s="177" t="e">
        <f t="shared" ca="1" si="0"/>
        <v>#VALUE!</v>
      </c>
      <c r="I50" s="108" t="str">
        <f t="shared" si="1"/>
        <v/>
      </c>
      <c r="J50" s="108">
        <f t="shared" ref="J50:J81" si="3">J49+0.5</f>
        <v>1</v>
      </c>
      <c r="K50" s="108" t="str">
        <f>$C$17</f>
        <v/>
      </c>
      <c r="L50" s="108" t="e">
        <f>($C$17-$M$48)*2/3+$M$48</f>
        <v>#VALUE!</v>
      </c>
      <c r="M50" s="108" t="e">
        <f>($C$17-$M$48)/2+$M$48</f>
        <v>#VALUE!</v>
      </c>
    </row>
    <row r="51" spans="1:13" s="27" customFormat="1" x14ac:dyDescent="0.25">
      <c r="A51" s="132"/>
      <c r="B51" s="132">
        <f t="shared" si="2"/>
        <v>232.65060240963857</v>
      </c>
      <c r="C51" s="132" t="e">
        <f t="shared" ref="C51:C114" ca="1" si="4">((($C$5/$E$12*EXP(-D51*$C$6)+$C$5/$E$12)*EXP(-D51*$C$6)+$C$5/$E$12)*EXP(-D51*$C$6)+$C$5/$E$12)*EXP(-D51*$E$10)</f>
        <v>#DIV/0!</v>
      </c>
      <c r="D51" s="133">
        <f>D50-0.0025</f>
        <v>0.19750000000000001</v>
      </c>
      <c r="G51" s="107"/>
      <c r="H51" s="177" t="e">
        <f t="shared" ca="1" si="0"/>
        <v>#VALUE!</v>
      </c>
      <c r="I51" s="108" t="str">
        <f t="shared" si="1"/>
        <v/>
      </c>
      <c r="J51" s="108">
        <f t="shared" si="3"/>
        <v>1.5</v>
      </c>
      <c r="K51" s="108" t="e">
        <f t="shared" ref="K51:K81" si="5">$C$17*EXP(-$C$15*$J49)</f>
        <v>#VALUE!</v>
      </c>
      <c r="L51" s="108" t="str">
        <f>$C$17</f>
        <v/>
      </c>
      <c r="M51" s="108" t="e">
        <f>($C$17-$M$48)*3/4+$M$48</f>
        <v>#VALUE!</v>
      </c>
    </row>
    <row r="52" spans="1:13" x14ac:dyDescent="0.25">
      <c r="A52" s="151"/>
      <c r="B52" s="132">
        <f t="shared" si="2"/>
        <v>229.6385542168675</v>
      </c>
      <c r="C52" s="132" t="e">
        <f t="shared" ca="1" si="4"/>
        <v>#DIV/0!</v>
      </c>
      <c r="D52" s="133">
        <f t="shared" ref="D52:D115" si="6">D51-0.0025</f>
        <v>0.19500000000000001</v>
      </c>
      <c r="G52" s="107"/>
      <c r="H52" s="177" t="e">
        <f t="shared" ca="1" si="0"/>
        <v>#VALUE!</v>
      </c>
      <c r="I52" s="108" t="str">
        <f t="shared" si="1"/>
        <v/>
      </c>
      <c r="J52" s="108">
        <f t="shared" si="3"/>
        <v>2</v>
      </c>
      <c r="K52" s="108" t="e">
        <f t="shared" si="5"/>
        <v>#VALUE!</v>
      </c>
      <c r="L52" s="108" t="e">
        <f t="shared" ref="L52:L81" si="7">$C$17*EXP(-$C$15*$J49)</f>
        <v>#VALUE!</v>
      </c>
      <c r="M52" s="108" t="str">
        <f>C17</f>
        <v/>
      </c>
    </row>
    <row r="53" spans="1:13" x14ac:dyDescent="0.25">
      <c r="A53" s="151"/>
      <c r="B53" s="132">
        <f t="shared" si="2"/>
        <v>226.62650602409641</v>
      </c>
      <c r="C53" s="132" t="e">
        <f t="shared" ca="1" si="4"/>
        <v>#DIV/0!</v>
      </c>
      <c r="D53" s="133">
        <f t="shared" si="6"/>
        <v>0.1925</v>
      </c>
      <c r="G53" s="107"/>
      <c r="H53" s="177" t="e">
        <f t="shared" ca="1" si="0"/>
        <v>#VALUE!</v>
      </c>
      <c r="I53" s="108" t="str">
        <f t="shared" si="1"/>
        <v/>
      </c>
      <c r="J53" s="108">
        <f t="shared" si="3"/>
        <v>2.5</v>
      </c>
      <c r="K53" s="108" t="e">
        <f t="shared" si="5"/>
        <v>#VALUE!</v>
      </c>
      <c r="L53" s="108" t="e">
        <f t="shared" si="7"/>
        <v>#VALUE!</v>
      </c>
      <c r="M53" s="108" t="e">
        <f t="shared" ref="M53:M81" si="8">$C$17*EXP(-$C$15*$J49)</f>
        <v>#VALUE!</v>
      </c>
    </row>
    <row r="54" spans="1:13" x14ac:dyDescent="0.25">
      <c r="A54" s="151"/>
      <c r="B54" s="132">
        <f t="shared" si="2"/>
        <v>223.61445783132532</v>
      </c>
      <c r="C54" s="132" t="e">
        <f t="shared" ca="1" si="4"/>
        <v>#DIV/0!</v>
      </c>
      <c r="D54" s="133">
        <f t="shared" si="6"/>
        <v>0.19</v>
      </c>
      <c r="G54" s="107"/>
      <c r="H54" s="177" t="e">
        <f t="shared" ca="1" si="0"/>
        <v>#VALUE!</v>
      </c>
      <c r="I54" s="108" t="str">
        <f t="shared" si="1"/>
        <v/>
      </c>
      <c r="J54" s="108">
        <f t="shared" si="3"/>
        <v>3</v>
      </c>
      <c r="K54" s="108" t="e">
        <f t="shared" si="5"/>
        <v>#VALUE!</v>
      </c>
      <c r="L54" s="108" t="e">
        <f t="shared" si="7"/>
        <v>#VALUE!</v>
      </c>
      <c r="M54" s="108" t="e">
        <f t="shared" si="8"/>
        <v>#VALUE!</v>
      </c>
    </row>
    <row r="55" spans="1:13" x14ac:dyDescent="0.25">
      <c r="A55" s="151"/>
      <c r="B55" s="132">
        <f t="shared" si="2"/>
        <v>220.60240963855424</v>
      </c>
      <c r="C55" s="132" t="e">
        <f t="shared" ca="1" si="4"/>
        <v>#DIV/0!</v>
      </c>
      <c r="D55" s="133">
        <f t="shared" si="6"/>
        <v>0.1875</v>
      </c>
      <c r="G55" s="107"/>
      <c r="H55" s="177" t="e">
        <f t="shared" ca="1" si="0"/>
        <v>#VALUE!</v>
      </c>
      <c r="I55" s="108" t="str">
        <f t="shared" si="1"/>
        <v/>
      </c>
      <c r="J55" s="108">
        <f t="shared" si="3"/>
        <v>3.5</v>
      </c>
      <c r="K55" s="108" t="e">
        <f t="shared" si="5"/>
        <v>#VALUE!</v>
      </c>
      <c r="L55" s="108" t="e">
        <f t="shared" si="7"/>
        <v>#VALUE!</v>
      </c>
      <c r="M55" s="108" t="e">
        <f t="shared" si="8"/>
        <v>#VALUE!</v>
      </c>
    </row>
    <row r="56" spans="1:13" x14ac:dyDescent="0.25">
      <c r="A56" s="151"/>
      <c r="B56" s="132">
        <f t="shared" si="2"/>
        <v>217.59036144578315</v>
      </c>
      <c r="C56" s="132" t="e">
        <f t="shared" ca="1" si="4"/>
        <v>#DIV/0!</v>
      </c>
      <c r="D56" s="133">
        <f t="shared" si="6"/>
        <v>0.185</v>
      </c>
      <c r="G56" s="107"/>
      <c r="H56" s="177" t="e">
        <f t="shared" ca="1" si="0"/>
        <v>#VALUE!</v>
      </c>
      <c r="I56" s="108" t="str">
        <f t="shared" si="1"/>
        <v/>
      </c>
      <c r="J56" s="108">
        <f t="shared" si="3"/>
        <v>4</v>
      </c>
      <c r="K56" s="108" t="e">
        <f t="shared" si="5"/>
        <v>#VALUE!</v>
      </c>
      <c r="L56" s="108" t="e">
        <f t="shared" si="7"/>
        <v>#VALUE!</v>
      </c>
      <c r="M56" s="108" t="e">
        <f t="shared" si="8"/>
        <v>#VALUE!</v>
      </c>
    </row>
    <row r="57" spans="1:13" x14ac:dyDescent="0.25">
      <c r="A57" s="151"/>
      <c r="B57" s="132">
        <f t="shared" si="2"/>
        <v>214.57831325301206</v>
      </c>
      <c r="C57" s="132" t="e">
        <f t="shared" ca="1" si="4"/>
        <v>#DIV/0!</v>
      </c>
      <c r="D57" s="133">
        <f t="shared" si="6"/>
        <v>0.1825</v>
      </c>
      <c r="G57" s="107"/>
      <c r="H57" s="177" t="e">
        <f t="shared" ca="1" si="0"/>
        <v>#VALUE!</v>
      </c>
      <c r="I57" s="108" t="str">
        <f t="shared" si="1"/>
        <v/>
      </c>
      <c r="J57" s="108">
        <f t="shared" si="3"/>
        <v>4.5</v>
      </c>
      <c r="K57" s="108" t="e">
        <f t="shared" si="5"/>
        <v>#VALUE!</v>
      </c>
      <c r="L57" s="108" t="e">
        <f t="shared" si="7"/>
        <v>#VALUE!</v>
      </c>
      <c r="M57" s="108" t="e">
        <f t="shared" si="8"/>
        <v>#VALUE!</v>
      </c>
    </row>
    <row r="58" spans="1:13" x14ac:dyDescent="0.25">
      <c r="A58" s="151"/>
      <c r="B58" s="132">
        <f t="shared" si="2"/>
        <v>211.56626506024097</v>
      </c>
      <c r="C58" s="132" t="e">
        <f t="shared" ca="1" si="4"/>
        <v>#DIV/0!</v>
      </c>
      <c r="D58" s="133">
        <f t="shared" si="6"/>
        <v>0.18</v>
      </c>
      <c r="G58" s="107"/>
      <c r="H58" s="177" t="e">
        <f t="shared" ca="1" si="0"/>
        <v>#VALUE!</v>
      </c>
      <c r="I58" s="108" t="str">
        <f t="shared" si="1"/>
        <v/>
      </c>
      <c r="J58" s="108">
        <f t="shared" si="3"/>
        <v>5</v>
      </c>
      <c r="K58" s="108" t="e">
        <f t="shared" si="5"/>
        <v>#VALUE!</v>
      </c>
      <c r="L58" s="108" t="e">
        <f t="shared" si="7"/>
        <v>#VALUE!</v>
      </c>
      <c r="M58" s="108" t="e">
        <f t="shared" si="8"/>
        <v>#VALUE!</v>
      </c>
    </row>
    <row r="59" spans="1:13" x14ac:dyDescent="0.25">
      <c r="A59" s="151"/>
      <c r="B59" s="132">
        <f t="shared" si="2"/>
        <v>208.55421686746988</v>
      </c>
      <c r="C59" s="132" t="e">
        <f t="shared" ca="1" si="4"/>
        <v>#DIV/0!</v>
      </c>
      <c r="D59" s="133">
        <f t="shared" si="6"/>
        <v>0.17749999999999999</v>
      </c>
      <c r="G59" s="107"/>
      <c r="H59" s="177" t="e">
        <f t="shared" ca="1" si="0"/>
        <v>#VALUE!</v>
      </c>
      <c r="I59" s="108" t="str">
        <f t="shared" si="1"/>
        <v/>
      </c>
      <c r="J59" s="108">
        <f t="shared" si="3"/>
        <v>5.5</v>
      </c>
      <c r="K59" s="108" t="e">
        <f t="shared" si="5"/>
        <v>#VALUE!</v>
      </c>
      <c r="L59" s="108" t="e">
        <f t="shared" si="7"/>
        <v>#VALUE!</v>
      </c>
      <c r="M59" s="108" t="e">
        <f t="shared" si="8"/>
        <v>#VALUE!</v>
      </c>
    </row>
    <row r="60" spans="1:13" x14ac:dyDescent="0.25">
      <c r="A60" s="151"/>
      <c r="B60" s="132">
        <f t="shared" si="2"/>
        <v>205.54216867469879</v>
      </c>
      <c r="C60" s="132" t="e">
        <f t="shared" ca="1" si="4"/>
        <v>#DIV/0!</v>
      </c>
      <c r="D60" s="133">
        <f t="shared" si="6"/>
        <v>0.17499999999999999</v>
      </c>
      <c r="G60" s="107"/>
      <c r="H60" s="177" t="e">
        <f t="shared" ca="1" si="0"/>
        <v>#VALUE!</v>
      </c>
      <c r="I60" s="108" t="str">
        <f t="shared" si="1"/>
        <v/>
      </c>
      <c r="J60" s="108">
        <f t="shared" si="3"/>
        <v>6</v>
      </c>
      <c r="K60" s="108" t="e">
        <f t="shared" si="5"/>
        <v>#VALUE!</v>
      </c>
      <c r="L60" s="108" t="e">
        <f t="shared" si="7"/>
        <v>#VALUE!</v>
      </c>
      <c r="M60" s="108" t="e">
        <f t="shared" si="8"/>
        <v>#VALUE!</v>
      </c>
    </row>
    <row r="61" spans="1:13" x14ac:dyDescent="0.25">
      <c r="A61" s="151"/>
      <c r="B61" s="132">
        <f t="shared" si="2"/>
        <v>202.5301204819277</v>
      </c>
      <c r="C61" s="132" t="e">
        <f t="shared" ca="1" si="4"/>
        <v>#DIV/0!</v>
      </c>
      <c r="D61" s="133">
        <f t="shared" si="6"/>
        <v>0.17249999999999999</v>
      </c>
      <c r="G61" s="107"/>
      <c r="H61" s="177" t="e">
        <f t="shared" ca="1" si="0"/>
        <v>#VALUE!</v>
      </c>
      <c r="I61" s="108" t="str">
        <f t="shared" si="1"/>
        <v/>
      </c>
      <c r="J61" s="108">
        <f t="shared" si="3"/>
        <v>6.5</v>
      </c>
      <c r="K61" s="108" t="e">
        <f t="shared" si="5"/>
        <v>#VALUE!</v>
      </c>
      <c r="L61" s="108" t="e">
        <f t="shared" si="7"/>
        <v>#VALUE!</v>
      </c>
      <c r="M61" s="108" t="e">
        <f t="shared" si="8"/>
        <v>#VALUE!</v>
      </c>
    </row>
    <row r="62" spans="1:13" x14ac:dyDescent="0.25">
      <c r="A62" s="151"/>
      <c r="B62" s="132">
        <f t="shared" si="2"/>
        <v>199.51807228915663</v>
      </c>
      <c r="C62" s="132" t="e">
        <f t="shared" ca="1" si="4"/>
        <v>#DIV/0!</v>
      </c>
      <c r="D62" s="133">
        <f t="shared" si="6"/>
        <v>0.16999999999999998</v>
      </c>
      <c r="G62" s="107"/>
      <c r="H62" s="177" t="e">
        <f t="shared" ca="1" si="0"/>
        <v>#VALUE!</v>
      </c>
      <c r="I62" s="108" t="str">
        <f t="shared" si="1"/>
        <v/>
      </c>
      <c r="J62" s="108">
        <f t="shared" si="3"/>
        <v>7</v>
      </c>
      <c r="K62" s="108" t="e">
        <f t="shared" si="5"/>
        <v>#VALUE!</v>
      </c>
      <c r="L62" s="108" t="e">
        <f t="shared" si="7"/>
        <v>#VALUE!</v>
      </c>
      <c r="M62" s="108" t="e">
        <f t="shared" si="8"/>
        <v>#VALUE!</v>
      </c>
    </row>
    <row r="63" spans="1:13" x14ac:dyDescent="0.25">
      <c r="A63" s="151"/>
      <c r="B63" s="132">
        <f t="shared" si="2"/>
        <v>196.50602409638554</v>
      </c>
      <c r="C63" s="132" t="e">
        <f t="shared" ca="1" si="4"/>
        <v>#DIV/0!</v>
      </c>
      <c r="D63" s="133">
        <f t="shared" si="6"/>
        <v>0.16749999999999998</v>
      </c>
      <c r="G63" s="107"/>
      <c r="H63" s="177" t="e">
        <f t="shared" ca="1" si="0"/>
        <v>#VALUE!</v>
      </c>
      <c r="I63" s="108" t="str">
        <f t="shared" si="1"/>
        <v/>
      </c>
      <c r="J63" s="108">
        <f t="shared" si="3"/>
        <v>7.5</v>
      </c>
      <c r="K63" s="108" t="e">
        <f t="shared" si="5"/>
        <v>#VALUE!</v>
      </c>
      <c r="L63" s="108" t="e">
        <f t="shared" si="7"/>
        <v>#VALUE!</v>
      </c>
      <c r="M63" s="108" t="e">
        <f t="shared" si="8"/>
        <v>#VALUE!</v>
      </c>
    </row>
    <row r="64" spans="1:13" x14ac:dyDescent="0.25">
      <c r="A64" s="151"/>
      <c r="B64" s="132">
        <f t="shared" si="2"/>
        <v>193.49397590361446</v>
      </c>
      <c r="C64" s="132" t="e">
        <f t="shared" ca="1" si="4"/>
        <v>#DIV/0!</v>
      </c>
      <c r="D64" s="133">
        <f t="shared" si="6"/>
        <v>0.16499999999999998</v>
      </c>
      <c r="G64" s="107"/>
      <c r="H64" s="177" t="e">
        <f t="shared" ca="1" si="0"/>
        <v>#VALUE!</v>
      </c>
      <c r="I64" s="108" t="str">
        <f t="shared" si="1"/>
        <v/>
      </c>
      <c r="J64" s="108">
        <f t="shared" si="3"/>
        <v>8</v>
      </c>
      <c r="K64" s="108" t="e">
        <f t="shared" si="5"/>
        <v>#VALUE!</v>
      </c>
      <c r="L64" s="108" t="e">
        <f t="shared" si="7"/>
        <v>#VALUE!</v>
      </c>
      <c r="M64" s="108" t="e">
        <f t="shared" si="8"/>
        <v>#VALUE!</v>
      </c>
    </row>
    <row r="65" spans="1:13" x14ac:dyDescent="0.25">
      <c r="A65" s="151"/>
      <c r="B65" s="132">
        <f t="shared" si="2"/>
        <v>190.48192771084337</v>
      </c>
      <c r="C65" s="132" t="e">
        <f t="shared" ca="1" si="4"/>
        <v>#DIV/0!</v>
      </c>
      <c r="D65" s="133">
        <f t="shared" si="6"/>
        <v>0.16249999999999998</v>
      </c>
      <c r="G65" s="107"/>
      <c r="H65" s="177" t="e">
        <f t="shared" ca="1" si="0"/>
        <v>#VALUE!</v>
      </c>
      <c r="I65" s="108" t="str">
        <f t="shared" si="1"/>
        <v/>
      </c>
      <c r="J65" s="108">
        <f t="shared" si="3"/>
        <v>8.5</v>
      </c>
      <c r="K65" s="108" t="e">
        <f t="shared" si="5"/>
        <v>#VALUE!</v>
      </c>
      <c r="L65" s="108" t="e">
        <f t="shared" si="7"/>
        <v>#VALUE!</v>
      </c>
      <c r="M65" s="108" t="e">
        <f t="shared" si="8"/>
        <v>#VALUE!</v>
      </c>
    </row>
    <row r="66" spans="1:13" x14ac:dyDescent="0.25">
      <c r="A66" s="151"/>
      <c r="B66" s="132">
        <f t="shared" si="2"/>
        <v>187.46987951807228</v>
      </c>
      <c r="C66" s="132" t="e">
        <f t="shared" ca="1" si="4"/>
        <v>#DIV/0!</v>
      </c>
      <c r="D66" s="133">
        <f t="shared" si="6"/>
        <v>0.15999999999999998</v>
      </c>
      <c r="G66" s="107"/>
      <c r="H66" s="177" t="e">
        <f t="shared" ca="1" si="0"/>
        <v>#VALUE!</v>
      </c>
      <c r="I66" s="108" t="str">
        <f t="shared" si="1"/>
        <v/>
      </c>
      <c r="J66" s="108">
        <f t="shared" si="3"/>
        <v>9</v>
      </c>
      <c r="K66" s="108" t="e">
        <f t="shared" si="5"/>
        <v>#VALUE!</v>
      </c>
      <c r="L66" s="108" t="e">
        <f t="shared" si="7"/>
        <v>#VALUE!</v>
      </c>
      <c r="M66" s="108" t="e">
        <f t="shared" si="8"/>
        <v>#VALUE!</v>
      </c>
    </row>
    <row r="67" spans="1:13" x14ac:dyDescent="0.25">
      <c r="A67" s="151"/>
      <c r="B67" s="132">
        <f t="shared" si="2"/>
        <v>184.45783132530119</v>
      </c>
      <c r="C67" s="132" t="e">
        <f t="shared" ca="1" si="4"/>
        <v>#DIV/0!</v>
      </c>
      <c r="D67" s="133">
        <f t="shared" si="6"/>
        <v>0.15749999999999997</v>
      </c>
      <c r="G67" s="107"/>
      <c r="H67" s="177" t="e">
        <f t="shared" ca="1" si="0"/>
        <v>#VALUE!</v>
      </c>
      <c r="I67" s="108" t="str">
        <f t="shared" si="1"/>
        <v/>
      </c>
      <c r="J67" s="108">
        <f t="shared" si="3"/>
        <v>9.5</v>
      </c>
      <c r="K67" s="108" t="e">
        <f t="shared" si="5"/>
        <v>#VALUE!</v>
      </c>
      <c r="L67" s="108" t="e">
        <f t="shared" si="7"/>
        <v>#VALUE!</v>
      </c>
      <c r="M67" s="108" t="e">
        <f t="shared" si="8"/>
        <v>#VALUE!</v>
      </c>
    </row>
    <row r="68" spans="1:13" x14ac:dyDescent="0.25">
      <c r="A68" s="151"/>
      <c r="B68" s="132">
        <f t="shared" si="2"/>
        <v>181.4457831325301</v>
      </c>
      <c r="C68" s="132" t="e">
        <f t="shared" ca="1" si="4"/>
        <v>#DIV/0!</v>
      </c>
      <c r="D68" s="133">
        <f t="shared" si="6"/>
        <v>0.15499999999999997</v>
      </c>
      <c r="G68" s="107"/>
      <c r="H68" s="177" t="e">
        <f t="shared" ca="1" si="0"/>
        <v>#VALUE!</v>
      </c>
      <c r="I68" s="108" t="str">
        <f t="shared" si="1"/>
        <v/>
      </c>
      <c r="J68" s="108">
        <f t="shared" si="3"/>
        <v>10</v>
      </c>
      <c r="K68" s="108" t="e">
        <f t="shared" si="5"/>
        <v>#VALUE!</v>
      </c>
      <c r="L68" s="108" t="e">
        <f t="shared" si="7"/>
        <v>#VALUE!</v>
      </c>
      <c r="M68" s="108" t="e">
        <f t="shared" si="8"/>
        <v>#VALUE!</v>
      </c>
    </row>
    <row r="69" spans="1:13" x14ac:dyDescent="0.25">
      <c r="A69" s="151"/>
      <c r="B69" s="132">
        <f t="shared" si="2"/>
        <v>178.43373493975901</v>
      </c>
      <c r="C69" s="132" t="e">
        <f t="shared" ca="1" si="4"/>
        <v>#DIV/0!</v>
      </c>
      <c r="D69" s="133">
        <f t="shared" si="6"/>
        <v>0.15249999999999997</v>
      </c>
      <c r="G69" s="107"/>
      <c r="H69" s="177" t="e">
        <f t="shared" ca="1" si="0"/>
        <v>#VALUE!</v>
      </c>
      <c r="I69" s="108" t="str">
        <f t="shared" si="1"/>
        <v/>
      </c>
      <c r="J69" s="108">
        <f t="shared" si="3"/>
        <v>10.5</v>
      </c>
      <c r="K69" s="108" t="e">
        <f t="shared" si="5"/>
        <v>#VALUE!</v>
      </c>
      <c r="L69" s="108" t="e">
        <f t="shared" si="7"/>
        <v>#VALUE!</v>
      </c>
      <c r="M69" s="108" t="e">
        <f t="shared" si="8"/>
        <v>#VALUE!</v>
      </c>
    </row>
    <row r="70" spans="1:13" x14ac:dyDescent="0.25">
      <c r="A70" s="151"/>
      <c r="B70" s="132">
        <f t="shared" si="2"/>
        <v>175.42168674698792</v>
      </c>
      <c r="C70" s="132" t="e">
        <f t="shared" ca="1" si="4"/>
        <v>#DIV/0!</v>
      </c>
      <c r="D70" s="133">
        <f t="shared" si="6"/>
        <v>0.14999999999999997</v>
      </c>
      <c r="G70" s="107"/>
      <c r="H70" s="177" t="e">
        <f t="shared" ca="1" si="0"/>
        <v>#VALUE!</v>
      </c>
      <c r="I70" s="108" t="str">
        <f t="shared" si="1"/>
        <v/>
      </c>
      <c r="J70" s="108">
        <f t="shared" si="3"/>
        <v>11</v>
      </c>
      <c r="K70" s="108" t="e">
        <f t="shared" si="5"/>
        <v>#VALUE!</v>
      </c>
      <c r="L70" s="108" t="e">
        <f t="shared" si="7"/>
        <v>#VALUE!</v>
      </c>
      <c r="M70" s="108" t="e">
        <f t="shared" si="8"/>
        <v>#VALUE!</v>
      </c>
    </row>
    <row r="71" spans="1:13" x14ac:dyDescent="0.25">
      <c r="A71" s="151"/>
      <c r="B71" s="132">
        <f t="shared" si="2"/>
        <v>172.40963855421683</v>
      </c>
      <c r="C71" s="132" t="e">
        <f t="shared" ca="1" si="4"/>
        <v>#DIV/0!</v>
      </c>
      <c r="D71" s="133">
        <f t="shared" si="6"/>
        <v>0.14749999999999996</v>
      </c>
      <c r="G71" s="107"/>
      <c r="H71" s="177" t="e">
        <f t="shared" ca="1" si="0"/>
        <v>#VALUE!</v>
      </c>
      <c r="I71" s="108" t="str">
        <f t="shared" si="1"/>
        <v/>
      </c>
      <c r="J71" s="108">
        <f t="shared" si="3"/>
        <v>11.5</v>
      </c>
      <c r="K71" s="108" t="e">
        <f t="shared" si="5"/>
        <v>#VALUE!</v>
      </c>
      <c r="L71" s="108" t="e">
        <f t="shared" si="7"/>
        <v>#VALUE!</v>
      </c>
      <c r="M71" s="108" t="e">
        <f t="shared" si="8"/>
        <v>#VALUE!</v>
      </c>
    </row>
    <row r="72" spans="1:13" x14ac:dyDescent="0.25">
      <c r="A72" s="151"/>
      <c r="B72" s="132">
        <f t="shared" si="2"/>
        <v>169.39759036144576</v>
      </c>
      <c r="C72" s="132" t="e">
        <f t="shared" ca="1" si="4"/>
        <v>#DIV/0!</v>
      </c>
      <c r="D72" s="133">
        <f t="shared" si="6"/>
        <v>0.14499999999999996</v>
      </c>
      <c r="G72" s="107"/>
      <c r="H72" s="177" t="e">
        <f t="shared" ca="1" si="0"/>
        <v>#VALUE!</v>
      </c>
      <c r="I72" s="108" t="str">
        <f t="shared" si="1"/>
        <v/>
      </c>
      <c r="J72" s="108">
        <f t="shared" si="3"/>
        <v>12</v>
      </c>
      <c r="K72" s="108" t="e">
        <f t="shared" si="5"/>
        <v>#VALUE!</v>
      </c>
      <c r="L72" s="108" t="e">
        <f t="shared" si="7"/>
        <v>#VALUE!</v>
      </c>
      <c r="M72" s="108" t="e">
        <f t="shared" si="8"/>
        <v>#VALUE!</v>
      </c>
    </row>
    <row r="73" spans="1:13" x14ac:dyDescent="0.25">
      <c r="A73" s="151" t="e">
        <f>CONCATENATE("Patient is currently receiving vancomycin ",C5," mg IV every ",C6, " hours for [insert diagnosis]. Multiple levels were drawn, including ",C9," mg/dL at ",E9," and ",C11," mg/dL at ",E11,". Using a desired AUC of ",C24, " mcg*h/mL, a desired Cmax of ",C25, " and Cmin of ",C26," a calculated dose of ",ROUND(C29,1)," mg every ",ROUND(C30,1)," hours is calculated (total daily dose = Desired AUC*calculated Ke*calculated Vd;interval determined by natural log trough/peak divided by -Ke plus the infusion time). Will start patient on ",C33," mg every ",C34," hours to conform to traditional dosages and dosing intervals. Predicted Cmax = ",ROUND(C38,1)," Cmin = ",ROUND(C39,1))</f>
        <v>#VALUE!</v>
      </c>
      <c r="B73" s="132">
        <f t="shared" si="2"/>
        <v>166.38554216867468</v>
      </c>
      <c r="C73" s="132" t="e">
        <f t="shared" ca="1" si="4"/>
        <v>#DIV/0!</v>
      </c>
      <c r="D73" s="133">
        <f t="shared" si="6"/>
        <v>0.14249999999999996</v>
      </c>
      <c r="G73" s="107"/>
      <c r="H73" s="177" t="e">
        <f t="shared" ca="1" si="0"/>
        <v>#VALUE!</v>
      </c>
      <c r="I73" s="108" t="str">
        <f t="shared" si="1"/>
        <v/>
      </c>
      <c r="J73" s="108">
        <f t="shared" si="3"/>
        <v>12.5</v>
      </c>
      <c r="K73" s="108" t="e">
        <f t="shared" si="5"/>
        <v>#VALUE!</v>
      </c>
      <c r="L73" s="108" t="e">
        <f t="shared" si="7"/>
        <v>#VALUE!</v>
      </c>
      <c r="M73" s="108" t="e">
        <f t="shared" si="8"/>
        <v>#VALUE!</v>
      </c>
    </row>
    <row r="74" spans="1:13" x14ac:dyDescent="0.25">
      <c r="A74" s="151"/>
      <c r="B74" s="132">
        <f t="shared" si="2"/>
        <v>163.37349397590359</v>
      </c>
      <c r="C74" s="132" t="e">
        <f t="shared" ca="1" si="4"/>
        <v>#DIV/0!</v>
      </c>
      <c r="D74" s="133">
        <f t="shared" si="6"/>
        <v>0.13999999999999996</v>
      </c>
      <c r="G74" s="107"/>
      <c r="H74" s="177" t="e">
        <f t="shared" ca="1" si="0"/>
        <v>#VALUE!</v>
      </c>
      <c r="I74" s="108" t="str">
        <f t="shared" si="1"/>
        <v/>
      </c>
      <c r="J74" s="108">
        <f t="shared" si="3"/>
        <v>13</v>
      </c>
      <c r="K74" s="108" t="e">
        <f t="shared" si="5"/>
        <v>#VALUE!</v>
      </c>
      <c r="L74" s="108" t="e">
        <f t="shared" si="7"/>
        <v>#VALUE!</v>
      </c>
      <c r="M74" s="108" t="e">
        <f t="shared" si="8"/>
        <v>#VALUE!</v>
      </c>
    </row>
    <row r="75" spans="1:13" x14ac:dyDescent="0.25">
      <c r="A75" s="151"/>
      <c r="B75" s="132">
        <f t="shared" si="2"/>
        <v>160.3614457831325</v>
      </c>
      <c r="C75" s="132" t="e">
        <f t="shared" ca="1" si="4"/>
        <v>#DIV/0!</v>
      </c>
      <c r="D75" s="133">
        <f t="shared" si="6"/>
        <v>0.13749999999999996</v>
      </c>
      <c r="G75" s="151"/>
      <c r="H75" s="177" t="e">
        <f t="shared" ca="1" si="0"/>
        <v>#VALUE!</v>
      </c>
      <c r="I75" s="108" t="str">
        <f t="shared" si="1"/>
        <v/>
      </c>
      <c r="J75" s="108">
        <f t="shared" si="3"/>
        <v>13.5</v>
      </c>
      <c r="K75" s="108" t="e">
        <f t="shared" si="5"/>
        <v>#VALUE!</v>
      </c>
      <c r="L75" s="108" t="e">
        <f t="shared" si="7"/>
        <v>#VALUE!</v>
      </c>
      <c r="M75" s="108" t="e">
        <f t="shared" si="8"/>
        <v>#VALUE!</v>
      </c>
    </row>
    <row r="76" spans="1:13" x14ac:dyDescent="0.25">
      <c r="A76" s="151"/>
      <c r="B76" s="132">
        <f t="shared" si="2"/>
        <v>157.34939759036141</v>
      </c>
      <c r="C76" s="132" t="e">
        <f t="shared" ca="1" si="4"/>
        <v>#DIV/0!</v>
      </c>
      <c r="D76" s="133">
        <f t="shared" si="6"/>
        <v>0.13499999999999995</v>
      </c>
      <c r="G76" s="179"/>
      <c r="H76" s="177" t="e">
        <f t="shared" ca="1" si="0"/>
        <v>#VALUE!</v>
      </c>
      <c r="I76" s="108" t="str">
        <f t="shared" si="1"/>
        <v/>
      </c>
      <c r="J76" s="108">
        <f t="shared" si="3"/>
        <v>14</v>
      </c>
      <c r="K76" s="108" t="e">
        <f t="shared" si="5"/>
        <v>#VALUE!</v>
      </c>
      <c r="L76" s="108" t="e">
        <f t="shared" si="7"/>
        <v>#VALUE!</v>
      </c>
      <c r="M76" s="108" t="e">
        <f t="shared" si="8"/>
        <v>#VALUE!</v>
      </c>
    </row>
    <row r="77" spans="1:13" x14ac:dyDescent="0.25">
      <c r="A77" s="151"/>
      <c r="B77" s="132">
        <f t="shared" si="2"/>
        <v>154.33734939759032</v>
      </c>
      <c r="C77" s="132" t="e">
        <f t="shared" ca="1" si="4"/>
        <v>#DIV/0!</v>
      </c>
      <c r="D77" s="133">
        <f t="shared" si="6"/>
        <v>0.13249999999999995</v>
      </c>
      <c r="G77" s="181"/>
      <c r="H77" s="177" t="e">
        <f t="shared" ca="1" si="0"/>
        <v>#VALUE!</v>
      </c>
      <c r="I77" s="108" t="str">
        <f t="shared" si="1"/>
        <v/>
      </c>
      <c r="J77" s="108">
        <f t="shared" si="3"/>
        <v>14.5</v>
      </c>
      <c r="K77" s="108" t="e">
        <f t="shared" si="5"/>
        <v>#VALUE!</v>
      </c>
      <c r="L77" s="108" t="e">
        <f t="shared" si="7"/>
        <v>#VALUE!</v>
      </c>
      <c r="M77" s="108" t="e">
        <f t="shared" si="8"/>
        <v>#VALUE!</v>
      </c>
    </row>
    <row r="78" spans="1:13" x14ac:dyDescent="0.25">
      <c r="A78" s="151"/>
      <c r="B78" s="132">
        <f t="shared" si="2"/>
        <v>151.32530120481923</v>
      </c>
      <c r="C78" s="132" t="e">
        <f t="shared" ca="1" si="4"/>
        <v>#DIV/0!</v>
      </c>
      <c r="D78" s="133">
        <f t="shared" si="6"/>
        <v>0.12999999999999995</v>
      </c>
      <c r="G78" s="181"/>
      <c r="H78" s="177" t="e">
        <f t="shared" ca="1" si="0"/>
        <v>#VALUE!</v>
      </c>
      <c r="I78" s="108" t="str">
        <f t="shared" si="1"/>
        <v/>
      </c>
      <c r="J78" s="108">
        <f t="shared" si="3"/>
        <v>15</v>
      </c>
      <c r="K78" s="108" t="e">
        <f t="shared" si="5"/>
        <v>#VALUE!</v>
      </c>
      <c r="L78" s="108" t="e">
        <f t="shared" si="7"/>
        <v>#VALUE!</v>
      </c>
      <c r="M78" s="108" t="e">
        <f t="shared" si="8"/>
        <v>#VALUE!</v>
      </c>
    </row>
    <row r="79" spans="1:13" x14ac:dyDescent="0.25">
      <c r="A79" s="151"/>
      <c r="B79" s="132">
        <f t="shared" si="2"/>
        <v>148.31325301204814</v>
      </c>
      <c r="C79" s="132" t="e">
        <f t="shared" ca="1" si="4"/>
        <v>#DIV/0!</v>
      </c>
      <c r="D79" s="133">
        <f t="shared" si="6"/>
        <v>0.12749999999999995</v>
      </c>
      <c r="G79" s="181"/>
      <c r="H79" s="177" t="e">
        <f t="shared" ca="1" si="0"/>
        <v>#VALUE!</v>
      </c>
      <c r="I79" s="108" t="str">
        <f t="shared" si="1"/>
        <v/>
      </c>
      <c r="J79" s="108">
        <f t="shared" si="3"/>
        <v>15.5</v>
      </c>
      <c r="K79" s="108" t="e">
        <f t="shared" si="5"/>
        <v>#VALUE!</v>
      </c>
      <c r="L79" s="108" t="e">
        <f t="shared" si="7"/>
        <v>#VALUE!</v>
      </c>
      <c r="M79" s="108" t="e">
        <f t="shared" si="8"/>
        <v>#VALUE!</v>
      </c>
    </row>
    <row r="80" spans="1:13" x14ac:dyDescent="0.25">
      <c r="A80" s="151"/>
      <c r="B80" s="132">
        <f t="shared" si="2"/>
        <v>145.30120481927705</v>
      </c>
      <c r="C80" s="132" t="e">
        <f t="shared" ca="1" si="4"/>
        <v>#DIV/0!</v>
      </c>
      <c r="D80" s="133">
        <f t="shared" si="6"/>
        <v>0.12499999999999994</v>
      </c>
      <c r="G80" s="181"/>
      <c r="H80" s="177" t="e">
        <f t="shared" ca="1" si="0"/>
        <v>#VALUE!</v>
      </c>
      <c r="I80" s="108" t="str">
        <f t="shared" si="1"/>
        <v/>
      </c>
      <c r="J80" s="108">
        <f t="shared" si="3"/>
        <v>16</v>
      </c>
      <c r="K80" s="108" t="e">
        <f t="shared" si="5"/>
        <v>#VALUE!</v>
      </c>
      <c r="L80" s="108" t="e">
        <f t="shared" si="7"/>
        <v>#VALUE!</v>
      </c>
      <c r="M80" s="108" t="e">
        <f t="shared" si="8"/>
        <v>#VALUE!</v>
      </c>
    </row>
    <row r="81" spans="1:13" x14ac:dyDescent="0.25">
      <c r="A81" s="151"/>
      <c r="B81" s="132">
        <f t="shared" si="2"/>
        <v>142.28915662650596</v>
      </c>
      <c r="C81" s="132" t="e">
        <f t="shared" ca="1" si="4"/>
        <v>#DIV/0!</v>
      </c>
      <c r="D81" s="133">
        <f t="shared" si="6"/>
        <v>0.12249999999999994</v>
      </c>
      <c r="G81" s="181"/>
      <c r="H81" s="177" t="e">
        <f t="shared" ca="1" si="0"/>
        <v>#VALUE!</v>
      </c>
      <c r="I81" s="108" t="str">
        <f t="shared" si="1"/>
        <v/>
      </c>
      <c r="J81" s="108">
        <f t="shared" si="3"/>
        <v>16.5</v>
      </c>
      <c r="K81" s="108" t="e">
        <f t="shared" si="5"/>
        <v>#VALUE!</v>
      </c>
      <c r="L81" s="108" t="e">
        <f t="shared" si="7"/>
        <v>#VALUE!</v>
      </c>
      <c r="M81" s="108" t="e">
        <f t="shared" si="8"/>
        <v>#VALUE!</v>
      </c>
    </row>
    <row r="82" spans="1:13" x14ac:dyDescent="0.25">
      <c r="A82" s="151"/>
      <c r="B82" s="132">
        <f t="shared" si="2"/>
        <v>139.27710843373487</v>
      </c>
      <c r="C82" s="132" t="e">
        <f t="shared" ca="1" si="4"/>
        <v>#DIV/0!</v>
      </c>
      <c r="D82" s="133">
        <f t="shared" si="6"/>
        <v>0.11999999999999994</v>
      </c>
      <c r="G82" s="181"/>
      <c r="H82" s="181"/>
      <c r="I82" s="181"/>
      <c r="J82" s="181"/>
      <c r="K82" s="181"/>
      <c r="L82" s="181"/>
      <c r="M82" s="181"/>
    </row>
    <row r="83" spans="1:13" x14ac:dyDescent="0.25">
      <c r="A83" s="151"/>
      <c r="B83" s="132">
        <f t="shared" si="2"/>
        <v>136.26506024096378</v>
      </c>
      <c r="C83" s="132" t="e">
        <f t="shared" ca="1" si="4"/>
        <v>#DIV/0!</v>
      </c>
      <c r="D83" s="133">
        <f t="shared" si="6"/>
        <v>0.11749999999999994</v>
      </c>
      <c r="G83" s="172"/>
      <c r="H83" s="172"/>
      <c r="I83" s="172"/>
      <c r="J83" s="172"/>
      <c r="K83" s="172"/>
      <c r="L83" s="172"/>
      <c r="M83" s="172"/>
    </row>
    <row r="84" spans="1:13" x14ac:dyDescent="0.25">
      <c r="A84" s="151"/>
      <c r="B84" s="132">
        <f t="shared" si="2"/>
        <v>133.25301204819269</v>
      </c>
      <c r="C84" s="132" t="e">
        <f t="shared" ca="1" si="4"/>
        <v>#DIV/0!</v>
      </c>
      <c r="D84" s="133">
        <f t="shared" si="6"/>
        <v>0.11499999999999994</v>
      </c>
      <c r="G84" s="172"/>
      <c r="H84" s="172"/>
      <c r="I84" s="172"/>
      <c r="J84" s="172"/>
      <c r="K84" s="172"/>
      <c r="L84" s="172"/>
      <c r="M84" s="172"/>
    </row>
    <row r="85" spans="1:13" x14ac:dyDescent="0.25">
      <c r="A85" s="151"/>
      <c r="B85" s="132">
        <f t="shared" si="2"/>
        <v>130.2409638554216</v>
      </c>
      <c r="C85" s="132" t="e">
        <f t="shared" ca="1" si="4"/>
        <v>#DIV/0!</v>
      </c>
      <c r="D85" s="133">
        <f t="shared" si="6"/>
        <v>0.11249999999999993</v>
      </c>
      <c r="G85" s="172"/>
      <c r="H85" s="172"/>
      <c r="I85" s="172"/>
      <c r="J85" s="172"/>
      <c r="K85" s="172"/>
      <c r="L85" s="172"/>
      <c r="M85" s="172"/>
    </row>
    <row r="86" spans="1:13" x14ac:dyDescent="0.25">
      <c r="A86" s="151"/>
      <c r="B86" s="132">
        <f t="shared" si="2"/>
        <v>127.22891566265052</v>
      </c>
      <c r="C86" s="132" t="e">
        <f t="shared" ca="1" si="4"/>
        <v>#DIV/0!</v>
      </c>
      <c r="D86" s="133">
        <f t="shared" si="6"/>
        <v>0.10999999999999993</v>
      </c>
      <c r="G86" s="172"/>
      <c r="H86" s="172"/>
      <c r="I86" s="172"/>
      <c r="J86" s="172"/>
      <c r="K86" s="172"/>
      <c r="L86" s="172"/>
      <c r="M86" s="172"/>
    </row>
    <row r="87" spans="1:13" x14ac:dyDescent="0.25">
      <c r="A87" s="151"/>
      <c r="B87" s="132">
        <f t="shared" si="2"/>
        <v>124.21686746987943</v>
      </c>
      <c r="C87" s="132" t="e">
        <f t="shared" ca="1" si="4"/>
        <v>#DIV/0!</v>
      </c>
      <c r="D87" s="133">
        <f t="shared" si="6"/>
        <v>0.10749999999999993</v>
      </c>
      <c r="G87" s="172"/>
      <c r="H87" s="172"/>
      <c r="I87" s="172"/>
      <c r="J87" s="172"/>
      <c r="K87" s="172"/>
      <c r="L87" s="172"/>
      <c r="M87" s="172"/>
    </row>
    <row r="88" spans="1:13" x14ac:dyDescent="0.25">
      <c r="A88" s="151"/>
      <c r="B88" s="132">
        <f t="shared" si="2"/>
        <v>121.20481927710834</v>
      </c>
      <c r="C88" s="132" t="e">
        <f t="shared" ca="1" si="4"/>
        <v>#DIV/0!</v>
      </c>
      <c r="D88" s="133">
        <f t="shared" si="6"/>
        <v>0.10499999999999993</v>
      </c>
      <c r="G88" s="172"/>
      <c r="H88" s="172"/>
      <c r="I88" s="172"/>
      <c r="J88" s="172"/>
      <c r="K88" s="172"/>
      <c r="L88" s="172"/>
      <c r="M88" s="172"/>
    </row>
    <row r="89" spans="1:13" x14ac:dyDescent="0.25">
      <c r="A89" s="151"/>
      <c r="B89" s="132">
        <f t="shared" si="2"/>
        <v>118.19277108433725</v>
      </c>
      <c r="C89" s="132" t="e">
        <f t="shared" ca="1" si="4"/>
        <v>#DIV/0!</v>
      </c>
      <c r="D89" s="133">
        <f t="shared" si="6"/>
        <v>0.10249999999999992</v>
      </c>
      <c r="G89" s="172"/>
      <c r="H89" s="172"/>
      <c r="I89" s="172"/>
      <c r="J89" s="172"/>
      <c r="K89" s="172"/>
      <c r="L89" s="172"/>
      <c r="M89" s="172"/>
    </row>
    <row r="90" spans="1:13" x14ac:dyDescent="0.25">
      <c r="A90" s="151"/>
      <c r="B90" s="132">
        <f t="shared" si="2"/>
        <v>115.18072289156616</v>
      </c>
      <c r="C90" s="132" t="e">
        <f t="shared" ca="1" si="4"/>
        <v>#DIV/0!</v>
      </c>
      <c r="D90" s="133">
        <f t="shared" si="6"/>
        <v>9.9999999999999922E-2</v>
      </c>
      <c r="G90" s="172"/>
      <c r="H90" s="172"/>
      <c r="I90" s="172"/>
      <c r="J90" s="172"/>
      <c r="K90" s="172"/>
      <c r="L90" s="172"/>
      <c r="M90" s="172"/>
    </row>
    <row r="91" spans="1:13" x14ac:dyDescent="0.25">
      <c r="A91" s="151"/>
      <c r="B91" s="132">
        <f t="shared" si="2"/>
        <v>112.16867469879509</v>
      </c>
      <c r="C91" s="132" t="e">
        <f t="shared" ca="1" si="4"/>
        <v>#DIV/0!</v>
      </c>
      <c r="D91" s="133">
        <f t="shared" si="6"/>
        <v>9.749999999999992E-2</v>
      </c>
      <c r="G91" s="21"/>
      <c r="H91" s="21"/>
      <c r="I91" s="21"/>
      <c r="J91" s="21"/>
      <c r="K91" s="21"/>
      <c r="L91" s="21"/>
      <c r="M91" s="21"/>
    </row>
    <row r="92" spans="1:13" x14ac:dyDescent="0.25">
      <c r="A92" s="151"/>
      <c r="B92" s="132">
        <f t="shared" si="2"/>
        <v>109.156626506024</v>
      </c>
      <c r="C92" s="132" t="e">
        <f t="shared" ca="1" si="4"/>
        <v>#DIV/0!</v>
      </c>
      <c r="D92" s="133">
        <f t="shared" si="6"/>
        <v>9.4999999999999918E-2</v>
      </c>
      <c r="G92" s="27"/>
      <c r="H92" s="27"/>
      <c r="I92" s="27"/>
      <c r="J92" s="27"/>
      <c r="K92" s="27"/>
      <c r="L92" s="27"/>
      <c r="M92" s="27"/>
    </row>
    <row r="93" spans="1:13" x14ac:dyDescent="0.25">
      <c r="A93" s="151"/>
      <c r="B93" s="132">
        <f t="shared" si="2"/>
        <v>106.14457831325291</v>
      </c>
      <c r="C93" s="132" t="e">
        <f t="shared" ca="1" si="4"/>
        <v>#DIV/0!</v>
      </c>
      <c r="D93" s="133">
        <f t="shared" si="6"/>
        <v>9.2499999999999916E-2</v>
      </c>
      <c r="G93" s="27"/>
      <c r="H93" s="27"/>
      <c r="I93" s="27"/>
      <c r="J93" s="27"/>
      <c r="K93" s="27"/>
      <c r="L93" s="27"/>
      <c r="M93" s="27"/>
    </row>
    <row r="94" spans="1:13" x14ac:dyDescent="0.25">
      <c r="A94" s="151"/>
      <c r="B94" s="132">
        <f t="shared" si="2"/>
        <v>103.13253012048182</v>
      </c>
      <c r="C94" s="132" t="e">
        <f t="shared" ca="1" si="4"/>
        <v>#DIV/0!</v>
      </c>
      <c r="D94" s="133">
        <f t="shared" si="6"/>
        <v>8.9999999999999913E-2</v>
      </c>
      <c r="G94" s="27"/>
      <c r="H94" s="27"/>
      <c r="I94" s="27"/>
      <c r="J94" s="27"/>
      <c r="K94" s="27"/>
      <c r="L94" s="27"/>
      <c r="M94" s="27"/>
    </row>
    <row r="95" spans="1:13" x14ac:dyDescent="0.25">
      <c r="A95" s="151"/>
      <c r="B95" s="132">
        <f t="shared" si="2"/>
        <v>100.12048192771073</v>
      </c>
      <c r="C95" s="132" t="e">
        <f t="shared" ca="1" si="4"/>
        <v>#DIV/0!</v>
      </c>
      <c r="D95" s="133">
        <f t="shared" si="6"/>
        <v>8.7499999999999911E-2</v>
      </c>
      <c r="G95" s="27"/>
      <c r="H95" s="27"/>
      <c r="I95" s="27"/>
      <c r="J95" s="27"/>
      <c r="K95" s="27"/>
      <c r="L95" s="27"/>
      <c r="M95" s="27"/>
    </row>
    <row r="96" spans="1:13" x14ac:dyDescent="0.25">
      <c r="A96" s="151"/>
      <c r="B96" s="132">
        <f t="shared" si="2"/>
        <v>97.108433734939652</v>
      </c>
      <c r="C96" s="132" t="e">
        <f t="shared" ca="1" si="4"/>
        <v>#DIV/0!</v>
      </c>
      <c r="D96" s="133">
        <f t="shared" si="6"/>
        <v>8.4999999999999909E-2</v>
      </c>
      <c r="G96" s="27"/>
      <c r="H96" s="27"/>
      <c r="I96" s="27"/>
      <c r="J96" s="27"/>
      <c r="K96" s="27"/>
      <c r="L96" s="27"/>
      <c r="M96" s="27"/>
    </row>
    <row r="97" spans="1:13" x14ac:dyDescent="0.25">
      <c r="A97" s="151"/>
      <c r="B97" s="132">
        <f t="shared" si="2"/>
        <v>94.096385542168562</v>
      </c>
      <c r="C97" s="132" t="e">
        <f t="shared" ca="1" si="4"/>
        <v>#DIV/0!</v>
      </c>
      <c r="D97" s="133">
        <f t="shared" si="6"/>
        <v>8.2499999999999907E-2</v>
      </c>
      <c r="G97" s="27"/>
      <c r="H97" s="27"/>
      <c r="I97" s="27"/>
      <c r="J97" s="27"/>
      <c r="K97" s="27"/>
      <c r="L97" s="27"/>
      <c r="M97" s="27"/>
    </row>
    <row r="98" spans="1:13" x14ac:dyDescent="0.25">
      <c r="A98" s="151"/>
      <c r="B98" s="132">
        <f t="shared" si="2"/>
        <v>91.084337349397472</v>
      </c>
      <c r="C98" s="132" t="e">
        <f t="shared" ca="1" si="4"/>
        <v>#DIV/0!</v>
      </c>
      <c r="D98" s="133">
        <f t="shared" si="6"/>
        <v>7.9999999999999905E-2</v>
      </c>
      <c r="H98" s="27"/>
      <c r="I98" s="27"/>
      <c r="J98" s="27"/>
      <c r="K98" s="27"/>
    </row>
    <row r="99" spans="1:13" x14ac:dyDescent="0.25">
      <c r="A99" s="151"/>
      <c r="B99" s="132">
        <f t="shared" si="2"/>
        <v>88.072289156626383</v>
      </c>
      <c r="C99" s="132" t="e">
        <f t="shared" ca="1" si="4"/>
        <v>#DIV/0!</v>
      </c>
      <c r="D99" s="133">
        <f t="shared" si="6"/>
        <v>7.7499999999999902E-2</v>
      </c>
      <c r="H99" s="27"/>
      <c r="I99" s="27"/>
      <c r="J99" s="27"/>
      <c r="K99" s="27"/>
    </row>
    <row r="100" spans="1:13" x14ac:dyDescent="0.25">
      <c r="A100" s="151"/>
      <c r="B100" s="132">
        <f t="shared" si="2"/>
        <v>85.060240963855293</v>
      </c>
      <c r="C100" s="132" t="e">
        <f t="shared" ca="1" si="4"/>
        <v>#DIV/0!</v>
      </c>
      <c r="D100" s="133">
        <f t="shared" si="6"/>
        <v>7.49999999999999E-2</v>
      </c>
      <c r="H100" s="27"/>
      <c r="I100" s="27"/>
      <c r="J100" s="27"/>
    </row>
    <row r="101" spans="1:13" x14ac:dyDescent="0.25">
      <c r="A101" s="151"/>
      <c r="B101" s="132">
        <f t="shared" si="2"/>
        <v>82.048192771084217</v>
      </c>
      <c r="C101" s="132" t="e">
        <f t="shared" ca="1" si="4"/>
        <v>#DIV/0!</v>
      </c>
      <c r="D101" s="133">
        <f t="shared" si="6"/>
        <v>7.2499999999999898E-2</v>
      </c>
      <c r="H101" s="27"/>
      <c r="I101" s="27"/>
      <c r="J101" s="27"/>
    </row>
    <row r="102" spans="1:13" x14ac:dyDescent="0.25">
      <c r="A102" s="151"/>
      <c r="B102" s="132">
        <f t="shared" si="2"/>
        <v>79.036144578313127</v>
      </c>
      <c r="C102" s="132" t="e">
        <f t="shared" ca="1" si="4"/>
        <v>#DIV/0!</v>
      </c>
      <c r="D102" s="133">
        <f t="shared" si="6"/>
        <v>6.9999999999999896E-2</v>
      </c>
    </row>
    <row r="103" spans="1:13" x14ac:dyDescent="0.25">
      <c r="A103" s="151"/>
      <c r="B103" s="132">
        <f t="shared" si="2"/>
        <v>76.024096385542038</v>
      </c>
      <c r="C103" s="132" t="e">
        <f t="shared" ca="1" si="4"/>
        <v>#DIV/0!</v>
      </c>
      <c r="D103" s="133">
        <f t="shared" si="6"/>
        <v>6.7499999999999893E-2</v>
      </c>
    </row>
    <row r="104" spans="1:13" x14ac:dyDescent="0.25">
      <c r="A104" s="151"/>
      <c r="B104" s="132">
        <f t="shared" si="2"/>
        <v>73.012048192770948</v>
      </c>
      <c r="C104" s="132" t="e">
        <f t="shared" ca="1" si="4"/>
        <v>#DIV/0!</v>
      </c>
      <c r="D104" s="133">
        <f t="shared" si="6"/>
        <v>6.4999999999999891E-2</v>
      </c>
    </row>
    <row r="105" spans="1:13" x14ac:dyDescent="0.25">
      <c r="A105" s="151"/>
      <c r="B105" s="132">
        <f t="shared" si="2"/>
        <v>69.999999999999858</v>
      </c>
      <c r="C105" s="132" t="e">
        <f t="shared" ca="1" si="4"/>
        <v>#DIV/0!</v>
      </c>
      <c r="D105" s="133">
        <f t="shared" si="6"/>
        <v>6.2499999999999889E-2</v>
      </c>
    </row>
    <row r="106" spans="1:13" x14ac:dyDescent="0.25">
      <c r="A106" s="151"/>
      <c r="B106" s="132">
        <f t="shared" si="2"/>
        <v>66.987951807228782</v>
      </c>
      <c r="C106" s="132" t="e">
        <f t="shared" ca="1" si="4"/>
        <v>#DIV/0!</v>
      </c>
      <c r="D106" s="133">
        <f t="shared" si="6"/>
        <v>5.9999999999999887E-2</v>
      </c>
    </row>
    <row r="107" spans="1:13" x14ac:dyDescent="0.25">
      <c r="A107" s="151"/>
      <c r="B107" s="132">
        <f t="shared" si="2"/>
        <v>63.975903614457692</v>
      </c>
      <c r="C107" s="132" t="e">
        <f t="shared" ca="1" si="4"/>
        <v>#DIV/0!</v>
      </c>
      <c r="D107" s="133">
        <f t="shared" si="6"/>
        <v>5.7499999999999885E-2</v>
      </c>
    </row>
    <row r="108" spans="1:13" x14ac:dyDescent="0.25">
      <c r="A108" s="151"/>
      <c r="B108" s="132">
        <f t="shared" si="2"/>
        <v>60.963855421686603</v>
      </c>
      <c r="C108" s="132" t="e">
        <f t="shared" ca="1" si="4"/>
        <v>#DIV/0!</v>
      </c>
      <c r="D108" s="133">
        <f t="shared" si="6"/>
        <v>5.4999999999999882E-2</v>
      </c>
    </row>
    <row r="109" spans="1:13" x14ac:dyDescent="0.25">
      <c r="A109" s="151"/>
      <c r="B109" s="132">
        <f t="shared" si="2"/>
        <v>57.951807228915513</v>
      </c>
      <c r="C109" s="132" t="e">
        <f t="shared" ca="1" si="4"/>
        <v>#DIV/0!</v>
      </c>
      <c r="D109" s="133">
        <f t="shared" si="6"/>
        <v>5.249999999999988E-2</v>
      </c>
    </row>
    <row r="110" spans="1:13" x14ac:dyDescent="0.25">
      <c r="A110" s="151"/>
      <c r="B110" s="132">
        <f t="shared" si="2"/>
        <v>54.93975903614443</v>
      </c>
      <c r="C110" s="132" t="e">
        <f t="shared" ca="1" si="4"/>
        <v>#DIV/0!</v>
      </c>
      <c r="D110" s="133">
        <f t="shared" si="6"/>
        <v>4.9999999999999878E-2</v>
      </c>
    </row>
    <row r="111" spans="1:13" x14ac:dyDescent="0.25">
      <c r="A111" s="151"/>
      <c r="B111" s="132">
        <f t="shared" si="2"/>
        <v>51.92771084337334</v>
      </c>
      <c r="C111" s="132" t="e">
        <f t="shared" ca="1" si="4"/>
        <v>#DIV/0!</v>
      </c>
      <c r="D111" s="133">
        <f t="shared" si="6"/>
        <v>4.7499999999999876E-2</v>
      </c>
    </row>
    <row r="112" spans="1:13" x14ac:dyDescent="0.25">
      <c r="A112" s="151"/>
      <c r="B112" s="132">
        <f t="shared" si="2"/>
        <v>48.915662650602258</v>
      </c>
      <c r="C112" s="132" t="e">
        <f t="shared" ca="1" si="4"/>
        <v>#DIV/0!</v>
      </c>
      <c r="D112" s="133">
        <f t="shared" si="6"/>
        <v>4.4999999999999873E-2</v>
      </c>
    </row>
    <row r="113" spans="1:4" x14ac:dyDescent="0.25">
      <c r="A113" s="151"/>
      <c r="B113" s="132">
        <f t="shared" si="2"/>
        <v>45.903614457831168</v>
      </c>
      <c r="C113" s="132" t="e">
        <f t="shared" ca="1" si="4"/>
        <v>#DIV/0!</v>
      </c>
      <c r="D113" s="133">
        <f t="shared" si="6"/>
        <v>4.2499999999999871E-2</v>
      </c>
    </row>
    <row r="114" spans="1:4" x14ac:dyDescent="0.25">
      <c r="A114" s="151"/>
      <c r="B114" s="132">
        <f t="shared" ref="B114:B128" si="9">(D114-0.0044)/0.00083</f>
        <v>42.891566265060078</v>
      </c>
      <c r="C114" s="132" t="e">
        <f t="shared" ca="1" si="4"/>
        <v>#DIV/0!</v>
      </c>
      <c r="D114" s="133">
        <f t="shared" si="6"/>
        <v>3.9999999999999869E-2</v>
      </c>
    </row>
    <row r="115" spans="1:4" x14ac:dyDescent="0.25">
      <c r="A115" s="151"/>
      <c r="B115" s="132">
        <f t="shared" si="9"/>
        <v>39.879518072288995</v>
      </c>
      <c r="C115" s="132" t="e">
        <f t="shared" ref="C115:C128" ca="1" si="10">((($C$5/$E$12*EXP(-D115*$C$6)+$C$5/$E$12)*EXP(-D115*$C$6)+$C$5/$E$12)*EXP(-D115*$C$6)+$C$5/$E$12)*EXP(-D115*$E$10)</f>
        <v>#DIV/0!</v>
      </c>
      <c r="D115" s="133">
        <f t="shared" si="6"/>
        <v>3.7499999999999867E-2</v>
      </c>
    </row>
    <row r="116" spans="1:4" x14ac:dyDescent="0.25">
      <c r="A116" s="151"/>
      <c r="B116" s="132">
        <f t="shared" si="9"/>
        <v>36.867469879517905</v>
      </c>
      <c r="C116" s="132" t="e">
        <f t="shared" ca="1" si="10"/>
        <v>#DIV/0!</v>
      </c>
      <c r="D116" s="133">
        <f t="shared" ref="D116:D128" si="11">D115-0.0025</f>
        <v>3.4999999999999865E-2</v>
      </c>
    </row>
    <row r="117" spans="1:4" x14ac:dyDescent="0.25">
      <c r="A117" s="151"/>
      <c r="B117" s="132">
        <f t="shared" si="9"/>
        <v>33.855421686746823</v>
      </c>
      <c r="C117" s="132" t="e">
        <f t="shared" ca="1" si="10"/>
        <v>#DIV/0!</v>
      </c>
      <c r="D117" s="133">
        <f t="shared" si="11"/>
        <v>3.2499999999999862E-2</v>
      </c>
    </row>
    <row r="118" spans="1:4" x14ac:dyDescent="0.25">
      <c r="A118" s="151"/>
      <c r="B118" s="132">
        <f t="shared" si="9"/>
        <v>30.843373493975736</v>
      </c>
      <c r="C118" s="132" t="e">
        <f t="shared" ca="1" si="10"/>
        <v>#DIV/0!</v>
      </c>
      <c r="D118" s="133">
        <f t="shared" si="11"/>
        <v>2.9999999999999864E-2</v>
      </c>
    </row>
    <row r="119" spans="1:4" x14ac:dyDescent="0.25">
      <c r="A119" s="151"/>
      <c r="B119" s="132">
        <f t="shared" si="9"/>
        <v>27.831325301204654</v>
      </c>
      <c r="C119" s="132" t="e">
        <f t="shared" ca="1" si="10"/>
        <v>#DIV/0!</v>
      </c>
      <c r="D119" s="133">
        <f t="shared" si="11"/>
        <v>2.7499999999999865E-2</v>
      </c>
    </row>
    <row r="120" spans="1:4" x14ac:dyDescent="0.25">
      <c r="A120" s="151"/>
      <c r="B120" s="132">
        <f t="shared" si="9"/>
        <v>24.819277108433571</v>
      </c>
      <c r="C120" s="132" t="e">
        <f t="shared" ca="1" si="10"/>
        <v>#DIV/0!</v>
      </c>
      <c r="D120" s="133">
        <f t="shared" si="11"/>
        <v>2.4999999999999866E-2</v>
      </c>
    </row>
    <row r="121" spans="1:4" x14ac:dyDescent="0.25">
      <c r="A121" s="151"/>
      <c r="B121" s="132">
        <f t="shared" si="9"/>
        <v>21.807228915662488</v>
      </c>
      <c r="C121" s="132" t="e">
        <f t="shared" ca="1" si="10"/>
        <v>#DIV/0!</v>
      </c>
      <c r="D121" s="133">
        <f t="shared" si="11"/>
        <v>2.2499999999999867E-2</v>
      </c>
    </row>
    <row r="122" spans="1:4" x14ac:dyDescent="0.25">
      <c r="A122" s="151"/>
      <c r="B122" s="132">
        <f t="shared" si="9"/>
        <v>18.795180722891406</v>
      </c>
      <c r="C122" s="132" t="e">
        <f t="shared" ca="1" si="10"/>
        <v>#DIV/0!</v>
      </c>
      <c r="D122" s="133">
        <f t="shared" si="11"/>
        <v>1.9999999999999869E-2</v>
      </c>
    </row>
    <row r="123" spans="1:4" x14ac:dyDescent="0.25">
      <c r="A123" s="151"/>
      <c r="B123" s="132">
        <f t="shared" si="9"/>
        <v>15.783132530120323</v>
      </c>
      <c r="C123" s="132" t="e">
        <f t="shared" ca="1" si="10"/>
        <v>#DIV/0!</v>
      </c>
      <c r="D123" s="133">
        <f t="shared" si="11"/>
        <v>1.749999999999987E-2</v>
      </c>
    </row>
    <row r="124" spans="1:4" x14ac:dyDescent="0.25">
      <c r="A124" s="151"/>
      <c r="B124" s="132">
        <f t="shared" si="9"/>
        <v>12.77108433734924</v>
      </c>
      <c r="C124" s="132" t="e">
        <f t="shared" ca="1" si="10"/>
        <v>#DIV/0!</v>
      </c>
      <c r="D124" s="133">
        <f t="shared" si="11"/>
        <v>1.4999999999999869E-2</v>
      </c>
    </row>
    <row r="125" spans="1:4" x14ac:dyDescent="0.25">
      <c r="A125" s="151"/>
      <c r="B125" s="132">
        <f t="shared" si="9"/>
        <v>9.7590361445781539</v>
      </c>
      <c r="C125" s="132" t="e">
        <f t="shared" ca="1" si="10"/>
        <v>#DIV/0!</v>
      </c>
      <c r="D125" s="133">
        <f t="shared" si="11"/>
        <v>1.2499999999999869E-2</v>
      </c>
    </row>
    <row r="126" spans="1:4" x14ac:dyDescent="0.25">
      <c r="A126" s="151"/>
      <c r="B126" s="132">
        <f t="shared" si="9"/>
        <v>6.7469879518070703</v>
      </c>
      <c r="C126" s="132" t="e">
        <f t="shared" ca="1" si="10"/>
        <v>#DIV/0!</v>
      </c>
      <c r="D126" s="133">
        <f t="shared" si="11"/>
        <v>9.9999999999998684E-3</v>
      </c>
    </row>
    <row r="127" spans="1:4" x14ac:dyDescent="0.25">
      <c r="A127" s="151"/>
      <c r="B127" s="132">
        <f t="shared" si="9"/>
        <v>3.734939759035985</v>
      </c>
      <c r="C127" s="132" t="e">
        <f t="shared" ca="1" si="10"/>
        <v>#DIV/0!</v>
      </c>
      <c r="D127" s="133">
        <f t="shared" si="11"/>
        <v>7.4999999999998679E-3</v>
      </c>
    </row>
    <row r="128" spans="1:4" x14ac:dyDescent="0.25">
      <c r="A128" s="151"/>
      <c r="B128" s="132">
        <f t="shared" si="9"/>
        <v>0.72289156626490014</v>
      </c>
      <c r="C128" s="132" t="e">
        <f t="shared" ca="1" si="10"/>
        <v>#DIV/0!</v>
      </c>
      <c r="D128" s="133">
        <f t="shared" si="11"/>
        <v>4.9999999999998674E-3</v>
      </c>
    </row>
  </sheetData>
  <sheetProtection selectLockedCells="1"/>
  <protectedRanges>
    <protectedRange sqref="C5:C12 C24:C27 C33:C36" name="Dosing by Levels Variables"/>
  </protectedRanges>
  <mergeCells count="4">
    <mergeCell ref="A1:D1"/>
    <mergeCell ref="A14:D14"/>
    <mergeCell ref="A23:D23"/>
    <mergeCell ref="A32:D32"/>
  </mergeCells>
  <phoneticPr fontId="6" type="noConversion"/>
  <dataValidations count="4">
    <dataValidation type="decimal" allowBlank="1" showInputMessage="1" showErrorMessage="1" sqref="C24">
      <formula1>300</formula1>
      <formula2>700</formula2>
    </dataValidation>
    <dataValidation type="decimal" allowBlank="1" showInputMessage="1" showErrorMessage="1" sqref="C25">
      <formula1>15</formula1>
      <formula2>65</formula2>
    </dataValidation>
    <dataValidation type="decimal" allowBlank="1" showInputMessage="1" showErrorMessage="1" sqref="C26">
      <formula1>7.5</formula1>
      <formula2>22</formula2>
    </dataValidation>
    <dataValidation type="list" allowBlank="1" showInputMessage="1" showErrorMessage="1" sqref="C2">
      <formula1>$C$3:$C$4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2772" r:id="rId4" name="CommandButton3">
          <controlPr defaultSize="0" autoLine="0" r:id="rId5">
            <anchor moveWithCells="1">
              <from>
                <xdr:col>5</xdr:col>
                <xdr:colOff>647700</xdr:colOff>
                <xdr:row>1</xdr:row>
                <xdr:rowOff>9525</xdr:rowOff>
              </from>
              <to>
                <xdr:col>5</xdr:col>
                <xdr:colOff>3514725</xdr:colOff>
                <xdr:row>5</xdr:row>
                <xdr:rowOff>38100</xdr:rowOff>
              </to>
            </anchor>
          </controlPr>
        </control>
      </mc:Choice>
      <mc:Fallback>
        <control shapeId="32772" r:id="rId4" name="CommandButton3"/>
      </mc:Fallback>
    </mc:AlternateContent>
    <mc:AlternateContent xmlns:mc="http://schemas.openxmlformats.org/markup-compatibility/2006">
      <mc:Choice Requires="x14">
        <control shapeId="32771" r:id="rId6" name="CommandButton2">
          <controlPr defaultSize="0" autoLine="0" r:id="rId7">
            <anchor moveWithCells="1">
              <from>
                <xdr:col>5</xdr:col>
                <xdr:colOff>2124075</xdr:colOff>
                <xdr:row>5</xdr:row>
                <xdr:rowOff>66675</xdr:rowOff>
              </from>
              <to>
                <xdr:col>5</xdr:col>
                <xdr:colOff>3514725</xdr:colOff>
                <xdr:row>7</xdr:row>
                <xdr:rowOff>95250</xdr:rowOff>
              </to>
            </anchor>
          </controlPr>
        </control>
      </mc:Choice>
      <mc:Fallback>
        <control shapeId="32771" r:id="rId6" name="CommandButton2"/>
      </mc:Fallback>
    </mc:AlternateContent>
    <mc:AlternateContent xmlns:mc="http://schemas.openxmlformats.org/markup-compatibility/2006">
      <mc:Choice Requires="x14">
        <control shapeId="32770" r:id="rId8" name="CommandButton1">
          <controlPr defaultSize="0" autoLine="0" r:id="rId9">
            <anchor moveWithCells="1">
              <from>
                <xdr:col>5</xdr:col>
                <xdr:colOff>647700</xdr:colOff>
                <xdr:row>5</xdr:row>
                <xdr:rowOff>66675</xdr:rowOff>
              </from>
              <to>
                <xdr:col>5</xdr:col>
                <xdr:colOff>2038350</xdr:colOff>
                <xdr:row>7</xdr:row>
                <xdr:rowOff>95250</xdr:rowOff>
              </to>
            </anchor>
          </controlPr>
        </control>
      </mc:Choice>
      <mc:Fallback>
        <control shapeId="32770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8"/>
  <sheetViews>
    <sheetView showGridLines="0" showRowColHeaders="0" zoomScale="110" workbookViewId="0">
      <selection activeCell="B3" sqref="B3"/>
    </sheetView>
  </sheetViews>
  <sheetFormatPr defaultColWidth="8.85546875" defaultRowHeight="12.75" x14ac:dyDescent="0.2"/>
  <cols>
    <col min="1" max="1" width="28" style="1" bestFit="1" customWidth="1"/>
    <col min="2" max="2" width="21.28515625" style="1" customWidth="1"/>
    <col min="3" max="3" width="11.5703125" style="1" customWidth="1"/>
    <col min="4" max="4" width="47" style="1" customWidth="1"/>
    <col min="5" max="5" width="11" style="1" customWidth="1"/>
    <col min="6" max="6" width="18.140625" style="1" customWidth="1"/>
    <col min="7" max="7" width="25.5703125" style="1" bestFit="1" customWidth="1"/>
    <col min="8" max="8" width="12.7109375" style="1" bestFit="1" customWidth="1"/>
    <col min="9" max="9" width="18.42578125" style="1" customWidth="1"/>
    <col min="10" max="14" width="8.85546875" style="1"/>
    <col min="15" max="15" width="20" style="1" customWidth="1"/>
    <col min="16" max="16384" width="8.85546875" style="1"/>
  </cols>
  <sheetData>
    <row r="1" spans="1:15" ht="29.25" customHeight="1" x14ac:dyDescent="0.2">
      <c r="A1" s="276" t="s">
        <v>126</v>
      </c>
      <c r="B1" s="276"/>
      <c r="C1" s="276"/>
      <c r="D1" s="276"/>
      <c r="E1" s="276"/>
      <c r="F1" s="276"/>
      <c r="G1" s="276"/>
      <c r="H1" s="276"/>
      <c r="I1" s="276"/>
      <c r="J1" s="2"/>
      <c r="K1" s="2"/>
      <c r="L1" s="2"/>
      <c r="M1" s="2"/>
      <c r="N1" s="2"/>
      <c r="O1" s="2"/>
    </row>
    <row r="2" spans="1:15" ht="18" x14ac:dyDescent="0.25">
      <c r="A2" s="277" t="s">
        <v>181</v>
      </c>
      <c r="B2" s="277"/>
      <c r="C2" s="277"/>
      <c r="D2" s="2"/>
      <c r="E2" s="277" t="s">
        <v>136</v>
      </c>
      <c r="F2" s="277"/>
      <c r="G2" s="277"/>
      <c r="H2" s="277"/>
      <c r="I2" s="2"/>
      <c r="J2" s="2"/>
      <c r="K2" s="2"/>
      <c r="L2" s="2"/>
      <c r="M2" s="2"/>
      <c r="N2" s="2"/>
      <c r="O2" s="2"/>
    </row>
    <row r="3" spans="1:15" s="49" customFormat="1" ht="15.75" x14ac:dyDescent="0.25">
      <c r="A3" s="42" t="s">
        <v>28</v>
      </c>
      <c r="B3" s="43"/>
      <c r="C3" s="44" t="s">
        <v>32</v>
      </c>
      <c r="D3" s="45"/>
      <c r="E3" s="261"/>
      <c r="F3" s="262"/>
      <c r="G3" s="263"/>
      <c r="H3" s="264"/>
      <c r="I3" s="117" t="str">
        <f>IF(B27="","",IF(B27="Gent/tobra",IF(C27="Cystitis",4,IF(C27="Gram negative infections",20,IF(C27="synergy",4,""))),IF(C27="Cystitis",17.5,IF(C27="pneumonia",70,IF(C27="synergy","use gentamicin",70)))))</f>
        <v/>
      </c>
      <c r="J3" s="45"/>
      <c r="K3" s="45"/>
      <c r="L3" s="45"/>
      <c r="M3" s="45"/>
      <c r="N3" s="45"/>
      <c r="O3" s="45"/>
    </row>
    <row r="4" spans="1:15" s="49" customFormat="1" ht="15.75" x14ac:dyDescent="0.25">
      <c r="A4" s="42" t="s">
        <v>29</v>
      </c>
      <c r="B4" s="43"/>
      <c r="C4" s="44"/>
      <c r="D4" s="45"/>
      <c r="E4" s="46"/>
      <c r="F4" s="47" t="s">
        <v>13</v>
      </c>
      <c r="G4" s="48" t="str">
        <f>I3</f>
        <v/>
      </c>
      <c r="H4" s="44" t="s">
        <v>8</v>
      </c>
      <c r="I4" s="117" t="str">
        <f>IF(B27="","",IF(B27="Gent/tobra",IF(C27="Cystitis",1,IF(C27="Gram negative infections",0.25,IF(C27="synergy",1,""))),IF(C27="Cystitis",4,IF(C27="pneumonia",1,IF(C27="synergy","use gentamicin",1)))))</f>
        <v/>
      </c>
      <c r="J4" s="45"/>
      <c r="K4" s="45"/>
      <c r="L4" s="45"/>
      <c r="M4" s="45"/>
      <c r="N4" s="45"/>
      <c r="O4" s="45"/>
    </row>
    <row r="5" spans="1:15" s="49" customFormat="1" ht="15.75" hidden="1" x14ac:dyDescent="0.25">
      <c r="A5" s="42"/>
      <c r="B5" s="43" t="s">
        <v>34</v>
      </c>
      <c r="C5" s="44"/>
      <c r="D5" s="45"/>
      <c r="E5" s="46"/>
      <c r="F5" s="47"/>
      <c r="G5" s="48"/>
      <c r="H5" s="44"/>
      <c r="I5" s="117"/>
      <c r="J5" s="45"/>
      <c r="K5" s="45"/>
      <c r="L5" s="45"/>
      <c r="M5" s="45"/>
      <c r="N5" s="45"/>
      <c r="O5" s="45"/>
    </row>
    <row r="6" spans="1:15" s="49" customFormat="1" ht="15.75" hidden="1" x14ac:dyDescent="0.25">
      <c r="A6" s="42"/>
      <c r="B6" s="43" t="s">
        <v>35</v>
      </c>
      <c r="C6" s="44"/>
      <c r="D6" s="45"/>
      <c r="E6" s="46"/>
      <c r="F6" s="47"/>
      <c r="G6" s="48"/>
      <c r="H6" s="44"/>
      <c r="I6" s="117"/>
      <c r="J6" s="45"/>
      <c r="K6" s="45"/>
      <c r="L6" s="45"/>
      <c r="M6" s="45"/>
      <c r="N6" s="45"/>
      <c r="O6" s="45"/>
    </row>
    <row r="7" spans="1:15" s="49" customFormat="1" ht="15.75" x14ac:dyDescent="0.25">
      <c r="A7" s="42" t="s">
        <v>30</v>
      </c>
      <c r="B7" s="43"/>
      <c r="C7" s="44" t="s">
        <v>33</v>
      </c>
      <c r="D7" s="75"/>
      <c r="E7" s="46"/>
      <c r="F7" s="47" t="s">
        <v>14</v>
      </c>
      <c r="G7" s="48" t="str">
        <f>I4</f>
        <v/>
      </c>
      <c r="H7" s="44" t="s">
        <v>8</v>
      </c>
      <c r="I7" s="117" t="str">
        <f>IF(B27="","",IF(B27="Gent/Tobra",0.5,2))</f>
        <v/>
      </c>
      <c r="J7" s="45"/>
      <c r="K7" s="45"/>
      <c r="L7" s="45"/>
      <c r="M7" s="45"/>
      <c r="N7" s="45"/>
      <c r="O7" s="45"/>
    </row>
    <row r="8" spans="1:15" s="49" customFormat="1" ht="15.75" x14ac:dyDescent="0.25">
      <c r="A8" s="42" t="s">
        <v>36</v>
      </c>
      <c r="B8" s="43"/>
      <c r="C8" s="50" t="s">
        <v>41</v>
      </c>
      <c r="D8" s="76">
        <f>IF(C8="inches",B8,B8/2.54)</f>
        <v>0</v>
      </c>
      <c r="E8" s="46"/>
      <c r="F8" s="47" t="s">
        <v>64</v>
      </c>
      <c r="G8" s="221"/>
      <c r="H8" s="44" t="str">
        <f>IF(H9&lt;0.1,"",CONCATENATE(ROUND(H9,0)," ",H10))</f>
        <v/>
      </c>
      <c r="I8" s="117" t="str">
        <f>IF(ISERROR(D13&gt;1.3*B18),"TBW",IF(D13&gt;1.3*B18,"AdjBW","TBW"))</f>
        <v>TBW</v>
      </c>
      <c r="J8" s="117" t="s">
        <v>122</v>
      </c>
      <c r="K8" s="45"/>
      <c r="L8" s="45"/>
      <c r="M8" s="45"/>
      <c r="N8" s="45"/>
      <c r="O8" s="45"/>
    </row>
    <row r="9" spans="1:15" s="49" customFormat="1" ht="15.75" hidden="1" x14ac:dyDescent="0.25">
      <c r="A9" s="42"/>
      <c r="B9" s="43"/>
      <c r="C9" s="52" t="s">
        <v>41</v>
      </c>
      <c r="D9" s="76"/>
      <c r="E9" s="46"/>
      <c r="F9" s="47"/>
      <c r="G9" s="51" t="s">
        <v>152</v>
      </c>
      <c r="H9" s="53">
        <f>IF(G8="TBW",B24,IF(G8="AdjBW",B25,IF(G8="IBW",B26,G24)))</f>
        <v>0</v>
      </c>
      <c r="I9" s="45"/>
      <c r="J9" s="45"/>
      <c r="K9" s="45"/>
      <c r="L9" s="45"/>
      <c r="M9" s="45"/>
      <c r="N9" s="45"/>
      <c r="O9" s="45"/>
    </row>
    <row r="10" spans="1:15" s="49" customFormat="1" ht="15.75" hidden="1" x14ac:dyDescent="0.25">
      <c r="A10" s="42"/>
      <c r="B10" s="43"/>
      <c r="C10" s="52" t="s">
        <v>37</v>
      </c>
      <c r="D10" s="76"/>
      <c r="E10" s="46"/>
      <c r="F10" s="47"/>
      <c r="G10" s="51" t="s">
        <v>49</v>
      </c>
      <c r="H10" s="44" t="s">
        <v>1</v>
      </c>
      <c r="I10" s="45"/>
      <c r="J10" s="45"/>
      <c r="K10" s="45"/>
      <c r="L10" s="45"/>
      <c r="M10" s="45"/>
      <c r="N10" s="45"/>
      <c r="O10" s="45"/>
    </row>
    <row r="11" spans="1:15" s="49" customFormat="1" ht="15.75" hidden="1" x14ac:dyDescent="0.25">
      <c r="A11" s="42"/>
      <c r="B11" s="43"/>
      <c r="C11" s="52" t="s">
        <v>0</v>
      </c>
      <c r="D11" s="75"/>
      <c r="E11" s="46"/>
      <c r="F11" s="47"/>
      <c r="G11" s="51" t="s">
        <v>42</v>
      </c>
      <c r="H11" s="44"/>
      <c r="I11" s="45"/>
      <c r="J11" s="45"/>
      <c r="K11" s="45"/>
      <c r="L11" s="45"/>
      <c r="M11" s="45"/>
      <c r="N11" s="45"/>
      <c r="O11" s="45"/>
    </row>
    <row r="12" spans="1:15" s="49" customFormat="1" ht="15.75" hidden="1" x14ac:dyDescent="0.25">
      <c r="A12" s="42"/>
      <c r="B12" s="43"/>
      <c r="C12" s="52"/>
      <c r="D12" s="75"/>
      <c r="E12" s="46"/>
      <c r="F12" s="47"/>
      <c r="G12" s="51" t="s">
        <v>51</v>
      </c>
      <c r="H12" s="44"/>
      <c r="I12" s="45"/>
      <c r="J12" s="45"/>
      <c r="K12" s="45"/>
      <c r="L12" s="45"/>
      <c r="M12" s="45"/>
      <c r="N12" s="45"/>
      <c r="O12" s="45"/>
    </row>
    <row r="13" spans="1:15" s="49" customFormat="1" ht="15.75" x14ac:dyDescent="0.25">
      <c r="A13" s="42" t="s">
        <v>151</v>
      </c>
      <c r="B13" s="54"/>
      <c r="C13" s="50" t="s">
        <v>0</v>
      </c>
      <c r="D13" s="76">
        <f>IF(C13="kg",B13,B13/2.2)</f>
        <v>0</v>
      </c>
      <c r="E13" s="46"/>
      <c r="F13" s="47" t="s">
        <v>65</v>
      </c>
      <c r="G13" s="51" t="str">
        <f>I8</f>
        <v>TBW</v>
      </c>
      <c r="H13" s="44" t="str">
        <f>CONCATENATE(ROUND(H14,0)," ",H15)</f>
        <v>0 kg</v>
      </c>
      <c r="I13" s="45"/>
      <c r="J13" s="45"/>
      <c r="K13" s="45"/>
      <c r="L13" s="45"/>
      <c r="M13" s="45"/>
      <c r="N13" s="45"/>
      <c r="O13" s="45"/>
    </row>
    <row r="14" spans="1:15" s="49" customFormat="1" ht="15.75" hidden="1" x14ac:dyDescent="0.25">
      <c r="A14" s="44"/>
      <c r="B14" s="55"/>
      <c r="C14" s="56" t="s">
        <v>0</v>
      </c>
      <c r="D14" s="45"/>
      <c r="E14" s="46"/>
      <c r="F14" s="47"/>
      <c r="G14" s="51" t="s">
        <v>152</v>
      </c>
      <c r="H14" s="44">
        <f>IF(G13="TBW",D13,IF(G13="AdjBW",B20,IF(G13="IBW",B18,G25)))</f>
        <v>0</v>
      </c>
      <c r="I14" s="45"/>
      <c r="J14" s="45"/>
      <c r="K14" s="45"/>
      <c r="L14" s="45"/>
      <c r="M14" s="45"/>
      <c r="N14" s="45"/>
      <c r="O14" s="45"/>
    </row>
    <row r="15" spans="1:15" s="49" customFormat="1" ht="15.75" hidden="1" x14ac:dyDescent="0.25">
      <c r="A15" s="44"/>
      <c r="B15" s="55"/>
      <c r="C15" s="56" t="s">
        <v>40</v>
      </c>
      <c r="D15" s="45"/>
      <c r="E15" s="46"/>
      <c r="F15" s="47"/>
      <c r="G15" s="51" t="s">
        <v>49</v>
      </c>
      <c r="H15" s="44" t="s">
        <v>0</v>
      </c>
      <c r="I15" s="45"/>
      <c r="J15" s="45"/>
      <c r="K15" s="45"/>
      <c r="L15" s="45"/>
      <c r="M15" s="45"/>
      <c r="N15" s="45"/>
      <c r="O15" s="45"/>
    </row>
    <row r="16" spans="1:15" s="49" customFormat="1" ht="15.75" hidden="1" x14ac:dyDescent="0.25">
      <c r="A16" s="44"/>
      <c r="B16" s="55"/>
      <c r="C16" s="56"/>
      <c r="D16" s="45"/>
      <c r="E16" s="46"/>
      <c r="F16" s="47"/>
      <c r="G16" s="51" t="s">
        <v>42</v>
      </c>
      <c r="H16" s="44"/>
      <c r="I16" s="45"/>
      <c r="J16" s="45"/>
      <c r="K16" s="45"/>
      <c r="L16" s="45"/>
      <c r="M16" s="45"/>
      <c r="N16" s="45"/>
      <c r="O16" s="45"/>
    </row>
    <row r="17" spans="1:15" s="49" customFormat="1" ht="15.75" hidden="1" x14ac:dyDescent="0.25">
      <c r="A17" s="44"/>
      <c r="B17" s="55"/>
      <c r="C17" s="56"/>
      <c r="D17" s="45"/>
      <c r="E17" s="46"/>
      <c r="F17" s="47"/>
      <c r="G17" s="51" t="s">
        <v>50</v>
      </c>
      <c r="H17" s="44"/>
      <c r="I17" s="45"/>
      <c r="J17" s="45"/>
      <c r="K17" s="45"/>
      <c r="L17" s="45"/>
      <c r="M17" s="45"/>
      <c r="N17" s="45"/>
      <c r="O17" s="45"/>
    </row>
    <row r="18" spans="1:15" s="49" customFormat="1" ht="15.75" x14ac:dyDescent="0.25">
      <c r="A18" s="57" t="s">
        <v>42</v>
      </c>
      <c r="B18" s="58" t="str">
        <f>IF(B8&lt;1,"",IF(B4="male",50+2.3*(D8-60),45.5+2.3*(D8-60)))</f>
        <v/>
      </c>
      <c r="C18" s="44" t="s">
        <v>0</v>
      </c>
      <c r="D18" s="60" t="s">
        <v>43</v>
      </c>
      <c r="E18" s="46"/>
      <c r="F18" s="47" t="s">
        <v>9</v>
      </c>
      <c r="G18" s="165"/>
      <c r="H18" s="44" t="s">
        <v>2</v>
      </c>
      <c r="I18" s="45" t="s">
        <v>149</v>
      </c>
      <c r="J18" s="45"/>
      <c r="K18" s="45"/>
      <c r="L18" s="45"/>
      <c r="M18" s="45"/>
      <c r="N18" s="45"/>
      <c r="O18" s="45"/>
    </row>
    <row r="19" spans="1:15" s="49" customFormat="1" ht="15.75" hidden="1" x14ac:dyDescent="0.25">
      <c r="A19" s="57"/>
      <c r="B19" s="58"/>
      <c r="C19" s="44"/>
      <c r="D19" s="60"/>
      <c r="E19" s="46"/>
      <c r="F19" s="47"/>
      <c r="G19" s="48"/>
      <c r="H19" s="44">
        <f>G18*H14</f>
        <v>0</v>
      </c>
      <c r="I19" s="45"/>
      <c r="J19" s="45"/>
      <c r="K19" s="45"/>
      <c r="L19" s="45"/>
      <c r="M19" s="45"/>
      <c r="N19" s="45"/>
      <c r="O19" s="45"/>
    </row>
    <row r="20" spans="1:15" s="49" customFormat="1" ht="18.75" x14ac:dyDescent="0.35">
      <c r="A20" s="57" t="s">
        <v>49</v>
      </c>
      <c r="B20" s="58" t="str">
        <f>IF(B13&lt;1,"",IF(B13&gt;B18*1.3,B18+0.4*(D13-B18),""))</f>
        <v/>
      </c>
      <c r="C20" s="44" t="s">
        <v>0</v>
      </c>
      <c r="D20" s="60" t="s">
        <v>198</v>
      </c>
      <c r="E20" s="46"/>
      <c r="F20" s="47" t="s">
        <v>91</v>
      </c>
      <c r="G20" s="48" t="s">
        <v>121</v>
      </c>
      <c r="H20" s="44" t="str">
        <f>IF(G20="","",CONCATENATE(ROUND(H21,3)," ",H22))</f>
        <v>0.01 hr-1</v>
      </c>
      <c r="I20" s="118"/>
      <c r="J20" s="119"/>
      <c r="K20" s="119"/>
      <c r="L20" s="119"/>
      <c r="M20" s="119"/>
      <c r="N20" s="119"/>
      <c r="O20" s="45"/>
    </row>
    <row r="21" spans="1:15" s="49" customFormat="1" ht="12.75" hidden="1" customHeight="1" x14ac:dyDescent="0.25">
      <c r="A21" s="57"/>
      <c r="B21" s="58"/>
      <c r="C21" s="44"/>
      <c r="D21" s="60"/>
      <c r="E21" s="46"/>
      <c r="F21" s="47"/>
      <c r="G21" s="48" t="s">
        <v>121</v>
      </c>
      <c r="H21" s="44">
        <f>IF(G20=G21,H9*0.003+0.01,IF(G20=G22,H9/D33*60/1000,""))</f>
        <v>0.01</v>
      </c>
      <c r="I21" s="118"/>
      <c r="J21" s="119"/>
      <c r="K21" s="119"/>
      <c r="L21" s="119"/>
      <c r="M21" s="119"/>
      <c r="N21" s="119"/>
      <c r="O21" s="45"/>
    </row>
    <row r="22" spans="1:15" s="49" customFormat="1" ht="12.75" hidden="1" customHeight="1" x14ac:dyDescent="0.25">
      <c r="A22" s="57"/>
      <c r="B22" s="58"/>
      <c r="C22" s="44"/>
      <c r="D22" s="60"/>
      <c r="E22" s="46"/>
      <c r="F22" s="47"/>
      <c r="G22" s="48" t="s">
        <v>57</v>
      </c>
      <c r="H22" s="44" t="s">
        <v>92</v>
      </c>
      <c r="I22" s="118"/>
      <c r="J22" s="119"/>
      <c r="K22" s="119"/>
      <c r="L22" s="119"/>
      <c r="M22" s="119"/>
      <c r="N22" s="119"/>
      <c r="O22" s="45"/>
    </row>
    <row r="23" spans="1:15" s="49" customFormat="1" ht="12.75" hidden="1" customHeight="1" x14ac:dyDescent="0.25">
      <c r="A23" s="57"/>
      <c r="B23" s="58"/>
      <c r="C23" s="44"/>
      <c r="D23" s="60"/>
      <c r="E23" s="46"/>
      <c r="F23" s="47"/>
      <c r="G23" s="48"/>
      <c r="H23" s="44"/>
      <c r="I23" s="118"/>
      <c r="J23" s="119"/>
      <c r="K23" s="119"/>
      <c r="L23" s="119"/>
      <c r="M23" s="119"/>
      <c r="N23" s="119"/>
      <c r="O23" s="45"/>
    </row>
    <row r="24" spans="1:15" s="49" customFormat="1" ht="15.75" x14ac:dyDescent="0.25">
      <c r="A24" s="57" t="s">
        <v>182</v>
      </c>
      <c r="B24" s="59" t="str">
        <f>IF(B13&lt;1,"",IF(B4="Male",(140-B3)*B13/72/B7,0.85*(140-B3)*B13/72/B7))</f>
        <v/>
      </c>
      <c r="C24" s="44" t="s">
        <v>1</v>
      </c>
      <c r="D24" s="60" t="s">
        <v>197</v>
      </c>
      <c r="E24" s="46"/>
      <c r="F24" s="47" t="s">
        <v>46</v>
      </c>
      <c r="G24" s="48"/>
      <c r="H24" s="44" t="s">
        <v>1</v>
      </c>
      <c r="I24" s="118"/>
      <c r="J24" s="119"/>
      <c r="K24" s="119"/>
      <c r="L24" s="119"/>
      <c r="M24" s="119"/>
      <c r="N24" s="119"/>
      <c r="O24" s="45"/>
    </row>
    <row r="25" spans="1:15" s="49" customFormat="1" ht="15.75" x14ac:dyDescent="0.25">
      <c r="A25" s="57" t="s">
        <v>196</v>
      </c>
      <c r="B25" s="59" t="str">
        <f>IF(B20="","",IF(D13&lt;1.3*B18,"",IF(B4="Male",(140-B3)*B20/72/B7,0.85*(140-B3)*B20/72/B7)))</f>
        <v/>
      </c>
      <c r="C25" s="44" t="s">
        <v>1</v>
      </c>
      <c r="D25" s="60" t="s">
        <v>44</v>
      </c>
      <c r="E25" s="46"/>
      <c r="F25" s="47" t="s">
        <v>47</v>
      </c>
      <c r="G25" s="48"/>
      <c r="H25" s="44" t="s">
        <v>0</v>
      </c>
      <c r="I25" s="118"/>
      <c r="J25" s="119"/>
      <c r="K25" s="119"/>
      <c r="L25" s="119"/>
      <c r="M25" s="119"/>
      <c r="N25" s="119"/>
      <c r="O25" s="45"/>
    </row>
    <row r="26" spans="1:15" s="49" customFormat="1" ht="15.75" x14ac:dyDescent="0.25">
      <c r="A26" s="57" t="s">
        <v>183</v>
      </c>
      <c r="B26" s="59" t="str">
        <f>IF(B8&lt;1,"",IF(B4="Male",(140-B3)*B18/72/B7,0.85*(140-B3)*B18/72/B7))</f>
        <v/>
      </c>
      <c r="C26" s="44" t="s">
        <v>1</v>
      </c>
      <c r="D26" s="60" t="s">
        <v>45</v>
      </c>
      <c r="E26" s="46"/>
      <c r="F26" s="47" t="s">
        <v>48</v>
      </c>
      <c r="G26" s="48">
        <v>0.5</v>
      </c>
      <c r="H26" s="44" t="s">
        <v>58</v>
      </c>
      <c r="I26" s="118"/>
      <c r="J26" s="119"/>
      <c r="K26" s="119"/>
      <c r="L26" s="119"/>
      <c r="M26" s="119"/>
      <c r="N26" s="119"/>
      <c r="O26" s="45"/>
    </row>
    <row r="27" spans="1:15" ht="18" x14ac:dyDescent="0.25">
      <c r="A27" s="125" t="s">
        <v>120</v>
      </c>
      <c r="B27" s="126"/>
      <c r="C27" s="234"/>
      <c r="D27" s="9" t="s">
        <v>171</v>
      </c>
      <c r="E27" s="9"/>
      <c r="F27" s="9"/>
      <c r="G27" s="9"/>
      <c r="H27" s="9"/>
      <c r="I27" s="9"/>
      <c r="J27" s="2"/>
      <c r="K27" s="2"/>
      <c r="L27" s="2"/>
      <c r="M27" s="2"/>
      <c r="N27" s="2"/>
      <c r="O27" s="2"/>
    </row>
    <row r="28" spans="1:15" ht="18" hidden="1" x14ac:dyDescent="0.25">
      <c r="A28" s="9"/>
      <c r="B28" s="121" t="s">
        <v>116</v>
      </c>
      <c r="C28" s="123" t="s">
        <v>118</v>
      </c>
      <c r="D28" s="9"/>
      <c r="E28" s="9"/>
      <c r="F28" s="9"/>
      <c r="G28" s="9"/>
      <c r="H28" s="14"/>
      <c r="I28" s="271"/>
      <c r="J28" s="291"/>
      <c r="K28" s="291"/>
      <c r="L28" s="291"/>
      <c r="M28" s="291"/>
      <c r="N28" s="291"/>
      <c r="O28" s="291"/>
    </row>
    <row r="29" spans="1:15" ht="18" hidden="1" x14ac:dyDescent="0.25">
      <c r="A29" s="9"/>
      <c r="B29" s="121" t="s">
        <v>117</v>
      </c>
      <c r="C29" s="124" t="s">
        <v>207</v>
      </c>
      <c r="D29" s="9"/>
      <c r="E29" s="9"/>
      <c r="F29" s="9"/>
      <c r="G29" s="9"/>
      <c r="H29" s="14"/>
      <c r="I29" s="271"/>
      <c r="J29" s="291"/>
      <c r="K29" s="291"/>
      <c r="L29" s="291"/>
      <c r="M29" s="291"/>
      <c r="N29" s="291"/>
      <c r="O29" s="291"/>
    </row>
    <row r="30" spans="1:15" ht="18" hidden="1" x14ac:dyDescent="0.25">
      <c r="A30" s="9"/>
      <c r="B30" s="9"/>
      <c r="C30" s="124" t="s">
        <v>119</v>
      </c>
      <c r="D30" s="9"/>
      <c r="E30" s="9"/>
      <c r="F30" s="9"/>
      <c r="G30" s="9"/>
      <c r="H30" s="14"/>
      <c r="I30" s="271"/>
      <c r="J30" s="291"/>
      <c r="K30" s="291"/>
      <c r="L30" s="291"/>
      <c r="M30" s="291"/>
      <c r="N30" s="291"/>
      <c r="O30" s="291"/>
    </row>
    <row r="31" spans="1:15" ht="18" hidden="1" x14ac:dyDescent="0.25">
      <c r="A31" s="9"/>
      <c r="B31" s="9"/>
      <c r="C31" s="124"/>
      <c r="D31" s="9"/>
      <c r="E31" s="9"/>
      <c r="F31" s="9"/>
      <c r="G31" s="9"/>
      <c r="H31" s="14"/>
      <c r="I31" s="122"/>
      <c r="J31" s="137"/>
      <c r="K31" s="137"/>
      <c r="L31" s="137"/>
      <c r="M31" s="137"/>
      <c r="N31" s="137"/>
      <c r="O31" s="137"/>
    </row>
    <row r="32" spans="1:15" ht="18" x14ac:dyDescent="0.25">
      <c r="A32" s="9"/>
      <c r="B32" s="9"/>
      <c r="C32" s="124"/>
      <c r="D32" s="9"/>
      <c r="E32" s="9"/>
      <c r="F32" s="9"/>
      <c r="G32" s="9"/>
      <c r="H32" s="14"/>
      <c r="I32" s="122"/>
      <c r="J32" s="137"/>
      <c r="K32" s="137"/>
      <c r="L32" s="137"/>
      <c r="M32" s="137"/>
      <c r="N32" s="137"/>
      <c r="O32" s="137"/>
    </row>
    <row r="33" spans="1:15" ht="15.75" customHeight="1" x14ac:dyDescent="0.3">
      <c r="A33" s="16"/>
      <c r="B33" s="18"/>
      <c r="C33" s="61" t="s">
        <v>93</v>
      </c>
      <c r="D33" s="5" t="str">
        <f>IF(C27="","",G18*H14)</f>
        <v/>
      </c>
      <c r="E33" s="2" t="s">
        <v>5</v>
      </c>
      <c r="F33" s="77" t="s">
        <v>107</v>
      </c>
      <c r="G33" s="2"/>
      <c r="H33" s="2"/>
      <c r="I33" s="2"/>
      <c r="J33" s="2"/>
      <c r="K33" s="2"/>
      <c r="L33" s="2"/>
      <c r="M33" s="2"/>
      <c r="N33" s="2"/>
    </row>
    <row r="34" spans="1:15" ht="15.75" customHeight="1" x14ac:dyDescent="0.3">
      <c r="A34" s="16"/>
      <c r="B34" s="18"/>
      <c r="C34" s="61" t="s">
        <v>94</v>
      </c>
      <c r="D34" s="6" t="str">
        <f>IF(C27="","",H21)</f>
        <v/>
      </c>
      <c r="E34" s="3" t="s">
        <v>59</v>
      </c>
      <c r="F34" s="78" t="str">
        <f>CONCATENATE("Ke = ",G20)</f>
        <v>Ke = 0.003*CrCl + 0.01</v>
      </c>
      <c r="G34" s="2"/>
      <c r="H34" s="2"/>
      <c r="I34" s="2"/>
      <c r="J34" s="2"/>
      <c r="K34" s="2"/>
      <c r="L34" s="2"/>
      <c r="M34" s="2"/>
      <c r="N34" s="2"/>
    </row>
    <row r="35" spans="1:15" ht="15.75" customHeight="1" x14ac:dyDescent="0.3">
      <c r="A35" s="16"/>
      <c r="B35" s="18"/>
      <c r="C35" s="61" t="s">
        <v>95</v>
      </c>
      <c r="D35" s="5" t="str">
        <f>IF(C27="","",0.693/D34)</f>
        <v/>
      </c>
      <c r="E35" s="2" t="s">
        <v>58</v>
      </c>
      <c r="F35" s="77" t="e">
        <f>CONCATENATE("ln(2)/Ke   0.693/",ROUND(D34,3))</f>
        <v>#VALUE!</v>
      </c>
      <c r="G35" s="2"/>
      <c r="H35" s="2"/>
      <c r="I35" s="2"/>
      <c r="J35" s="2"/>
      <c r="K35" s="2"/>
      <c r="L35" s="2"/>
      <c r="M35" s="2"/>
      <c r="N35" s="2"/>
    </row>
    <row r="36" spans="1:15" ht="15.75" customHeight="1" x14ac:dyDescent="0.25">
      <c r="A36" s="16"/>
      <c r="B36" s="197"/>
      <c r="C36" s="62" t="s">
        <v>71</v>
      </c>
      <c r="D36" s="17" t="str">
        <f>IF(C27="","",IF(D35&gt;4.5,(G4-G7)*D33,IF(B3&gt;70,(G4-G7)*D33,(G4-G7)*D33)))</f>
        <v/>
      </c>
      <c r="E36" s="3" t="s">
        <v>4</v>
      </c>
      <c r="F36" s="187" t="s">
        <v>160</v>
      </c>
      <c r="G36" s="3"/>
      <c r="H36" s="2"/>
      <c r="I36" s="2"/>
      <c r="J36" s="2"/>
      <c r="K36" s="2"/>
      <c r="L36" s="2"/>
      <c r="M36" s="2"/>
      <c r="N36" s="2"/>
    </row>
    <row r="37" spans="1:15" ht="15.75" customHeight="1" thickBot="1" x14ac:dyDescent="0.3">
      <c r="A37" s="16"/>
      <c r="B37" s="198"/>
      <c r="C37" s="64" t="s">
        <v>70</v>
      </c>
      <c r="D37" s="65" t="str">
        <f>IF(C27="","",IF(D35&gt;4.5,LN(G7/G4)/-D34+G26,IF(B3&gt;70,LN(G7/G4)/-D34+G26,LN(G7/G4)/-D34+G26)))</f>
        <v/>
      </c>
      <c r="E37" s="63" t="s">
        <v>58</v>
      </c>
      <c r="F37" s="79" t="s">
        <v>110</v>
      </c>
      <c r="G37" s="63"/>
      <c r="H37" s="2"/>
      <c r="I37" s="2"/>
      <c r="J37" s="2"/>
      <c r="K37" s="2"/>
      <c r="L37" s="2"/>
      <c r="M37" s="2"/>
      <c r="N37" s="2"/>
    </row>
    <row r="38" spans="1:15" ht="6.75" customHeight="1" thickTop="1" x14ac:dyDescent="0.2">
      <c r="A38" s="16"/>
      <c r="B38" s="197"/>
      <c r="C38" s="62"/>
      <c r="D38" s="17"/>
      <c r="E38" s="3"/>
      <c r="F38" s="13"/>
      <c r="G38" s="3"/>
      <c r="H38" s="2"/>
      <c r="I38" s="2"/>
      <c r="J38" s="2"/>
      <c r="K38" s="2"/>
      <c r="L38" s="2"/>
      <c r="M38" s="2"/>
      <c r="N38" s="2"/>
    </row>
    <row r="39" spans="1:15" ht="18" customHeight="1" x14ac:dyDescent="0.25">
      <c r="A39" s="290" t="str">
        <f>IF(D35="","",IF(D35&gt;4.5,"TRADITIONAL DOSING LEVELS",IF(B3&gt;70,"TRADITIONAL DOSING LEVELS",IF(B7&gt;1.2,"High Peak displayed, consider trad if CrCl decreasing","High Peak ODA"))))</f>
        <v/>
      </c>
      <c r="B39" s="18"/>
      <c r="C39" s="233" t="s">
        <v>38</v>
      </c>
      <c r="D39" s="120" t="str">
        <f>IF(D35="","",G42)</f>
        <v/>
      </c>
      <c r="E39" s="2" t="s">
        <v>4</v>
      </c>
      <c r="F39" s="2"/>
      <c r="H39" s="14"/>
      <c r="I39" s="14"/>
      <c r="J39" s="14"/>
      <c r="K39" s="14"/>
      <c r="L39" s="14"/>
      <c r="M39" s="14"/>
      <c r="N39" s="14"/>
    </row>
    <row r="40" spans="1:15" ht="18" customHeight="1" x14ac:dyDescent="0.25">
      <c r="A40" s="290"/>
      <c r="B40" s="18"/>
      <c r="C40" s="233" t="s">
        <v>188</v>
      </c>
      <c r="D40" s="120" t="str">
        <f>IF(D35="","",F42)</f>
        <v/>
      </c>
      <c r="E40" s="2" t="s">
        <v>58</v>
      </c>
      <c r="F40" s="2"/>
      <c r="G40" s="2"/>
      <c r="H40" s="184"/>
      <c r="I40" s="184"/>
      <c r="J40" s="184"/>
      <c r="K40" s="184"/>
      <c r="L40" s="184"/>
      <c r="M40" s="184"/>
      <c r="N40" s="184"/>
    </row>
    <row r="41" spans="1:15" ht="16.5" customHeight="1" x14ac:dyDescent="0.25">
      <c r="A41" s="290"/>
      <c r="B41" s="18"/>
      <c r="C41" s="233" t="s">
        <v>48</v>
      </c>
      <c r="D41" s="40">
        <v>0.5</v>
      </c>
      <c r="E41" s="2" t="s">
        <v>58</v>
      </c>
      <c r="F41" s="2"/>
      <c r="G41" s="2"/>
      <c r="H41" s="184"/>
      <c r="I41" s="184"/>
      <c r="J41" s="184"/>
      <c r="K41" s="184"/>
      <c r="L41" s="184"/>
      <c r="M41" s="184"/>
      <c r="N41" s="184"/>
    </row>
    <row r="42" spans="1:15" ht="15.75" customHeight="1" x14ac:dyDescent="0.3">
      <c r="A42" s="16"/>
      <c r="B42" s="18"/>
      <c r="C42" s="233" t="s">
        <v>206</v>
      </c>
      <c r="D42" s="5" t="e">
        <f>D39/D33/(1-EXP(-D34*D40))</f>
        <v>#VALUE!</v>
      </c>
      <c r="E42" s="2" t="s">
        <v>8</v>
      </c>
      <c r="F42" s="19">
        <f>IF(C27="Cystitis",IF(D37&lt;9.67,8,IF(D37&lt;14.5,12,IF(D37&lt;29,24,IF(D37&lt;40,36,48)))),IF(D37&gt;40,48,IF(D37&gt;29,36,24)))</f>
        <v>48</v>
      </c>
      <c r="G42" s="164" t="e">
        <f>10*ROUND(D36/10,0)</f>
        <v>#VALUE!</v>
      </c>
      <c r="H42" s="184"/>
      <c r="I42" s="184"/>
      <c r="J42" s="184"/>
      <c r="K42" s="184"/>
      <c r="L42" s="184"/>
      <c r="M42" s="184"/>
      <c r="N42" s="184"/>
      <c r="O42" s="113"/>
    </row>
    <row r="43" spans="1:15" ht="15.75" customHeight="1" x14ac:dyDescent="0.3">
      <c r="A43" s="16"/>
      <c r="B43" s="18"/>
      <c r="C43" s="233" t="s">
        <v>205</v>
      </c>
      <c r="D43" s="185" t="e">
        <f>D42*EXP(-H21*(D40-D41))</f>
        <v>#VALUE!</v>
      </c>
      <c r="E43" s="2" t="s">
        <v>8</v>
      </c>
      <c r="F43" s="186"/>
      <c r="G43" s="186"/>
      <c r="H43" s="186"/>
      <c r="I43" s="186"/>
      <c r="J43" s="184"/>
      <c r="K43" s="184"/>
      <c r="L43" s="184"/>
      <c r="M43" s="184"/>
      <c r="N43" s="184"/>
    </row>
    <row r="44" spans="1:15" x14ac:dyDescent="0.2">
      <c r="A44" s="10"/>
      <c r="B44" s="199"/>
      <c r="C44" s="12"/>
      <c r="D44" s="2"/>
      <c r="E44" s="2"/>
      <c r="F44" s="186"/>
      <c r="G44" s="186"/>
      <c r="H44" s="186"/>
      <c r="I44" s="186"/>
      <c r="J44" s="184"/>
      <c r="K44" s="184"/>
      <c r="L44" s="184"/>
      <c r="M44" s="184"/>
      <c r="N44" s="184"/>
    </row>
    <row r="45" spans="1:15" ht="22.5" x14ac:dyDescent="0.3">
      <c r="A45" s="7" t="str">
        <f>IF(B13&gt;0,CONCATENATE("Graph of ",D39," mg IV over ",D41," hour(s) every ", D40," hours (May require click)"),"")</f>
        <v/>
      </c>
      <c r="B45" s="18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5" x14ac:dyDescent="0.2">
      <c r="A46" s="2"/>
      <c r="B46" s="1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5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5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 x14ac:dyDescent="0.2">
      <c r="A51" s="2"/>
      <c r="B51" s="2" t="str">
        <f>IF(B46="","",E54)</f>
        <v/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x14ac:dyDescent="0.2">
      <c r="A52" s="2"/>
      <c r="B52" s="2" t="str">
        <f>IF(B46="","",D54)</f>
        <v/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x14ac:dyDescent="0.2">
      <c r="A53" s="2"/>
      <c r="B53" s="2">
        <v>0.5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2" spans="1:14" x14ac:dyDescent="0.2">
      <c r="A72" s="15"/>
      <c r="B72" s="15"/>
      <c r="C72" s="15"/>
      <c r="D72" s="15"/>
      <c r="E72" s="15"/>
      <c r="G72" s="8" t="e">
        <f>CONCATENATE("Patient is a ",B3," year old ", B4," on empiric aminoglycoside therapy for [insert diagnosis]. Current SCr = ",B7," mg/dL. Using a desired Cmax of ",G4, " and Cmin of ",G7," a calculated dose of ",ROUND(D36,1)," mg every ",ROUND(D37,1)," hours is calculated (dose = Desired Cmax*calculated Vd;interval determined by natural log trough/peak divided by -Ke plus the infusion time). Will start patient on ",D39," mg every ",D40," hours to conform to traditional dosages and dosing intervals. Predicted Cmax =",ROUND(D42,1)," Cmin = ",ROUND(D43,1))</f>
        <v>#VALUE!</v>
      </c>
    </row>
    <row r="73" spans="1:14" x14ac:dyDescent="0.2">
      <c r="A73" s="8"/>
      <c r="B73" s="8"/>
      <c r="C73" s="8"/>
      <c r="D73" s="8"/>
      <c r="E73" s="8"/>
      <c r="F73" s="8"/>
    </row>
    <row r="74" spans="1:14" x14ac:dyDescent="0.2">
      <c r="A74" s="8" t="s">
        <v>127</v>
      </c>
      <c r="B74" s="8" t="s">
        <v>128</v>
      </c>
      <c r="C74" s="8" t="s">
        <v>67</v>
      </c>
      <c r="D74" s="8" t="s">
        <v>68</v>
      </c>
      <c r="E74" s="8" t="s">
        <v>69</v>
      </c>
      <c r="F74" s="8"/>
    </row>
    <row r="75" spans="1:14" x14ac:dyDescent="0.2">
      <c r="A75" s="8">
        <v>-1</v>
      </c>
      <c r="B75" s="20" t="str">
        <f t="shared" ref="B75:B106" si="0">IF($D$40=8,C75,IF($D$40=12,D75,IF($D$40=24,E75,"")))</f>
        <v/>
      </c>
      <c r="C75" s="8">
        <v>0</v>
      </c>
      <c r="D75" s="8">
        <v>0</v>
      </c>
      <c r="E75" s="8">
        <v>0</v>
      </c>
      <c r="F75" s="15"/>
      <c r="G75" s="15"/>
    </row>
    <row r="76" spans="1:14" x14ac:dyDescent="0.2">
      <c r="A76" s="8">
        <v>0</v>
      </c>
      <c r="B76" s="20" t="str">
        <f t="shared" si="0"/>
        <v/>
      </c>
      <c r="C76" s="20" t="e">
        <f>D42</f>
        <v>#VALUE!</v>
      </c>
      <c r="D76" s="20" t="e">
        <f>D42</f>
        <v>#VALUE!</v>
      </c>
      <c r="E76" s="20" t="e">
        <f>D42</f>
        <v>#VALUE!</v>
      </c>
      <c r="F76" s="15"/>
      <c r="G76" s="15"/>
    </row>
    <row r="77" spans="1:14" x14ac:dyDescent="0.2">
      <c r="A77" s="8">
        <v>0.5</v>
      </c>
      <c r="B77" s="20" t="str">
        <f t="shared" si="0"/>
        <v/>
      </c>
      <c r="C77" s="8" t="e">
        <f>$D$42*EXP(-$D$34*A77)</f>
        <v>#VALUE!</v>
      </c>
      <c r="D77" s="8" t="e">
        <f>$D$42*EXP(-$D$34*A77)</f>
        <v>#VALUE!</v>
      </c>
      <c r="E77" s="8" t="e">
        <f>$D$42*EXP(-$D$34*A77)</f>
        <v>#VALUE!</v>
      </c>
      <c r="F77" s="15"/>
      <c r="G77" s="15"/>
    </row>
    <row r="78" spans="1:14" x14ac:dyDescent="0.2">
      <c r="A78" s="8">
        <f t="shared" ref="A78:A109" si="1">A77+0.5</f>
        <v>1</v>
      </c>
      <c r="B78" s="20" t="str">
        <f t="shared" si="0"/>
        <v/>
      </c>
      <c r="C78" s="8" t="e">
        <f>$D$42*EXP(-$D$34*A78)</f>
        <v>#VALUE!</v>
      </c>
      <c r="D78" s="8" t="e">
        <f>$D$42*EXP(-$D$34*A78)</f>
        <v>#VALUE!</v>
      </c>
      <c r="E78" s="8" t="e">
        <f>$D$42*EXP(-$D$34*A78)</f>
        <v>#VALUE!</v>
      </c>
      <c r="F78" s="15"/>
      <c r="G78" s="15"/>
    </row>
    <row r="79" spans="1:14" x14ac:dyDescent="0.2">
      <c r="A79" s="8">
        <f t="shared" si="1"/>
        <v>1.5</v>
      </c>
      <c r="B79" s="20" t="str">
        <f t="shared" si="0"/>
        <v/>
      </c>
      <c r="C79" s="8" t="e">
        <f t="shared" ref="C79:C92" si="2">$D$42*EXP(-$D$34*A79)</f>
        <v>#VALUE!</v>
      </c>
      <c r="D79" s="8" t="e">
        <f t="shared" ref="D79:D100" si="3">$D$42*EXP(-$D$34*A79)</f>
        <v>#VALUE!</v>
      </c>
      <c r="E79" s="8" t="e">
        <f t="shared" ref="E79:E124" si="4">$D$42*EXP(-$D$34*A79)</f>
        <v>#VALUE!</v>
      </c>
      <c r="F79" s="15"/>
      <c r="G79" s="15"/>
    </row>
    <row r="80" spans="1:14" x14ac:dyDescent="0.2">
      <c r="A80" s="8">
        <f t="shared" si="1"/>
        <v>2</v>
      </c>
      <c r="B80" s="20" t="str">
        <f t="shared" si="0"/>
        <v/>
      </c>
      <c r="C80" s="8" t="e">
        <f t="shared" si="2"/>
        <v>#VALUE!</v>
      </c>
      <c r="D80" s="8" t="e">
        <f t="shared" si="3"/>
        <v>#VALUE!</v>
      </c>
      <c r="E80" s="8" t="e">
        <f t="shared" si="4"/>
        <v>#VALUE!</v>
      </c>
      <c r="F80" s="15"/>
      <c r="G80" s="26"/>
    </row>
    <row r="81" spans="1:7" x14ac:dyDescent="0.2">
      <c r="A81" s="8">
        <f t="shared" si="1"/>
        <v>2.5</v>
      </c>
      <c r="B81" s="20" t="str">
        <f t="shared" si="0"/>
        <v/>
      </c>
      <c r="C81" s="8" t="e">
        <f t="shared" si="2"/>
        <v>#VALUE!</v>
      </c>
      <c r="D81" s="8" t="e">
        <f t="shared" si="3"/>
        <v>#VALUE!</v>
      </c>
      <c r="E81" s="8" t="e">
        <f t="shared" si="4"/>
        <v>#VALUE!</v>
      </c>
      <c r="F81" s="15"/>
      <c r="G81" s="26"/>
    </row>
    <row r="82" spans="1:7" x14ac:dyDescent="0.2">
      <c r="A82" s="8">
        <f t="shared" si="1"/>
        <v>3</v>
      </c>
      <c r="B82" s="20" t="str">
        <f t="shared" si="0"/>
        <v/>
      </c>
      <c r="C82" s="8" t="e">
        <f t="shared" si="2"/>
        <v>#VALUE!</v>
      </c>
      <c r="D82" s="8" t="e">
        <f t="shared" si="3"/>
        <v>#VALUE!</v>
      </c>
      <c r="E82" s="8" t="e">
        <f t="shared" si="4"/>
        <v>#VALUE!</v>
      </c>
      <c r="F82" s="15"/>
      <c r="G82" s="26"/>
    </row>
    <row r="83" spans="1:7" x14ac:dyDescent="0.2">
      <c r="A83" s="8">
        <f t="shared" si="1"/>
        <v>3.5</v>
      </c>
      <c r="B83" s="20" t="str">
        <f t="shared" si="0"/>
        <v/>
      </c>
      <c r="C83" s="8" t="e">
        <f t="shared" si="2"/>
        <v>#VALUE!</v>
      </c>
      <c r="D83" s="8" t="e">
        <f t="shared" si="3"/>
        <v>#VALUE!</v>
      </c>
      <c r="E83" s="8" t="e">
        <f t="shared" si="4"/>
        <v>#VALUE!</v>
      </c>
      <c r="F83" s="15"/>
      <c r="G83" s="26"/>
    </row>
    <row r="84" spans="1:7" x14ac:dyDescent="0.2">
      <c r="A84" s="8">
        <f t="shared" si="1"/>
        <v>4</v>
      </c>
      <c r="B84" s="20" t="str">
        <f t="shared" si="0"/>
        <v/>
      </c>
      <c r="C84" s="8" t="e">
        <f t="shared" si="2"/>
        <v>#VALUE!</v>
      </c>
      <c r="D84" s="8" t="e">
        <f t="shared" si="3"/>
        <v>#VALUE!</v>
      </c>
      <c r="E84" s="8" t="e">
        <f t="shared" si="4"/>
        <v>#VALUE!</v>
      </c>
      <c r="F84" s="15"/>
      <c r="G84" s="26"/>
    </row>
    <row r="85" spans="1:7" x14ac:dyDescent="0.2">
      <c r="A85" s="8">
        <f t="shared" si="1"/>
        <v>4.5</v>
      </c>
      <c r="B85" s="20" t="str">
        <f t="shared" si="0"/>
        <v/>
      </c>
      <c r="C85" s="8" t="e">
        <f t="shared" si="2"/>
        <v>#VALUE!</v>
      </c>
      <c r="D85" s="8" t="e">
        <f t="shared" si="3"/>
        <v>#VALUE!</v>
      </c>
      <c r="E85" s="8" t="e">
        <f t="shared" si="4"/>
        <v>#VALUE!</v>
      </c>
      <c r="F85" s="15"/>
      <c r="G85" s="26"/>
    </row>
    <row r="86" spans="1:7" x14ac:dyDescent="0.2">
      <c r="A86" s="8">
        <f t="shared" si="1"/>
        <v>5</v>
      </c>
      <c r="B86" s="20" t="str">
        <f t="shared" si="0"/>
        <v/>
      </c>
      <c r="C86" s="8" t="e">
        <f t="shared" si="2"/>
        <v>#VALUE!</v>
      </c>
      <c r="D86" s="8" t="e">
        <f t="shared" si="3"/>
        <v>#VALUE!</v>
      </c>
      <c r="E86" s="8" t="e">
        <f t="shared" si="4"/>
        <v>#VALUE!</v>
      </c>
      <c r="F86" s="15"/>
      <c r="G86" s="26"/>
    </row>
    <row r="87" spans="1:7" x14ac:dyDescent="0.2">
      <c r="A87" s="8">
        <f t="shared" si="1"/>
        <v>5.5</v>
      </c>
      <c r="B87" s="20" t="str">
        <f t="shared" si="0"/>
        <v/>
      </c>
      <c r="C87" s="8" t="e">
        <f t="shared" si="2"/>
        <v>#VALUE!</v>
      </c>
      <c r="D87" s="8" t="e">
        <f t="shared" si="3"/>
        <v>#VALUE!</v>
      </c>
      <c r="E87" s="8" t="e">
        <f t="shared" si="4"/>
        <v>#VALUE!</v>
      </c>
      <c r="F87" s="15"/>
      <c r="G87" s="26"/>
    </row>
    <row r="88" spans="1:7" x14ac:dyDescent="0.2">
      <c r="A88" s="8">
        <f t="shared" si="1"/>
        <v>6</v>
      </c>
      <c r="B88" s="20" t="str">
        <f t="shared" si="0"/>
        <v/>
      </c>
      <c r="C88" s="8" t="e">
        <f t="shared" si="2"/>
        <v>#VALUE!</v>
      </c>
      <c r="D88" s="8" t="e">
        <f t="shared" si="3"/>
        <v>#VALUE!</v>
      </c>
      <c r="E88" s="8" t="e">
        <f t="shared" si="4"/>
        <v>#VALUE!</v>
      </c>
      <c r="F88" s="15"/>
      <c r="G88" s="26"/>
    </row>
    <row r="89" spans="1:7" x14ac:dyDescent="0.2">
      <c r="A89" s="8">
        <f t="shared" si="1"/>
        <v>6.5</v>
      </c>
      <c r="B89" s="20" t="str">
        <f t="shared" si="0"/>
        <v/>
      </c>
      <c r="C89" s="8" t="e">
        <f t="shared" si="2"/>
        <v>#VALUE!</v>
      </c>
      <c r="D89" s="8" t="e">
        <f t="shared" si="3"/>
        <v>#VALUE!</v>
      </c>
      <c r="E89" s="8" t="e">
        <f t="shared" si="4"/>
        <v>#VALUE!</v>
      </c>
      <c r="F89" s="15"/>
      <c r="G89" s="26"/>
    </row>
    <row r="90" spans="1:7" x14ac:dyDescent="0.2">
      <c r="A90" s="8">
        <f t="shared" si="1"/>
        <v>7</v>
      </c>
      <c r="B90" s="20" t="str">
        <f t="shared" si="0"/>
        <v/>
      </c>
      <c r="C90" s="8" t="e">
        <f t="shared" si="2"/>
        <v>#VALUE!</v>
      </c>
      <c r="D90" s="8" t="e">
        <f t="shared" si="3"/>
        <v>#VALUE!</v>
      </c>
      <c r="E90" s="8" t="e">
        <f t="shared" si="4"/>
        <v>#VALUE!</v>
      </c>
      <c r="F90" s="15"/>
      <c r="G90" s="26"/>
    </row>
    <row r="91" spans="1:7" x14ac:dyDescent="0.2">
      <c r="A91" s="8">
        <f t="shared" si="1"/>
        <v>7.5</v>
      </c>
      <c r="B91" s="20" t="str">
        <f t="shared" si="0"/>
        <v/>
      </c>
      <c r="C91" s="8" t="e">
        <f t="shared" si="2"/>
        <v>#VALUE!</v>
      </c>
      <c r="D91" s="8" t="e">
        <f t="shared" si="3"/>
        <v>#VALUE!</v>
      </c>
      <c r="E91" s="8" t="e">
        <f t="shared" si="4"/>
        <v>#VALUE!</v>
      </c>
      <c r="F91" s="15"/>
      <c r="G91" s="15"/>
    </row>
    <row r="92" spans="1:7" x14ac:dyDescent="0.2">
      <c r="A92" s="8">
        <f t="shared" si="1"/>
        <v>8</v>
      </c>
      <c r="B92" s="20" t="str">
        <f t="shared" si="0"/>
        <v/>
      </c>
      <c r="C92" s="8" t="e">
        <f t="shared" si="2"/>
        <v>#VALUE!</v>
      </c>
      <c r="D92" s="8" t="e">
        <f t="shared" si="3"/>
        <v>#VALUE!</v>
      </c>
      <c r="E92" s="8" t="e">
        <f t="shared" si="4"/>
        <v>#VALUE!</v>
      </c>
      <c r="F92" s="15"/>
      <c r="G92" s="15"/>
    </row>
    <row r="93" spans="1:7" x14ac:dyDescent="0.2">
      <c r="A93" s="8">
        <f t="shared" si="1"/>
        <v>8.5</v>
      </c>
      <c r="B93" s="20" t="str">
        <f t="shared" si="0"/>
        <v/>
      </c>
      <c r="C93" s="20" t="e">
        <f>($D$42+C92)</f>
        <v>#VALUE!</v>
      </c>
      <c r="D93" s="8" t="e">
        <f t="shared" si="3"/>
        <v>#VALUE!</v>
      </c>
      <c r="E93" s="8" t="e">
        <f t="shared" si="4"/>
        <v>#VALUE!</v>
      </c>
      <c r="F93" s="15"/>
      <c r="G93" s="15"/>
    </row>
    <row r="94" spans="1:7" x14ac:dyDescent="0.2">
      <c r="A94" s="8">
        <f t="shared" si="1"/>
        <v>9</v>
      </c>
      <c r="B94" s="20" t="str">
        <f t="shared" si="0"/>
        <v/>
      </c>
      <c r="C94" s="8" t="e">
        <f t="shared" ref="C94:C108" si="5">($C$93)*EXP(-$D$34*(A94-8.5))</f>
        <v>#VALUE!</v>
      </c>
      <c r="D94" s="8" t="e">
        <f t="shared" si="3"/>
        <v>#VALUE!</v>
      </c>
      <c r="E94" s="8" t="e">
        <f t="shared" si="4"/>
        <v>#VALUE!</v>
      </c>
      <c r="F94" s="15"/>
      <c r="G94" s="15"/>
    </row>
    <row r="95" spans="1:7" x14ac:dyDescent="0.2">
      <c r="A95" s="8">
        <f t="shared" si="1"/>
        <v>9.5</v>
      </c>
      <c r="B95" s="20" t="str">
        <f t="shared" si="0"/>
        <v/>
      </c>
      <c r="C95" s="8" t="e">
        <f t="shared" si="5"/>
        <v>#VALUE!</v>
      </c>
      <c r="D95" s="8" t="e">
        <f t="shared" si="3"/>
        <v>#VALUE!</v>
      </c>
      <c r="E95" s="8" t="e">
        <f t="shared" si="4"/>
        <v>#VALUE!</v>
      </c>
      <c r="F95" s="15"/>
      <c r="G95" s="15"/>
    </row>
    <row r="96" spans="1:7" x14ac:dyDescent="0.2">
      <c r="A96" s="8">
        <f t="shared" si="1"/>
        <v>10</v>
      </c>
      <c r="B96" s="20" t="str">
        <f t="shared" si="0"/>
        <v/>
      </c>
      <c r="C96" s="8" t="e">
        <f t="shared" si="5"/>
        <v>#VALUE!</v>
      </c>
      <c r="D96" s="8" t="e">
        <f t="shared" si="3"/>
        <v>#VALUE!</v>
      </c>
      <c r="E96" s="8" t="e">
        <f t="shared" si="4"/>
        <v>#VALUE!</v>
      </c>
      <c r="F96" s="15"/>
      <c r="G96" s="15"/>
    </row>
    <row r="97" spans="1:7" x14ac:dyDescent="0.2">
      <c r="A97" s="8">
        <f t="shared" si="1"/>
        <v>10.5</v>
      </c>
      <c r="B97" s="20" t="str">
        <f t="shared" si="0"/>
        <v/>
      </c>
      <c r="C97" s="8" t="e">
        <f t="shared" si="5"/>
        <v>#VALUE!</v>
      </c>
      <c r="D97" s="8" t="e">
        <f t="shared" si="3"/>
        <v>#VALUE!</v>
      </c>
      <c r="E97" s="8" t="e">
        <f t="shared" si="4"/>
        <v>#VALUE!</v>
      </c>
      <c r="F97" s="15"/>
      <c r="G97" s="15"/>
    </row>
    <row r="98" spans="1:7" x14ac:dyDescent="0.2">
      <c r="A98" s="8">
        <f t="shared" si="1"/>
        <v>11</v>
      </c>
      <c r="B98" s="20" t="str">
        <f t="shared" si="0"/>
        <v/>
      </c>
      <c r="C98" s="8" t="e">
        <f t="shared" si="5"/>
        <v>#VALUE!</v>
      </c>
      <c r="D98" s="8" t="e">
        <f t="shared" si="3"/>
        <v>#VALUE!</v>
      </c>
      <c r="E98" s="8" t="e">
        <f t="shared" si="4"/>
        <v>#VALUE!</v>
      </c>
      <c r="F98" s="15"/>
      <c r="G98" s="15"/>
    </row>
    <row r="99" spans="1:7" x14ac:dyDescent="0.2">
      <c r="A99" s="8">
        <f t="shared" si="1"/>
        <v>11.5</v>
      </c>
      <c r="B99" s="20" t="str">
        <f t="shared" si="0"/>
        <v/>
      </c>
      <c r="C99" s="8" t="e">
        <f t="shared" si="5"/>
        <v>#VALUE!</v>
      </c>
      <c r="D99" s="8" t="e">
        <f t="shared" si="3"/>
        <v>#VALUE!</v>
      </c>
      <c r="E99" s="8" t="e">
        <f t="shared" si="4"/>
        <v>#VALUE!</v>
      </c>
      <c r="F99" s="15"/>
      <c r="G99" s="15"/>
    </row>
    <row r="100" spans="1:7" x14ac:dyDescent="0.2">
      <c r="A100" s="8">
        <f t="shared" si="1"/>
        <v>12</v>
      </c>
      <c r="B100" s="20" t="str">
        <f t="shared" si="0"/>
        <v/>
      </c>
      <c r="C100" s="8" t="e">
        <f t="shared" si="5"/>
        <v>#VALUE!</v>
      </c>
      <c r="D100" s="8" t="e">
        <f t="shared" si="3"/>
        <v>#VALUE!</v>
      </c>
      <c r="E100" s="8" t="e">
        <f t="shared" si="4"/>
        <v>#VALUE!</v>
      </c>
      <c r="F100" s="15"/>
      <c r="G100" s="15"/>
    </row>
    <row r="101" spans="1:7" x14ac:dyDescent="0.2">
      <c r="A101" s="8">
        <f t="shared" si="1"/>
        <v>12.5</v>
      </c>
      <c r="B101" s="20" t="str">
        <f t="shared" si="0"/>
        <v/>
      </c>
      <c r="C101" s="8" t="e">
        <f t="shared" si="5"/>
        <v>#VALUE!</v>
      </c>
      <c r="D101" s="20" t="e">
        <f>($D$42+D100)</f>
        <v>#VALUE!</v>
      </c>
      <c r="E101" s="8" t="e">
        <f t="shared" si="4"/>
        <v>#VALUE!</v>
      </c>
      <c r="F101" s="15"/>
      <c r="G101" s="15"/>
    </row>
    <row r="102" spans="1:7" x14ac:dyDescent="0.2">
      <c r="A102" s="8">
        <f t="shared" si="1"/>
        <v>13</v>
      </c>
      <c r="B102" s="20" t="str">
        <f t="shared" si="0"/>
        <v/>
      </c>
      <c r="C102" s="8" t="e">
        <f t="shared" si="5"/>
        <v>#VALUE!</v>
      </c>
      <c r="D102" s="8" t="e">
        <f t="shared" ref="D102:D124" si="6">($D$101)*EXP(-$D$34*(A102-12.5))</f>
        <v>#VALUE!</v>
      </c>
      <c r="E102" s="8" t="e">
        <f t="shared" si="4"/>
        <v>#VALUE!</v>
      </c>
      <c r="F102" s="15"/>
      <c r="G102" s="15"/>
    </row>
    <row r="103" spans="1:7" x14ac:dyDescent="0.2">
      <c r="A103" s="8">
        <f t="shared" si="1"/>
        <v>13.5</v>
      </c>
      <c r="B103" s="20" t="str">
        <f t="shared" si="0"/>
        <v/>
      </c>
      <c r="C103" s="8" t="e">
        <f t="shared" si="5"/>
        <v>#VALUE!</v>
      </c>
      <c r="D103" s="8" t="e">
        <f t="shared" si="6"/>
        <v>#VALUE!</v>
      </c>
      <c r="E103" s="8" t="e">
        <f t="shared" si="4"/>
        <v>#VALUE!</v>
      </c>
      <c r="F103" s="15"/>
      <c r="G103" s="15"/>
    </row>
    <row r="104" spans="1:7" x14ac:dyDescent="0.2">
      <c r="A104" s="8">
        <f t="shared" si="1"/>
        <v>14</v>
      </c>
      <c r="B104" s="20" t="str">
        <f t="shared" si="0"/>
        <v/>
      </c>
      <c r="C104" s="8" t="e">
        <f t="shared" si="5"/>
        <v>#VALUE!</v>
      </c>
      <c r="D104" s="8" t="e">
        <f t="shared" si="6"/>
        <v>#VALUE!</v>
      </c>
      <c r="E104" s="8" t="e">
        <f t="shared" si="4"/>
        <v>#VALUE!</v>
      </c>
      <c r="F104" s="15"/>
      <c r="G104" s="15"/>
    </row>
    <row r="105" spans="1:7" x14ac:dyDescent="0.2">
      <c r="A105" s="8">
        <f t="shared" si="1"/>
        <v>14.5</v>
      </c>
      <c r="B105" s="20" t="str">
        <f t="shared" si="0"/>
        <v/>
      </c>
      <c r="C105" s="8" t="e">
        <f t="shared" si="5"/>
        <v>#VALUE!</v>
      </c>
      <c r="D105" s="8" t="e">
        <f t="shared" si="6"/>
        <v>#VALUE!</v>
      </c>
      <c r="E105" s="8" t="e">
        <f t="shared" si="4"/>
        <v>#VALUE!</v>
      </c>
      <c r="F105" s="15"/>
      <c r="G105" s="15"/>
    </row>
    <row r="106" spans="1:7" x14ac:dyDescent="0.2">
      <c r="A106" s="8">
        <f t="shared" si="1"/>
        <v>15</v>
      </c>
      <c r="B106" s="20" t="str">
        <f t="shared" si="0"/>
        <v/>
      </c>
      <c r="C106" s="8" t="e">
        <f t="shared" si="5"/>
        <v>#VALUE!</v>
      </c>
      <c r="D106" s="8" t="e">
        <f t="shared" si="6"/>
        <v>#VALUE!</v>
      </c>
      <c r="E106" s="8" t="e">
        <f t="shared" si="4"/>
        <v>#VALUE!</v>
      </c>
      <c r="F106" s="15"/>
      <c r="G106" s="15"/>
    </row>
    <row r="107" spans="1:7" x14ac:dyDescent="0.2">
      <c r="A107" s="8">
        <f t="shared" si="1"/>
        <v>15.5</v>
      </c>
      <c r="B107" s="20" t="str">
        <f t="shared" ref="B107:B138" si="7">IF($D$40=8,C107,IF($D$40=12,D107,IF($D$40=24,E107,"")))</f>
        <v/>
      </c>
      <c r="C107" s="8" t="e">
        <f t="shared" si="5"/>
        <v>#VALUE!</v>
      </c>
      <c r="D107" s="8" t="e">
        <f t="shared" si="6"/>
        <v>#VALUE!</v>
      </c>
      <c r="E107" s="8" t="e">
        <f t="shared" si="4"/>
        <v>#VALUE!</v>
      </c>
      <c r="F107" s="15"/>
      <c r="G107" s="15"/>
    </row>
    <row r="108" spans="1:7" x14ac:dyDescent="0.2">
      <c r="A108" s="8">
        <f t="shared" si="1"/>
        <v>16</v>
      </c>
      <c r="B108" s="20" t="str">
        <f t="shared" si="7"/>
        <v/>
      </c>
      <c r="C108" s="8" t="e">
        <f t="shared" si="5"/>
        <v>#VALUE!</v>
      </c>
      <c r="D108" s="8" t="e">
        <f t="shared" si="6"/>
        <v>#VALUE!</v>
      </c>
      <c r="E108" s="8" t="e">
        <f t="shared" si="4"/>
        <v>#VALUE!</v>
      </c>
      <c r="F108" s="15"/>
      <c r="G108" s="15"/>
    </row>
    <row r="109" spans="1:7" x14ac:dyDescent="0.2">
      <c r="A109" s="8">
        <f t="shared" si="1"/>
        <v>16.5</v>
      </c>
      <c r="B109" s="20" t="str">
        <f t="shared" si="7"/>
        <v/>
      </c>
      <c r="C109" s="20" t="e">
        <f>(C108+D42)</f>
        <v>#VALUE!</v>
      </c>
      <c r="D109" s="8" t="e">
        <f t="shared" si="6"/>
        <v>#VALUE!</v>
      </c>
      <c r="E109" s="8" t="e">
        <f t="shared" si="4"/>
        <v>#VALUE!</v>
      </c>
      <c r="F109" s="15"/>
      <c r="G109" s="15"/>
    </row>
    <row r="110" spans="1:7" x14ac:dyDescent="0.2">
      <c r="A110" s="8">
        <f t="shared" ref="A110:A141" si="8">A109+0.5</f>
        <v>17</v>
      </c>
      <c r="B110" s="20" t="str">
        <f t="shared" si="7"/>
        <v/>
      </c>
      <c r="C110" s="8" t="e">
        <f t="shared" ref="C110:C124" si="9">($C$109)*EXP(-$D$34*(A110-16.5))</f>
        <v>#VALUE!</v>
      </c>
      <c r="D110" s="8" t="e">
        <f t="shared" si="6"/>
        <v>#VALUE!</v>
      </c>
      <c r="E110" s="8" t="e">
        <f t="shared" si="4"/>
        <v>#VALUE!</v>
      </c>
      <c r="F110" s="15"/>
      <c r="G110" s="15"/>
    </row>
    <row r="111" spans="1:7" x14ac:dyDescent="0.2">
      <c r="A111" s="8">
        <f t="shared" si="8"/>
        <v>17.5</v>
      </c>
      <c r="B111" s="20" t="str">
        <f t="shared" si="7"/>
        <v/>
      </c>
      <c r="C111" s="8" t="e">
        <f t="shared" si="9"/>
        <v>#VALUE!</v>
      </c>
      <c r="D111" s="8" t="e">
        <f t="shared" si="6"/>
        <v>#VALUE!</v>
      </c>
      <c r="E111" s="8" t="e">
        <f t="shared" si="4"/>
        <v>#VALUE!</v>
      </c>
      <c r="F111" s="15"/>
      <c r="G111" s="15"/>
    </row>
    <row r="112" spans="1:7" x14ac:dyDescent="0.2">
      <c r="A112" s="8">
        <f t="shared" si="8"/>
        <v>18</v>
      </c>
      <c r="B112" s="20" t="str">
        <f t="shared" si="7"/>
        <v/>
      </c>
      <c r="C112" s="8" t="e">
        <f t="shared" si="9"/>
        <v>#VALUE!</v>
      </c>
      <c r="D112" s="8" t="e">
        <f t="shared" si="6"/>
        <v>#VALUE!</v>
      </c>
      <c r="E112" s="8" t="e">
        <f t="shared" si="4"/>
        <v>#VALUE!</v>
      </c>
      <c r="F112" s="15"/>
      <c r="G112" s="15"/>
    </row>
    <row r="113" spans="1:7" x14ac:dyDescent="0.2">
      <c r="A113" s="8">
        <f t="shared" si="8"/>
        <v>18.5</v>
      </c>
      <c r="B113" s="20" t="str">
        <f t="shared" si="7"/>
        <v/>
      </c>
      <c r="C113" s="8" t="e">
        <f t="shared" si="9"/>
        <v>#VALUE!</v>
      </c>
      <c r="D113" s="8" t="e">
        <f t="shared" si="6"/>
        <v>#VALUE!</v>
      </c>
      <c r="E113" s="8" t="e">
        <f t="shared" si="4"/>
        <v>#VALUE!</v>
      </c>
      <c r="F113" s="15"/>
      <c r="G113" s="15"/>
    </row>
    <row r="114" spans="1:7" x14ac:dyDescent="0.2">
      <c r="A114" s="8">
        <f t="shared" si="8"/>
        <v>19</v>
      </c>
      <c r="B114" s="20" t="str">
        <f t="shared" si="7"/>
        <v/>
      </c>
      <c r="C114" s="8" t="e">
        <f t="shared" si="9"/>
        <v>#VALUE!</v>
      </c>
      <c r="D114" s="8" t="e">
        <f t="shared" si="6"/>
        <v>#VALUE!</v>
      </c>
      <c r="E114" s="8" t="e">
        <f t="shared" si="4"/>
        <v>#VALUE!</v>
      </c>
      <c r="F114" s="15"/>
      <c r="G114" s="15"/>
    </row>
    <row r="115" spans="1:7" x14ac:dyDescent="0.2">
      <c r="A115" s="8">
        <f t="shared" si="8"/>
        <v>19.5</v>
      </c>
      <c r="B115" s="20" t="str">
        <f t="shared" si="7"/>
        <v/>
      </c>
      <c r="C115" s="8" t="e">
        <f t="shared" si="9"/>
        <v>#VALUE!</v>
      </c>
      <c r="D115" s="8" t="e">
        <f t="shared" si="6"/>
        <v>#VALUE!</v>
      </c>
      <c r="E115" s="8" t="e">
        <f t="shared" si="4"/>
        <v>#VALUE!</v>
      </c>
      <c r="F115" s="15"/>
      <c r="G115" s="15"/>
    </row>
    <row r="116" spans="1:7" x14ac:dyDescent="0.2">
      <c r="A116" s="8">
        <f t="shared" si="8"/>
        <v>20</v>
      </c>
      <c r="B116" s="20" t="str">
        <f t="shared" si="7"/>
        <v/>
      </c>
      <c r="C116" s="8" t="e">
        <f t="shared" si="9"/>
        <v>#VALUE!</v>
      </c>
      <c r="D116" s="8" t="e">
        <f t="shared" si="6"/>
        <v>#VALUE!</v>
      </c>
      <c r="E116" s="8" t="e">
        <f t="shared" si="4"/>
        <v>#VALUE!</v>
      </c>
      <c r="F116" s="15"/>
      <c r="G116" s="15"/>
    </row>
    <row r="117" spans="1:7" x14ac:dyDescent="0.2">
      <c r="A117" s="8">
        <f t="shared" si="8"/>
        <v>20.5</v>
      </c>
      <c r="B117" s="20" t="str">
        <f t="shared" si="7"/>
        <v/>
      </c>
      <c r="C117" s="8" t="e">
        <f t="shared" si="9"/>
        <v>#VALUE!</v>
      </c>
      <c r="D117" s="8" t="e">
        <f t="shared" si="6"/>
        <v>#VALUE!</v>
      </c>
      <c r="E117" s="8" t="e">
        <f t="shared" si="4"/>
        <v>#VALUE!</v>
      </c>
      <c r="F117" s="15"/>
      <c r="G117" s="15"/>
    </row>
    <row r="118" spans="1:7" x14ac:dyDescent="0.2">
      <c r="A118" s="8">
        <f t="shared" si="8"/>
        <v>21</v>
      </c>
      <c r="B118" s="20" t="str">
        <f t="shared" si="7"/>
        <v/>
      </c>
      <c r="C118" s="8" t="e">
        <f t="shared" si="9"/>
        <v>#VALUE!</v>
      </c>
      <c r="D118" s="8" t="e">
        <f t="shared" si="6"/>
        <v>#VALUE!</v>
      </c>
      <c r="E118" s="8" t="e">
        <f t="shared" si="4"/>
        <v>#VALUE!</v>
      </c>
      <c r="F118" s="15"/>
      <c r="G118" s="15"/>
    </row>
    <row r="119" spans="1:7" x14ac:dyDescent="0.2">
      <c r="A119" s="8">
        <f t="shared" si="8"/>
        <v>21.5</v>
      </c>
      <c r="B119" s="20" t="str">
        <f t="shared" si="7"/>
        <v/>
      </c>
      <c r="C119" s="8" t="e">
        <f t="shared" si="9"/>
        <v>#VALUE!</v>
      </c>
      <c r="D119" s="8" t="e">
        <f t="shared" si="6"/>
        <v>#VALUE!</v>
      </c>
      <c r="E119" s="8" t="e">
        <f t="shared" si="4"/>
        <v>#VALUE!</v>
      </c>
      <c r="F119" s="15"/>
      <c r="G119" s="15"/>
    </row>
    <row r="120" spans="1:7" x14ac:dyDescent="0.2">
      <c r="A120" s="8">
        <f t="shared" si="8"/>
        <v>22</v>
      </c>
      <c r="B120" s="20" t="str">
        <f t="shared" si="7"/>
        <v/>
      </c>
      <c r="C120" s="8" t="e">
        <f t="shared" si="9"/>
        <v>#VALUE!</v>
      </c>
      <c r="D120" s="8" t="e">
        <f t="shared" si="6"/>
        <v>#VALUE!</v>
      </c>
      <c r="E120" s="8" t="e">
        <f t="shared" si="4"/>
        <v>#VALUE!</v>
      </c>
      <c r="F120" s="15"/>
      <c r="G120" s="15"/>
    </row>
    <row r="121" spans="1:7" x14ac:dyDescent="0.2">
      <c r="A121" s="8">
        <f t="shared" si="8"/>
        <v>22.5</v>
      </c>
      <c r="B121" s="20" t="str">
        <f t="shared" si="7"/>
        <v/>
      </c>
      <c r="C121" s="8" t="e">
        <f t="shared" si="9"/>
        <v>#VALUE!</v>
      </c>
      <c r="D121" s="8" t="e">
        <f t="shared" si="6"/>
        <v>#VALUE!</v>
      </c>
      <c r="E121" s="8" t="e">
        <f t="shared" si="4"/>
        <v>#VALUE!</v>
      </c>
      <c r="F121" s="15"/>
      <c r="G121" s="15"/>
    </row>
    <row r="122" spans="1:7" x14ac:dyDescent="0.2">
      <c r="A122" s="8">
        <f t="shared" si="8"/>
        <v>23</v>
      </c>
      <c r="B122" s="20" t="str">
        <f t="shared" si="7"/>
        <v/>
      </c>
      <c r="C122" s="8" t="e">
        <f t="shared" si="9"/>
        <v>#VALUE!</v>
      </c>
      <c r="D122" s="8" t="e">
        <f t="shared" si="6"/>
        <v>#VALUE!</v>
      </c>
      <c r="E122" s="8" t="e">
        <f t="shared" si="4"/>
        <v>#VALUE!</v>
      </c>
      <c r="F122" s="15"/>
      <c r="G122" s="15"/>
    </row>
    <row r="123" spans="1:7" x14ac:dyDescent="0.2">
      <c r="A123" s="8">
        <f t="shared" si="8"/>
        <v>23.5</v>
      </c>
      <c r="B123" s="20" t="str">
        <f t="shared" si="7"/>
        <v/>
      </c>
      <c r="C123" s="8" t="e">
        <f t="shared" si="9"/>
        <v>#VALUE!</v>
      </c>
      <c r="D123" s="8" t="e">
        <f t="shared" si="6"/>
        <v>#VALUE!</v>
      </c>
      <c r="E123" s="8" t="e">
        <f t="shared" si="4"/>
        <v>#VALUE!</v>
      </c>
      <c r="F123" s="15"/>
      <c r="G123" s="15"/>
    </row>
    <row r="124" spans="1:7" x14ac:dyDescent="0.2">
      <c r="A124" s="8">
        <f t="shared" si="8"/>
        <v>24</v>
      </c>
      <c r="B124" s="20" t="str">
        <f t="shared" si="7"/>
        <v/>
      </c>
      <c r="C124" s="8" t="e">
        <f t="shared" si="9"/>
        <v>#VALUE!</v>
      </c>
      <c r="D124" s="8" t="e">
        <f t="shared" si="6"/>
        <v>#VALUE!</v>
      </c>
      <c r="E124" s="8" t="e">
        <f t="shared" si="4"/>
        <v>#VALUE!</v>
      </c>
      <c r="F124" s="15"/>
      <c r="G124" s="15"/>
    </row>
    <row r="125" spans="1:7" x14ac:dyDescent="0.2">
      <c r="A125" s="8">
        <f t="shared" si="8"/>
        <v>24.5</v>
      </c>
      <c r="B125" s="20" t="str">
        <f t="shared" si="7"/>
        <v/>
      </c>
      <c r="C125" s="20" t="e">
        <f>(D42+C124)</f>
        <v>#VALUE!</v>
      </c>
      <c r="D125" s="20" t="e">
        <f>($D$42+D124)</f>
        <v>#VALUE!</v>
      </c>
      <c r="E125" s="20" t="e">
        <f>($D$42+E124)</f>
        <v>#VALUE!</v>
      </c>
      <c r="F125" s="15"/>
      <c r="G125" s="15"/>
    </row>
    <row r="126" spans="1:7" x14ac:dyDescent="0.2">
      <c r="A126" s="8">
        <f t="shared" si="8"/>
        <v>25</v>
      </c>
      <c r="B126" s="20" t="str">
        <f t="shared" si="7"/>
        <v/>
      </c>
      <c r="C126" s="8" t="e">
        <f t="shared" ref="C126:C140" si="10">($C$125)*EXP(-$D$34*(A126-24.5))</f>
        <v>#VALUE!</v>
      </c>
      <c r="D126" s="8" t="e">
        <f t="shared" ref="D126:D147" si="11">($D$125)*EXP(-$D$34*(A126-24.5))</f>
        <v>#VALUE!</v>
      </c>
      <c r="E126" s="8" t="e">
        <f t="shared" ref="E126:E148" si="12">($E$125)*EXP(-$D$34*(A126-24.5))</f>
        <v>#VALUE!</v>
      </c>
      <c r="F126" s="15"/>
      <c r="G126" s="15"/>
    </row>
    <row r="127" spans="1:7" x14ac:dyDescent="0.2">
      <c r="A127" s="8">
        <f t="shared" si="8"/>
        <v>25.5</v>
      </c>
      <c r="B127" s="20" t="str">
        <f t="shared" si="7"/>
        <v/>
      </c>
      <c r="C127" s="8" t="e">
        <f t="shared" si="10"/>
        <v>#VALUE!</v>
      </c>
      <c r="D127" s="8" t="e">
        <f t="shared" si="11"/>
        <v>#VALUE!</v>
      </c>
      <c r="E127" s="8" t="e">
        <f t="shared" si="12"/>
        <v>#VALUE!</v>
      </c>
      <c r="F127" s="15"/>
      <c r="G127" s="15"/>
    </row>
    <row r="128" spans="1:7" x14ac:dyDescent="0.2">
      <c r="A128" s="8">
        <f t="shared" si="8"/>
        <v>26</v>
      </c>
      <c r="B128" s="20" t="str">
        <f t="shared" si="7"/>
        <v/>
      </c>
      <c r="C128" s="8" t="e">
        <f t="shared" si="10"/>
        <v>#VALUE!</v>
      </c>
      <c r="D128" s="8" t="e">
        <f t="shared" si="11"/>
        <v>#VALUE!</v>
      </c>
      <c r="E128" s="8" t="e">
        <f t="shared" si="12"/>
        <v>#VALUE!</v>
      </c>
      <c r="F128" s="15"/>
      <c r="G128" s="15"/>
    </row>
    <row r="129" spans="1:7" x14ac:dyDescent="0.2">
      <c r="A129" s="8">
        <f t="shared" si="8"/>
        <v>26.5</v>
      </c>
      <c r="B129" s="20" t="str">
        <f t="shared" si="7"/>
        <v/>
      </c>
      <c r="C129" s="8" t="e">
        <f t="shared" si="10"/>
        <v>#VALUE!</v>
      </c>
      <c r="D129" s="8" t="e">
        <f t="shared" si="11"/>
        <v>#VALUE!</v>
      </c>
      <c r="E129" s="8" t="e">
        <f t="shared" si="12"/>
        <v>#VALUE!</v>
      </c>
      <c r="F129" s="15"/>
      <c r="G129" s="15"/>
    </row>
    <row r="130" spans="1:7" x14ac:dyDescent="0.2">
      <c r="A130" s="8">
        <f t="shared" si="8"/>
        <v>27</v>
      </c>
      <c r="B130" s="20" t="str">
        <f t="shared" si="7"/>
        <v/>
      </c>
      <c r="C130" s="8" t="e">
        <f t="shared" si="10"/>
        <v>#VALUE!</v>
      </c>
      <c r="D130" s="8" t="e">
        <f t="shared" si="11"/>
        <v>#VALUE!</v>
      </c>
      <c r="E130" s="8" t="e">
        <f t="shared" si="12"/>
        <v>#VALUE!</v>
      </c>
      <c r="F130" s="15"/>
      <c r="G130" s="15"/>
    </row>
    <row r="131" spans="1:7" x14ac:dyDescent="0.2">
      <c r="A131" s="8">
        <f t="shared" si="8"/>
        <v>27.5</v>
      </c>
      <c r="B131" s="20" t="str">
        <f t="shared" si="7"/>
        <v/>
      </c>
      <c r="C131" s="8" t="e">
        <f t="shared" si="10"/>
        <v>#VALUE!</v>
      </c>
      <c r="D131" s="8" t="e">
        <f t="shared" si="11"/>
        <v>#VALUE!</v>
      </c>
      <c r="E131" s="8" t="e">
        <f t="shared" si="12"/>
        <v>#VALUE!</v>
      </c>
      <c r="F131" s="15"/>
      <c r="G131" s="15"/>
    </row>
    <row r="132" spans="1:7" x14ac:dyDescent="0.2">
      <c r="A132" s="8">
        <f t="shared" si="8"/>
        <v>28</v>
      </c>
      <c r="B132" s="20" t="str">
        <f t="shared" si="7"/>
        <v/>
      </c>
      <c r="C132" s="8" t="e">
        <f t="shared" si="10"/>
        <v>#VALUE!</v>
      </c>
      <c r="D132" s="8" t="e">
        <f t="shared" si="11"/>
        <v>#VALUE!</v>
      </c>
      <c r="E132" s="8" t="e">
        <f t="shared" si="12"/>
        <v>#VALUE!</v>
      </c>
      <c r="F132" s="15"/>
      <c r="G132" s="15"/>
    </row>
    <row r="133" spans="1:7" x14ac:dyDescent="0.2">
      <c r="A133" s="8">
        <f t="shared" si="8"/>
        <v>28.5</v>
      </c>
      <c r="B133" s="20" t="str">
        <f t="shared" si="7"/>
        <v/>
      </c>
      <c r="C133" s="8" t="e">
        <f t="shared" si="10"/>
        <v>#VALUE!</v>
      </c>
      <c r="D133" s="8" t="e">
        <f t="shared" si="11"/>
        <v>#VALUE!</v>
      </c>
      <c r="E133" s="8" t="e">
        <f t="shared" si="12"/>
        <v>#VALUE!</v>
      </c>
      <c r="F133" s="15"/>
      <c r="G133" s="15"/>
    </row>
    <row r="134" spans="1:7" x14ac:dyDescent="0.2">
      <c r="A134" s="8">
        <f t="shared" si="8"/>
        <v>29</v>
      </c>
      <c r="B134" s="20" t="str">
        <f t="shared" si="7"/>
        <v/>
      </c>
      <c r="C134" s="8" t="e">
        <f t="shared" si="10"/>
        <v>#VALUE!</v>
      </c>
      <c r="D134" s="8" t="e">
        <f t="shared" si="11"/>
        <v>#VALUE!</v>
      </c>
      <c r="E134" s="8" t="e">
        <f t="shared" si="12"/>
        <v>#VALUE!</v>
      </c>
      <c r="F134" s="15"/>
      <c r="G134" s="15"/>
    </row>
    <row r="135" spans="1:7" x14ac:dyDescent="0.2">
      <c r="A135" s="8">
        <f t="shared" si="8"/>
        <v>29.5</v>
      </c>
      <c r="B135" s="20" t="str">
        <f t="shared" si="7"/>
        <v/>
      </c>
      <c r="C135" s="8" t="e">
        <f t="shared" si="10"/>
        <v>#VALUE!</v>
      </c>
      <c r="D135" s="8" t="e">
        <f t="shared" si="11"/>
        <v>#VALUE!</v>
      </c>
      <c r="E135" s="8" t="e">
        <f t="shared" si="12"/>
        <v>#VALUE!</v>
      </c>
      <c r="F135" s="15"/>
      <c r="G135" s="15"/>
    </row>
    <row r="136" spans="1:7" x14ac:dyDescent="0.2">
      <c r="A136" s="8">
        <f t="shared" si="8"/>
        <v>30</v>
      </c>
      <c r="B136" s="20" t="str">
        <f t="shared" si="7"/>
        <v/>
      </c>
      <c r="C136" s="8" t="e">
        <f t="shared" si="10"/>
        <v>#VALUE!</v>
      </c>
      <c r="D136" s="8" t="e">
        <f t="shared" si="11"/>
        <v>#VALUE!</v>
      </c>
      <c r="E136" s="8" t="e">
        <f t="shared" si="12"/>
        <v>#VALUE!</v>
      </c>
      <c r="F136" s="15"/>
      <c r="G136" s="15"/>
    </row>
    <row r="137" spans="1:7" x14ac:dyDescent="0.2">
      <c r="A137" s="8">
        <f t="shared" si="8"/>
        <v>30.5</v>
      </c>
      <c r="B137" s="20" t="str">
        <f t="shared" si="7"/>
        <v/>
      </c>
      <c r="C137" s="8" t="e">
        <f t="shared" si="10"/>
        <v>#VALUE!</v>
      </c>
      <c r="D137" s="8" t="e">
        <f t="shared" si="11"/>
        <v>#VALUE!</v>
      </c>
      <c r="E137" s="8" t="e">
        <f t="shared" si="12"/>
        <v>#VALUE!</v>
      </c>
      <c r="F137" s="15"/>
      <c r="G137" s="15"/>
    </row>
    <row r="138" spans="1:7" x14ac:dyDescent="0.2">
      <c r="A138" s="8">
        <f t="shared" si="8"/>
        <v>31</v>
      </c>
      <c r="B138" s="20" t="str">
        <f t="shared" si="7"/>
        <v/>
      </c>
      <c r="C138" s="8" t="e">
        <f t="shared" si="10"/>
        <v>#VALUE!</v>
      </c>
      <c r="D138" s="8" t="e">
        <f t="shared" si="11"/>
        <v>#VALUE!</v>
      </c>
      <c r="E138" s="8" t="e">
        <f t="shared" si="12"/>
        <v>#VALUE!</v>
      </c>
      <c r="F138" s="15"/>
      <c r="G138" s="15"/>
    </row>
    <row r="139" spans="1:7" x14ac:dyDescent="0.2">
      <c r="A139" s="8">
        <f t="shared" si="8"/>
        <v>31.5</v>
      </c>
      <c r="B139" s="20" t="str">
        <f t="shared" ref="B139:B148" si="13">IF($D$40=8,C139,IF($D$40=12,D139,IF($D$40=24,E139,"")))</f>
        <v/>
      </c>
      <c r="C139" s="8" t="e">
        <f t="shared" si="10"/>
        <v>#VALUE!</v>
      </c>
      <c r="D139" s="8" t="e">
        <f t="shared" si="11"/>
        <v>#VALUE!</v>
      </c>
      <c r="E139" s="8" t="e">
        <f t="shared" si="12"/>
        <v>#VALUE!</v>
      </c>
      <c r="F139" s="15"/>
      <c r="G139" s="15"/>
    </row>
    <row r="140" spans="1:7" x14ac:dyDescent="0.2">
      <c r="A140" s="8">
        <f t="shared" si="8"/>
        <v>32</v>
      </c>
      <c r="B140" s="20" t="str">
        <f t="shared" si="13"/>
        <v/>
      </c>
      <c r="C140" s="8" t="e">
        <f t="shared" si="10"/>
        <v>#VALUE!</v>
      </c>
      <c r="D140" s="8" t="e">
        <f t="shared" si="11"/>
        <v>#VALUE!</v>
      </c>
      <c r="E140" s="8" t="e">
        <f t="shared" si="12"/>
        <v>#VALUE!</v>
      </c>
      <c r="F140" s="15"/>
      <c r="G140" s="15"/>
    </row>
    <row r="141" spans="1:7" x14ac:dyDescent="0.2">
      <c r="A141" s="8">
        <f t="shared" si="8"/>
        <v>32.5</v>
      </c>
      <c r="B141" s="20" t="str">
        <f t="shared" si="13"/>
        <v/>
      </c>
      <c r="C141" s="20" t="e">
        <f>($D$42+C140)</f>
        <v>#VALUE!</v>
      </c>
      <c r="D141" s="8" t="e">
        <f t="shared" si="11"/>
        <v>#VALUE!</v>
      </c>
      <c r="E141" s="8" t="e">
        <f t="shared" si="12"/>
        <v>#VALUE!</v>
      </c>
      <c r="F141" s="15"/>
      <c r="G141" s="15"/>
    </row>
    <row r="142" spans="1:7" x14ac:dyDescent="0.2">
      <c r="A142" s="8">
        <f t="shared" ref="A142:A148" si="14">A141+0.5</f>
        <v>33</v>
      </c>
      <c r="B142" s="20" t="str">
        <f t="shared" si="13"/>
        <v/>
      </c>
      <c r="C142" s="8" t="e">
        <f t="shared" ref="C142:C148" si="15">($C$93)*EXP(-$D$34*(A142-32.5))</f>
        <v>#VALUE!</v>
      </c>
      <c r="D142" s="8" t="e">
        <f t="shared" si="11"/>
        <v>#VALUE!</v>
      </c>
      <c r="E142" s="8" t="e">
        <f t="shared" si="12"/>
        <v>#VALUE!</v>
      </c>
      <c r="F142" s="15"/>
      <c r="G142" s="15"/>
    </row>
    <row r="143" spans="1:7" x14ac:dyDescent="0.2">
      <c r="A143" s="8">
        <f t="shared" si="14"/>
        <v>33.5</v>
      </c>
      <c r="B143" s="20" t="str">
        <f t="shared" si="13"/>
        <v/>
      </c>
      <c r="C143" s="8" t="e">
        <f t="shared" si="15"/>
        <v>#VALUE!</v>
      </c>
      <c r="D143" s="8" t="e">
        <f t="shared" si="11"/>
        <v>#VALUE!</v>
      </c>
      <c r="E143" s="8" t="e">
        <f t="shared" si="12"/>
        <v>#VALUE!</v>
      </c>
      <c r="F143" s="15"/>
      <c r="G143" s="15"/>
    </row>
    <row r="144" spans="1:7" x14ac:dyDescent="0.2">
      <c r="A144" s="8">
        <f t="shared" si="14"/>
        <v>34</v>
      </c>
      <c r="B144" s="20" t="str">
        <f t="shared" si="13"/>
        <v/>
      </c>
      <c r="C144" s="8" t="e">
        <f t="shared" si="15"/>
        <v>#VALUE!</v>
      </c>
      <c r="D144" s="8" t="e">
        <f t="shared" si="11"/>
        <v>#VALUE!</v>
      </c>
      <c r="E144" s="8" t="e">
        <f t="shared" si="12"/>
        <v>#VALUE!</v>
      </c>
      <c r="F144" s="15"/>
      <c r="G144" s="15"/>
    </row>
    <row r="145" spans="1:7" x14ac:dyDescent="0.2">
      <c r="A145" s="8">
        <f t="shared" si="14"/>
        <v>34.5</v>
      </c>
      <c r="B145" s="20" t="str">
        <f t="shared" si="13"/>
        <v/>
      </c>
      <c r="C145" s="8" t="e">
        <f t="shared" si="15"/>
        <v>#VALUE!</v>
      </c>
      <c r="D145" s="8" t="e">
        <f t="shared" si="11"/>
        <v>#VALUE!</v>
      </c>
      <c r="E145" s="8" t="e">
        <f t="shared" si="12"/>
        <v>#VALUE!</v>
      </c>
      <c r="F145" s="15"/>
      <c r="G145" s="15"/>
    </row>
    <row r="146" spans="1:7" x14ac:dyDescent="0.2">
      <c r="A146" s="8">
        <f t="shared" si="14"/>
        <v>35</v>
      </c>
      <c r="B146" s="20" t="str">
        <f t="shared" si="13"/>
        <v/>
      </c>
      <c r="C146" s="8" t="e">
        <f t="shared" si="15"/>
        <v>#VALUE!</v>
      </c>
      <c r="D146" s="8" t="e">
        <f t="shared" si="11"/>
        <v>#VALUE!</v>
      </c>
      <c r="E146" s="8" t="e">
        <f t="shared" si="12"/>
        <v>#VALUE!</v>
      </c>
      <c r="F146" s="15"/>
      <c r="G146" s="15"/>
    </row>
    <row r="147" spans="1:7" x14ac:dyDescent="0.2">
      <c r="A147" s="8">
        <f t="shared" si="14"/>
        <v>35.5</v>
      </c>
      <c r="B147" s="20" t="str">
        <f t="shared" si="13"/>
        <v/>
      </c>
      <c r="C147" s="8" t="e">
        <f t="shared" si="15"/>
        <v>#VALUE!</v>
      </c>
      <c r="D147" s="8" t="e">
        <f t="shared" si="11"/>
        <v>#VALUE!</v>
      </c>
      <c r="E147" s="8" t="e">
        <f t="shared" si="12"/>
        <v>#VALUE!</v>
      </c>
      <c r="F147" s="15"/>
      <c r="G147" s="15"/>
    </row>
    <row r="148" spans="1:7" x14ac:dyDescent="0.2">
      <c r="A148" s="8">
        <f t="shared" si="14"/>
        <v>36</v>
      </c>
      <c r="B148" s="20" t="str">
        <f t="shared" si="13"/>
        <v/>
      </c>
      <c r="C148" s="8" t="e">
        <f t="shared" si="15"/>
        <v>#VALUE!</v>
      </c>
      <c r="D148" s="20" t="e">
        <f>D42+D147</f>
        <v>#VALUE!</v>
      </c>
      <c r="E148" s="8" t="e">
        <f t="shared" si="12"/>
        <v>#VALUE!</v>
      </c>
      <c r="F148" s="15"/>
      <c r="G148" s="15"/>
    </row>
  </sheetData>
  <sheetProtection sheet="1" objects="1" scenarios="1" selectLockedCells="1"/>
  <protectedRanges>
    <protectedRange sqref="H9 C28" name="Vancomycin Empiric Dosing Variables"/>
  </protectedRanges>
  <mergeCells count="7">
    <mergeCell ref="A39:A41"/>
    <mergeCell ref="I29:O29"/>
    <mergeCell ref="I30:O30"/>
    <mergeCell ref="A1:I1"/>
    <mergeCell ref="E2:H2"/>
    <mergeCell ref="A2:C2"/>
    <mergeCell ref="I28:O28"/>
  </mergeCells>
  <phoneticPr fontId="6" type="noConversion"/>
  <dataValidations count="16">
    <dataValidation type="whole" allowBlank="1" showInputMessage="1" showErrorMessage="1" error="Calculator only valid for adult patients, please enter an age between 16-104 years" sqref="B3">
      <formula1>15</formula1>
      <formula2>105</formula2>
    </dataValidation>
    <dataValidation type="list" allowBlank="1" showInputMessage="1" showErrorMessage="1" sqref="C13">
      <formula1>$C$14:$C$15</formula1>
    </dataValidation>
    <dataValidation type="list" allowBlank="1" showInputMessage="1" showErrorMessage="1" sqref="C8">
      <formula1>$C$9:$C$10</formula1>
    </dataValidation>
    <dataValidation type="decimal" allowBlank="1" showInputMessage="1" showErrorMessage="1" sqref="G19">
      <formula1>0.45</formula1>
      <formula2>1.4</formula2>
    </dataValidation>
    <dataValidation type="list" allowBlank="1" showInputMessage="1" showErrorMessage="1" sqref="G8">
      <formula1>G9:G12</formula1>
    </dataValidation>
    <dataValidation type="list" allowBlank="1" showInputMessage="1" showErrorMessage="1" sqref="G13">
      <formula1>$G$14:$G$17</formula1>
    </dataValidation>
    <dataValidation type="list" allowBlank="1" showInputMessage="1" showErrorMessage="1" sqref="G20">
      <formula1>$G$21:$G$22</formula1>
    </dataValidation>
    <dataValidation type="decimal" allowBlank="1" showInputMessage="1" showErrorMessage="1" sqref="G26">
      <formula1>0.5</formula1>
      <formula2>2.51</formula2>
    </dataValidation>
    <dataValidation type="decimal" allowBlank="1" showInputMessage="1" showErrorMessage="1" sqref="G25">
      <formula1>45</formula1>
      <formula2>301</formula2>
    </dataValidation>
    <dataValidation type="decimal" allowBlank="1" showInputMessage="1" showErrorMessage="1" sqref="G24">
      <formula1>5</formula1>
      <formula2>150</formula2>
    </dataValidation>
    <dataValidation type="list" allowBlank="1" showInputMessage="1" showErrorMessage="1" sqref="B4">
      <formula1>$B$5:B6</formula1>
    </dataValidation>
    <dataValidation type="decimal" allowBlank="1" showInputMessage="1" showErrorMessage="1" sqref="B7">
      <formula1>0.3</formula1>
      <formula2>6</formula2>
    </dataValidation>
    <dataValidation type="decimal" allowBlank="1" showInputMessage="1" showErrorMessage="1" sqref="G18">
      <formula1>0.2</formula1>
      <formula2>0.55</formula2>
    </dataValidation>
    <dataValidation type="list" allowBlank="1" showInputMessage="1" showErrorMessage="1" sqref="C27">
      <formula1>$C$28:$C$30</formula1>
    </dataValidation>
    <dataValidation type="list" allowBlank="1" showInputMessage="1" showErrorMessage="1" sqref="B27">
      <formula1>$B$28:$B$29</formula1>
    </dataValidation>
    <dataValidation type="decimal" operator="greaterThan" allowBlank="1" showInputMessage="1" showErrorMessage="1" sqref="G7">
      <formula1>0.24</formula1>
    </dataValidation>
  </dataValidations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70" r:id="rId4" name="CommandButton3">
          <controlPr defaultSize="0" autoLine="0" r:id="rId5">
            <anchor moveWithCells="1">
              <from>
                <xdr:col>3</xdr:col>
                <xdr:colOff>85725</xdr:colOff>
                <xdr:row>1</xdr:row>
                <xdr:rowOff>0</xdr:rowOff>
              </from>
              <to>
                <xdr:col>3</xdr:col>
                <xdr:colOff>3000375</xdr:colOff>
                <xdr:row>3</xdr:row>
                <xdr:rowOff>28575</xdr:rowOff>
              </to>
            </anchor>
          </controlPr>
        </control>
      </mc:Choice>
      <mc:Fallback>
        <control shapeId="23570" r:id="rId4" name="CommandButton3"/>
      </mc:Fallback>
    </mc:AlternateContent>
    <mc:AlternateContent xmlns:mc="http://schemas.openxmlformats.org/markup-compatibility/2006">
      <mc:Choice Requires="x14">
        <control shapeId="23559" r:id="rId6" name="CommandButton5">
          <controlPr defaultSize="0" autoLine="0" r:id="rId7">
            <anchor moveWithCells="1">
              <from>
                <xdr:col>8</xdr:col>
                <xdr:colOff>123825</xdr:colOff>
                <xdr:row>1</xdr:row>
                <xdr:rowOff>38100</xdr:rowOff>
              </from>
              <to>
                <xdr:col>8</xdr:col>
                <xdr:colOff>1171575</xdr:colOff>
                <xdr:row>6</xdr:row>
                <xdr:rowOff>0</xdr:rowOff>
              </to>
            </anchor>
          </controlPr>
        </control>
      </mc:Choice>
      <mc:Fallback>
        <control shapeId="23559" r:id="rId6" name="CommandButton5"/>
      </mc:Fallback>
    </mc:AlternateContent>
    <mc:AlternateContent xmlns:mc="http://schemas.openxmlformats.org/markup-compatibility/2006">
      <mc:Choice Requires="x14">
        <control shapeId="23557" r:id="rId8" name="CommandButton4">
          <controlPr defaultSize="0" autoLine="0" r:id="rId9">
            <anchor moveWithCells="1">
              <from>
                <xdr:col>6</xdr:col>
                <xdr:colOff>533400</xdr:colOff>
                <xdr:row>37</xdr:row>
                <xdr:rowOff>28575</xdr:rowOff>
              </from>
              <to>
                <xdr:col>6</xdr:col>
                <xdr:colOff>1400175</xdr:colOff>
                <xdr:row>39</xdr:row>
                <xdr:rowOff>180975</xdr:rowOff>
              </to>
            </anchor>
          </controlPr>
        </control>
      </mc:Choice>
      <mc:Fallback>
        <control shapeId="23557" r:id="rId8" name="CommandButton4"/>
      </mc:Fallback>
    </mc:AlternateContent>
    <mc:AlternateContent xmlns:mc="http://schemas.openxmlformats.org/markup-compatibility/2006">
      <mc:Choice Requires="x14">
        <control shapeId="23555" r:id="rId10" name="CommandButton2">
          <controlPr defaultSize="0" autoLine="0" r:id="rId11">
            <anchor moveWithCells="1">
              <from>
                <xdr:col>3</xdr:col>
                <xdr:colOff>1619250</xdr:colOff>
                <xdr:row>3</xdr:row>
                <xdr:rowOff>76200</xdr:rowOff>
              </from>
              <to>
                <xdr:col>3</xdr:col>
                <xdr:colOff>3009900</xdr:colOff>
                <xdr:row>7</xdr:row>
                <xdr:rowOff>133350</xdr:rowOff>
              </to>
            </anchor>
          </controlPr>
        </control>
      </mc:Choice>
      <mc:Fallback>
        <control shapeId="23555" r:id="rId10" name="CommandButton2"/>
      </mc:Fallback>
    </mc:AlternateContent>
    <mc:AlternateContent xmlns:mc="http://schemas.openxmlformats.org/markup-compatibility/2006">
      <mc:Choice Requires="x14">
        <control shapeId="23554" r:id="rId12" name="CommandButton1">
          <controlPr locked="0" defaultSize="0" autoLine="0" r:id="rId13">
            <anchor moveWithCells="1">
              <from>
                <xdr:col>3</xdr:col>
                <xdr:colOff>85725</xdr:colOff>
                <xdr:row>3</xdr:row>
                <xdr:rowOff>76200</xdr:rowOff>
              </from>
              <to>
                <xdr:col>3</xdr:col>
                <xdr:colOff>1476375</xdr:colOff>
                <xdr:row>7</xdr:row>
                <xdr:rowOff>133350</xdr:rowOff>
              </to>
            </anchor>
          </controlPr>
        </control>
      </mc:Choice>
      <mc:Fallback>
        <control shapeId="23554" r:id="rId1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10"/>
  <sheetViews>
    <sheetView showGridLines="0" workbookViewId="0">
      <selection activeCell="B26" sqref="B26"/>
    </sheetView>
  </sheetViews>
  <sheetFormatPr defaultColWidth="8.85546875" defaultRowHeight="12.75" x14ac:dyDescent="0.2"/>
  <cols>
    <col min="1" max="1" width="43.85546875" style="1" customWidth="1"/>
    <col min="2" max="2" width="26.7109375" style="1" customWidth="1"/>
    <col min="3" max="3" width="14.42578125" style="1" customWidth="1"/>
    <col min="4" max="4" width="47" style="1" customWidth="1"/>
    <col min="5" max="5" width="11" style="1" customWidth="1"/>
    <col min="6" max="6" width="18.140625" style="1" customWidth="1"/>
    <col min="7" max="7" width="25.5703125" style="1" bestFit="1" customWidth="1"/>
    <col min="8" max="8" width="12.7109375" style="1" bestFit="1" customWidth="1"/>
    <col min="9" max="9" width="18.42578125" style="1" customWidth="1"/>
    <col min="10" max="14" width="8.85546875" style="1"/>
    <col min="15" max="15" width="69.7109375" style="1" customWidth="1"/>
    <col min="16" max="16384" width="8.85546875" style="1"/>
  </cols>
  <sheetData>
    <row r="1" spans="1:15" ht="29.25" customHeight="1" x14ac:dyDescent="0.2">
      <c r="A1" s="276" t="s">
        <v>126</v>
      </c>
      <c r="B1" s="276"/>
      <c r="C1" s="276"/>
      <c r="D1" s="276"/>
      <c r="E1" s="131"/>
      <c r="F1" s="131"/>
      <c r="G1" s="131"/>
      <c r="H1" s="131"/>
      <c r="I1" s="131"/>
      <c r="J1" s="2"/>
      <c r="K1" s="2"/>
      <c r="L1" s="2"/>
      <c r="M1" s="2"/>
      <c r="N1" s="2"/>
      <c r="O1" s="2"/>
    </row>
    <row r="2" spans="1:15" ht="18" x14ac:dyDescent="0.25">
      <c r="A2" s="277" t="s">
        <v>181</v>
      </c>
      <c r="B2" s="277"/>
      <c r="C2" s="277"/>
      <c r="D2" s="2"/>
      <c r="E2" s="296"/>
      <c r="F2" s="296"/>
      <c r="G2" s="296"/>
      <c r="H2" s="296"/>
      <c r="I2" s="3"/>
      <c r="J2" s="2"/>
      <c r="K2" s="2"/>
      <c r="L2" s="2"/>
      <c r="M2" s="2"/>
      <c r="N2" s="2"/>
      <c r="O2" s="2"/>
    </row>
    <row r="3" spans="1:15" s="49" customFormat="1" ht="15.75" x14ac:dyDescent="0.25">
      <c r="A3" s="239" t="s">
        <v>28</v>
      </c>
      <c r="B3" s="43"/>
      <c r="C3" s="44" t="s">
        <v>32</v>
      </c>
      <c r="D3" s="45"/>
      <c r="E3" s="141"/>
      <c r="F3" s="141"/>
      <c r="G3" s="155"/>
      <c r="H3" s="155"/>
      <c r="I3" s="142"/>
      <c r="J3" s="45"/>
      <c r="K3" s="45"/>
      <c r="L3" s="45"/>
      <c r="M3" s="45"/>
      <c r="N3" s="45"/>
      <c r="O3" s="45"/>
    </row>
    <row r="4" spans="1:15" s="49" customFormat="1" ht="15.75" x14ac:dyDescent="0.25">
      <c r="A4" s="239" t="s">
        <v>29</v>
      </c>
      <c r="B4" s="43"/>
      <c r="C4" s="44"/>
      <c r="D4" s="45"/>
      <c r="E4" s="141"/>
      <c r="F4" s="141"/>
      <c r="G4" s="155"/>
      <c r="H4" s="142"/>
      <c r="I4" s="156"/>
      <c r="J4" s="45"/>
      <c r="K4" s="45"/>
      <c r="L4" s="45"/>
      <c r="M4" s="45"/>
      <c r="N4" s="45"/>
      <c r="O4" s="45"/>
    </row>
    <row r="5" spans="1:15" s="49" customFormat="1" ht="15.75" hidden="1" x14ac:dyDescent="0.25">
      <c r="A5" s="239"/>
      <c r="B5" s="43" t="s">
        <v>34</v>
      </c>
      <c r="C5" s="44"/>
      <c r="D5" s="45"/>
      <c r="E5" s="141"/>
      <c r="F5" s="141"/>
      <c r="G5" s="155"/>
      <c r="H5" s="142"/>
      <c r="I5" s="156"/>
      <c r="J5" s="45"/>
      <c r="K5" s="45"/>
      <c r="L5" s="45"/>
      <c r="M5" s="45"/>
      <c r="N5" s="45"/>
      <c r="O5" s="45"/>
    </row>
    <row r="6" spans="1:15" s="49" customFormat="1" ht="15.75" hidden="1" x14ac:dyDescent="0.25">
      <c r="A6" s="239"/>
      <c r="B6" s="43" t="s">
        <v>35</v>
      </c>
      <c r="C6" s="44"/>
      <c r="D6" s="45"/>
      <c r="E6" s="141"/>
      <c r="F6" s="141"/>
      <c r="G6" s="155"/>
      <c r="H6" s="142"/>
      <c r="I6" s="156"/>
      <c r="J6" s="45"/>
      <c r="K6" s="45"/>
      <c r="L6" s="45"/>
      <c r="M6" s="45"/>
      <c r="N6" s="45"/>
      <c r="O6" s="45"/>
    </row>
    <row r="7" spans="1:15" s="49" customFormat="1" ht="15.75" x14ac:dyDescent="0.25">
      <c r="A7" s="239" t="s">
        <v>30</v>
      </c>
      <c r="B7" s="43"/>
      <c r="C7" s="44" t="s">
        <v>33</v>
      </c>
      <c r="D7" s="75"/>
      <c r="E7" s="141"/>
      <c r="F7" s="141"/>
      <c r="G7" s="155"/>
      <c r="H7" s="142"/>
      <c r="I7" s="156"/>
      <c r="J7" s="45"/>
      <c r="K7" s="45"/>
      <c r="L7" s="45"/>
      <c r="M7" s="45"/>
      <c r="N7" s="45"/>
      <c r="O7" s="45"/>
    </row>
    <row r="8" spans="1:15" s="49" customFormat="1" ht="15.75" x14ac:dyDescent="0.25">
      <c r="A8" s="239" t="s">
        <v>36</v>
      </c>
      <c r="B8" s="43"/>
      <c r="C8" s="50" t="s">
        <v>41</v>
      </c>
      <c r="D8" s="76">
        <f>IF(C8="inches",B8,B8/2.54)</f>
        <v>0</v>
      </c>
      <c r="E8" s="141"/>
      <c r="F8" s="141"/>
      <c r="G8" s="163"/>
      <c r="H8" s="142"/>
      <c r="I8" s="156"/>
      <c r="J8" s="117" t="s">
        <v>122</v>
      </c>
      <c r="K8" s="45"/>
      <c r="L8" s="45"/>
      <c r="M8" s="45"/>
      <c r="N8" s="45"/>
      <c r="O8" s="45"/>
    </row>
    <row r="9" spans="1:15" s="49" customFormat="1" ht="15.75" hidden="1" x14ac:dyDescent="0.25">
      <c r="A9" s="239"/>
      <c r="B9" s="43"/>
      <c r="C9" s="52" t="s">
        <v>41</v>
      </c>
      <c r="D9" s="76"/>
      <c r="E9" s="141"/>
      <c r="F9" s="141"/>
      <c r="G9" s="163"/>
      <c r="H9" s="157"/>
      <c r="I9" s="142"/>
      <c r="J9" s="45"/>
      <c r="K9" s="45"/>
      <c r="L9" s="45"/>
      <c r="M9" s="45"/>
      <c r="N9" s="45"/>
      <c r="O9" s="45"/>
    </row>
    <row r="10" spans="1:15" s="49" customFormat="1" ht="15.75" hidden="1" x14ac:dyDescent="0.25">
      <c r="A10" s="239"/>
      <c r="B10" s="43"/>
      <c r="C10" s="52" t="s">
        <v>37</v>
      </c>
      <c r="D10" s="76"/>
      <c r="E10" s="141"/>
      <c r="F10" s="141"/>
      <c r="G10" s="163"/>
      <c r="H10" s="142"/>
      <c r="I10" s="142"/>
      <c r="J10" s="45"/>
      <c r="K10" s="45"/>
      <c r="L10" s="45"/>
      <c r="M10" s="45"/>
      <c r="N10" s="45"/>
      <c r="O10" s="45"/>
    </row>
    <row r="11" spans="1:15" s="49" customFormat="1" ht="15.75" x14ac:dyDescent="0.25">
      <c r="A11" s="239" t="s">
        <v>151</v>
      </c>
      <c r="B11" s="54"/>
      <c r="C11" s="50" t="s">
        <v>0</v>
      </c>
      <c r="D11" s="76">
        <f>IF(C11="kg",B11,B11/2.2)</f>
        <v>0</v>
      </c>
      <c r="E11" s="141"/>
      <c r="F11" s="141"/>
      <c r="G11" s="163"/>
      <c r="H11" s="142"/>
      <c r="I11" s="142"/>
      <c r="J11" s="45"/>
      <c r="K11" s="45"/>
      <c r="L11" s="45"/>
      <c r="M11" s="45"/>
      <c r="N11" s="45"/>
      <c r="O11" s="45"/>
    </row>
    <row r="12" spans="1:15" s="49" customFormat="1" ht="15.75" hidden="1" x14ac:dyDescent="0.25">
      <c r="A12" s="44"/>
      <c r="B12" s="55"/>
      <c r="C12" s="56" t="s">
        <v>0</v>
      </c>
      <c r="D12" s="45"/>
      <c r="E12" s="141"/>
      <c r="F12" s="141"/>
      <c r="G12" s="163"/>
      <c r="H12" s="142"/>
      <c r="I12" s="142"/>
      <c r="J12" s="45"/>
      <c r="K12" s="45"/>
      <c r="L12" s="45"/>
      <c r="M12" s="45"/>
      <c r="N12" s="45"/>
      <c r="O12" s="45"/>
    </row>
    <row r="13" spans="1:15" s="49" customFormat="1" ht="15.75" hidden="1" x14ac:dyDescent="0.25">
      <c r="A13" s="44"/>
      <c r="B13" s="55"/>
      <c r="C13" s="56" t="s">
        <v>175</v>
      </c>
      <c r="D13" s="45"/>
      <c r="E13" s="141"/>
      <c r="F13" s="141"/>
      <c r="G13" s="163"/>
      <c r="H13" s="142"/>
      <c r="I13" s="142"/>
      <c r="J13" s="45"/>
      <c r="K13" s="45"/>
      <c r="L13" s="45"/>
      <c r="M13" s="45"/>
      <c r="N13" s="45"/>
      <c r="O13" s="45"/>
    </row>
    <row r="14" spans="1:15" s="49" customFormat="1" ht="15.75" x14ac:dyDescent="0.25">
      <c r="A14" s="57" t="s">
        <v>42</v>
      </c>
      <c r="B14" s="58" t="str">
        <f>IF(B8&lt;1,"",IF(B4="male",50+2.3*(D8-60),45.5+2.3*(D8-60)))</f>
        <v/>
      </c>
      <c r="C14" s="44" t="s">
        <v>0</v>
      </c>
      <c r="D14" s="60" t="s">
        <v>43</v>
      </c>
      <c r="E14" s="141"/>
      <c r="F14" s="141"/>
      <c r="G14" s="155"/>
      <c r="H14" s="142"/>
      <c r="I14" s="142"/>
      <c r="J14" s="45"/>
      <c r="K14" s="45"/>
      <c r="L14" s="45"/>
      <c r="M14" s="45"/>
      <c r="N14" s="45"/>
      <c r="O14" s="45"/>
    </row>
    <row r="15" spans="1:15" s="49" customFormat="1" ht="15.75" x14ac:dyDescent="0.25">
      <c r="A15" s="57" t="s">
        <v>49</v>
      </c>
      <c r="B15" s="58" t="str">
        <f>IF(B11&lt;1,"",B14+0.4*(D11-B14))</f>
        <v/>
      </c>
      <c r="C15" s="44" t="s">
        <v>0</v>
      </c>
      <c r="D15" s="60" t="s">
        <v>198</v>
      </c>
      <c r="E15" s="141"/>
      <c r="F15" s="141"/>
      <c r="G15" s="155"/>
      <c r="H15" s="142"/>
      <c r="I15" s="158"/>
      <c r="J15" s="119"/>
      <c r="K15" s="119"/>
      <c r="L15" s="119"/>
      <c r="M15" s="119"/>
      <c r="N15" s="119"/>
      <c r="O15" s="45"/>
    </row>
    <row r="16" spans="1:15" s="49" customFormat="1" ht="15.75" x14ac:dyDescent="0.25">
      <c r="A16" s="57" t="s">
        <v>195</v>
      </c>
      <c r="B16" s="59" t="str">
        <f>IF(B11&lt;1,"",IF(B4="Male",(140-B3)*B11/72/B7,0.85*(140-B3)*B11/72/B7))</f>
        <v/>
      </c>
      <c r="C16" s="44" t="s">
        <v>1</v>
      </c>
      <c r="D16" s="60" t="s">
        <v>197</v>
      </c>
      <c r="E16" s="141"/>
      <c r="F16" s="141"/>
      <c r="G16" s="155"/>
      <c r="H16" s="142"/>
      <c r="I16" s="158"/>
      <c r="J16" s="119"/>
      <c r="K16" s="119"/>
      <c r="L16" s="119"/>
      <c r="M16" s="119"/>
      <c r="N16" s="119"/>
      <c r="O16" s="45"/>
    </row>
    <row r="17" spans="1:15" s="49" customFormat="1" ht="15.75" x14ac:dyDescent="0.25">
      <c r="A17" s="57" t="s">
        <v>196</v>
      </c>
      <c r="B17" s="59" t="str">
        <f>IF(B15="","",IF(B4="Male",(140-B3)*B15/72/B7,0.85*(140-B3)*B15/72/B7))</f>
        <v/>
      </c>
      <c r="C17" s="44" t="s">
        <v>1</v>
      </c>
      <c r="D17" s="60" t="s">
        <v>44</v>
      </c>
      <c r="E17" s="141"/>
      <c r="F17" s="141"/>
      <c r="G17" s="155"/>
      <c r="H17" s="142"/>
      <c r="I17" s="158"/>
      <c r="J17" s="119"/>
      <c r="K17" s="119"/>
      <c r="L17" s="119"/>
      <c r="M17" s="119"/>
      <c r="N17" s="119"/>
      <c r="O17" s="45"/>
    </row>
    <row r="18" spans="1:15" s="49" customFormat="1" ht="15.75" x14ac:dyDescent="0.25">
      <c r="A18" s="57" t="s">
        <v>183</v>
      </c>
      <c r="B18" s="59" t="str">
        <f>IF(B8&lt;1,"",IF(B4="Male",(140-B3)*B14/72/B7,0.85*(140-B3)*B14/72/B7))</f>
        <v/>
      </c>
      <c r="C18" s="44" t="s">
        <v>1</v>
      </c>
      <c r="D18" s="60" t="s">
        <v>45</v>
      </c>
      <c r="E18" s="141"/>
      <c r="F18" s="141"/>
      <c r="G18" s="155"/>
      <c r="H18" s="142"/>
      <c r="I18" s="158"/>
      <c r="J18" s="119"/>
      <c r="K18" s="119"/>
      <c r="L18" s="119"/>
      <c r="M18" s="119"/>
      <c r="N18" s="119"/>
      <c r="O18" s="45"/>
    </row>
    <row r="19" spans="1:15" ht="18" x14ac:dyDescent="0.25">
      <c r="A19" s="125" t="s">
        <v>120</v>
      </c>
      <c r="B19" s="126"/>
      <c r="C19" s="126"/>
      <c r="D19" s="9"/>
      <c r="E19" s="9"/>
      <c r="F19" s="9"/>
      <c r="G19" s="9"/>
      <c r="H19" s="9"/>
      <c r="I19" s="9"/>
      <c r="J19" s="2"/>
      <c r="K19" s="2"/>
      <c r="L19" s="2"/>
      <c r="M19" s="2"/>
      <c r="N19" s="2"/>
      <c r="O19" s="2"/>
    </row>
    <row r="20" spans="1:15" ht="18" hidden="1" x14ac:dyDescent="0.25">
      <c r="A20" s="9"/>
      <c r="B20" s="121" t="s">
        <v>116</v>
      </c>
      <c r="C20" s="123" t="s">
        <v>118</v>
      </c>
      <c r="D20" s="9"/>
      <c r="E20" s="9"/>
      <c r="F20" s="9"/>
      <c r="G20" s="9"/>
      <c r="H20" s="14"/>
      <c r="I20" s="271"/>
      <c r="J20" s="292"/>
      <c r="K20" s="292"/>
      <c r="L20" s="292"/>
      <c r="M20" s="292"/>
      <c r="N20" s="292"/>
      <c r="O20" s="292"/>
    </row>
    <row r="21" spans="1:15" ht="18" hidden="1" x14ac:dyDescent="0.25">
      <c r="A21" s="9"/>
      <c r="B21" s="121" t="s">
        <v>117</v>
      </c>
      <c r="C21" s="124" t="s">
        <v>207</v>
      </c>
      <c r="D21" s="9"/>
      <c r="E21" s="9"/>
      <c r="F21" s="9"/>
      <c r="G21" s="9"/>
      <c r="H21" s="14"/>
      <c r="I21" s="271"/>
      <c r="J21" s="292"/>
      <c r="K21" s="292"/>
      <c r="L21" s="292"/>
      <c r="M21" s="292"/>
      <c r="N21" s="292"/>
      <c r="O21" s="292"/>
    </row>
    <row r="22" spans="1:15" ht="18" hidden="1" x14ac:dyDescent="0.25">
      <c r="A22" s="9"/>
      <c r="B22" s="9"/>
      <c r="C22" s="124" t="s">
        <v>119</v>
      </c>
      <c r="D22" s="9"/>
      <c r="E22" s="9"/>
      <c r="F22" s="9"/>
      <c r="G22" s="9"/>
      <c r="H22" s="14"/>
      <c r="I22" s="271"/>
      <c r="J22" s="292"/>
      <c r="K22" s="292"/>
      <c r="L22" s="292"/>
      <c r="M22" s="292"/>
      <c r="N22" s="292"/>
      <c r="O22" s="292"/>
    </row>
    <row r="23" spans="1:15" ht="18" hidden="1" x14ac:dyDescent="0.25">
      <c r="A23" s="9"/>
      <c r="B23" s="9"/>
      <c r="C23" s="124"/>
      <c r="D23" s="9"/>
      <c r="E23" s="9"/>
      <c r="F23" s="9"/>
      <c r="G23" s="9"/>
      <c r="H23" s="14"/>
      <c r="I23" s="122"/>
      <c r="J23" s="3"/>
      <c r="K23" s="3"/>
      <c r="L23" s="3"/>
      <c r="M23" s="3"/>
      <c r="N23" s="3"/>
      <c r="O23" s="3"/>
    </row>
    <row r="24" spans="1:15" ht="18" x14ac:dyDescent="0.25">
      <c r="A24" s="293" t="s">
        <v>136</v>
      </c>
      <c r="B24" s="294"/>
      <c r="C24" s="295"/>
      <c r="D24" s="14"/>
      <c r="E24" s="9"/>
      <c r="F24" s="9"/>
      <c r="G24" s="9"/>
      <c r="H24" s="14"/>
      <c r="I24" s="122"/>
      <c r="J24" s="3"/>
      <c r="K24" s="3"/>
      <c r="L24" s="3"/>
      <c r="M24" s="3"/>
      <c r="N24" s="3"/>
      <c r="O24" s="3"/>
    </row>
    <row r="25" spans="1:15" ht="18" x14ac:dyDescent="0.25">
      <c r="A25" s="47" t="s">
        <v>13</v>
      </c>
      <c r="B25" s="48" t="str">
        <f>D25</f>
        <v/>
      </c>
      <c r="C25" s="44" t="s">
        <v>8</v>
      </c>
      <c r="D25" s="117" t="str">
        <f>IF(B19="","",IF(B19="Gent/tobra",IF(C19="Cystitis",4,IF(C19="Gram negative infections",20,IF(C19="synergy",4,""))),IF(C19="Cystitis",17.5,IF(C19="pneumonia",70,IF(C19="synergy","use gentamicin",70)))))</f>
        <v/>
      </c>
      <c r="E25" s="9"/>
      <c r="F25" s="9"/>
      <c r="G25" s="9"/>
      <c r="H25" s="14"/>
      <c r="I25" s="122"/>
      <c r="J25" s="3"/>
      <c r="K25" s="3"/>
      <c r="L25" s="3"/>
      <c r="M25" s="3"/>
      <c r="N25" s="3"/>
      <c r="O25" s="3"/>
    </row>
    <row r="26" spans="1:15" ht="18" x14ac:dyDescent="0.25">
      <c r="A26" s="47" t="s">
        <v>14</v>
      </c>
      <c r="B26" s="48" t="str">
        <f>D26</f>
        <v/>
      </c>
      <c r="C26" s="44" t="s">
        <v>8</v>
      </c>
      <c r="D26" s="159" t="str">
        <f>IF(B19="","",IF(B19="Gent/tobra",IF(C19="Cystitis",1,IF(C19="Gram negative infections",0.25,IF(C19="synergy",1,""))),IF(C19="Cystitis",4,IF(C19="pneumonia",1,IF(C19="synergy","use gentamicin",1)))))</f>
        <v/>
      </c>
      <c r="E26" s="9"/>
      <c r="F26" s="9"/>
      <c r="G26" s="9"/>
      <c r="H26" s="14"/>
      <c r="I26" s="122"/>
      <c r="J26" s="3"/>
      <c r="K26" s="3"/>
      <c r="L26" s="3"/>
      <c r="M26" s="3"/>
      <c r="N26" s="3"/>
      <c r="O26" s="3"/>
    </row>
    <row r="27" spans="1:15" ht="18" x14ac:dyDescent="0.25">
      <c r="A27" s="47" t="s">
        <v>161</v>
      </c>
      <c r="B27" s="221"/>
      <c r="C27" s="44" t="str">
        <f>IF(C19="","",CONCATENATE(ROUND(C28,1)," mL/min"))</f>
        <v/>
      </c>
      <c r="D27" s="117" t="str">
        <f>IF(ISERROR(B11&gt;1.3*B14),"TBW",IF(B11&gt;1.3*B14,"AdjBW","TBW"))</f>
        <v>TBW</v>
      </c>
      <c r="E27" s="9"/>
      <c r="F27" s="9"/>
      <c r="G27" s="9"/>
      <c r="H27" s="14"/>
      <c r="I27" s="122"/>
      <c r="J27" s="3"/>
      <c r="K27" s="3"/>
      <c r="L27" s="3"/>
      <c r="M27" s="3"/>
      <c r="N27" s="3"/>
      <c r="O27" s="3"/>
    </row>
    <row r="28" spans="1:15" ht="18" hidden="1" x14ac:dyDescent="0.25">
      <c r="A28" s="47"/>
      <c r="B28" s="51" t="s">
        <v>152</v>
      </c>
      <c r="C28" s="53">
        <f>IF(B27=B28,B16,IF(B27=B29,B17,IF(B27=B30,B18,B41)))</f>
        <v>0</v>
      </c>
      <c r="D28" s="9"/>
      <c r="E28" s="9"/>
      <c r="F28" s="9"/>
      <c r="G28" s="9"/>
      <c r="H28" s="14"/>
      <c r="I28" s="122"/>
      <c r="J28" s="3"/>
      <c r="K28" s="3"/>
      <c r="L28" s="3"/>
      <c r="M28" s="3"/>
      <c r="N28" s="3"/>
      <c r="O28" s="3"/>
    </row>
    <row r="29" spans="1:15" ht="18" hidden="1" x14ac:dyDescent="0.25">
      <c r="A29" s="47"/>
      <c r="B29" s="51" t="s">
        <v>49</v>
      </c>
      <c r="C29" s="44"/>
      <c r="D29" s="9"/>
      <c r="E29" s="9"/>
      <c r="F29" s="9"/>
      <c r="G29" s="9"/>
      <c r="H29" s="14"/>
      <c r="I29" s="122"/>
      <c r="J29" s="3"/>
      <c r="K29" s="3"/>
      <c r="L29" s="3"/>
      <c r="M29" s="3"/>
      <c r="N29" s="3"/>
      <c r="O29" s="3"/>
    </row>
    <row r="30" spans="1:15" ht="18" hidden="1" x14ac:dyDescent="0.25">
      <c r="A30" s="47"/>
      <c r="B30" s="51" t="s">
        <v>42</v>
      </c>
      <c r="C30" s="44"/>
      <c r="D30" s="9"/>
      <c r="E30" s="9"/>
      <c r="F30" s="9"/>
      <c r="G30" s="9"/>
      <c r="H30" s="14"/>
      <c r="I30" s="122"/>
      <c r="J30" s="3"/>
      <c r="K30" s="3"/>
      <c r="L30" s="3"/>
      <c r="M30" s="3"/>
      <c r="N30" s="3"/>
      <c r="O30" s="3"/>
    </row>
    <row r="31" spans="1:15" ht="18" hidden="1" x14ac:dyDescent="0.25">
      <c r="A31" s="47"/>
      <c r="B31" s="51" t="s">
        <v>51</v>
      </c>
      <c r="C31" s="44"/>
      <c r="D31" s="9"/>
      <c r="E31" s="9"/>
      <c r="F31" s="9"/>
      <c r="G31" s="9"/>
      <c r="H31" s="14"/>
      <c r="I31" s="122"/>
      <c r="J31" s="3"/>
      <c r="K31" s="3"/>
      <c r="L31" s="3"/>
      <c r="M31" s="3"/>
      <c r="N31" s="3"/>
      <c r="O31" s="3"/>
    </row>
    <row r="32" spans="1:15" ht="18" x14ac:dyDescent="0.25">
      <c r="A32" s="47" t="s">
        <v>65</v>
      </c>
      <c r="B32" s="51" t="str">
        <f>D27</f>
        <v>TBW</v>
      </c>
      <c r="C32" s="44" t="str">
        <f>CONCATENATE(ROUND(C33,0)," ",C34)</f>
        <v>0 kg</v>
      </c>
      <c r="D32" s="9"/>
      <c r="E32" s="9"/>
      <c r="F32" s="9"/>
      <c r="G32" s="9"/>
      <c r="H32" s="14"/>
      <c r="I32" s="122"/>
      <c r="J32" s="3"/>
      <c r="K32" s="3"/>
      <c r="L32" s="3"/>
      <c r="M32" s="3"/>
      <c r="N32" s="3"/>
      <c r="O32" s="3"/>
    </row>
    <row r="33" spans="1:15" ht="18" hidden="1" x14ac:dyDescent="0.25">
      <c r="A33" s="47"/>
      <c r="B33" s="51" t="str">
        <f>D27</f>
        <v>TBW</v>
      </c>
      <c r="C33" s="44">
        <f>IF(B32="tBW",B11,IF(B32="AdjBW",B15,IF(B32="IBW",B14,B42)))</f>
        <v>0</v>
      </c>
      <c r="D33" s="9"/>
      <c r="E33" s="9"/>
      <c r="F33" s="9"/>
      <c r="G33" s="9"/>
      <c r="H33" s="14"/>
      <c r="I33" s="122"/>
      <c r="J33" s="3"/>
      <c r="K33" s="3"/>
      <c r="L33" s="3"/>
      <c r="M33" s="3"/>
      <c r="N33" s="3"/>
      <c r="O33" s="3"/>
    </row>
    <row r="34" spans="1:15" ht="18" hidden="1" x14ac:dyDescent="0.25">
      <c r="A34" s="47"/>
      <c r="B34" s="51" t="s">
        <v>49</v>
      </c>
      <c r="C34" s="44" t="s">
        <v>0</v>
      </c>
      <c r="D34" s="9"/>
      <c r="E34" s="9"/>
      <c r="F34" s="9"/>
      <c r="G34" s="9"/>
      <c r="H34" s="14"/>
      <c r="I34" s="122"/>
      <c r="J34" s="3"/>
      <c r="K34" s="3"/>
      <c r="L34" s="3"/>
      <c r="M34" s="3"/>
      <c r="N34" s="3"/>
      <c r="O34" s="3"/>
    </row>
    <row r="35" spans="1:15" ht="18" hidden="1" x14ac:dyDescent="0.25">
      <c r="A35" s="47"/>
      <c r="B35" s="51" t="s">
        <v>42</v>
      </c>
      <c r="C35" s="44"/>
      <c r="D35" s="9"/>
      <c r="E35" s="9"/>
      <c r="F35" s="9"/>
      <c r="G35" s="9"/>
      <c r="H35" s="14"/>
      <c r="I35" s="122"/>
      <c r="J35" s="3"/>
      <c r="K35" s="3"/>
      <c r="L35" s="3"/>
      <c r="M35" s="3"/>
      <c r="N35" s="3"/>
      <c r="O35" s="3"/>
    </row>
    <row r="36" spans="1:15" ht="18" hidden="1" x14ac:dyDescent="0.25">
      <c r="A36" s="47"/>
      <c r="B36" s="51" t="s">
        <v>50</v>
      </c>
      <c r="C36" s="44"/>
      <c r="D36" s="9"/>
      <c r="E36" s="9"/>
      <c r="F36" s="9"/>
      <c r="G36" s="9"/>
      <c r="H36" s="14"/>
      <c r="I36" s="122"/>
      <c r="J36" s="3"/>
      <c r="K36" s="3"/>
      <c r="L36" s="3"/>
      <c r="M36" s="3"/>
      <c r="N36" s="3"/>
      <c r="O36" s="3"/>
    </row>
    <row r="37" spans="1:15" ht="18" x14ac:dyDescent="0.25">
      <c r="A37" s="47" t="s">
        <v>9</v>
      </c>
      <c r="B37" s="165"/>
      <c r="C37" s="44" t="s">
        <v>2</v>
      </c>
      <c r="D37" s="45" t="s">
        <v>149</v>
      </c>
      <c r="E37" s="9"/>
      <c r="F37" s="9"/>
      <c r="G37" s="9"/>
      <c r="H37" s="14"/>
      <c r="I37" s="122"/>
      <c r="J37" s="3"/>
      <c r="K37" s="3"/>
      <c r="L37" s="3"/>
      <c r="M37" s="3"/>
      <c r="N37" s="3"/>
      <c r="O37" s="3"/>
    </row>
    <row r="38" spans="1:15" ht="19.5" x14ac:dyDescent="0.35">
      <c r="A38" s="47" t="s">
        <v>91</v>
      </c>
      <c r="B38" s="48" t="s">
        <v>121</v>
      </c>
      <c r="C38" s="44" t="str">
        <f>IF(B38="","",CONCATENATE(ROUND(C39,3)," ",C40))</f>
        <v>0.01 hr-1</v>
      </c>
      <c r="E38" s="9"/>
      <c r="F38" s="9"/>
      <c r="G38" s="9"/>
      <c r="H38" s="14"/>
      <c r="I38" s="122"/>
      <c r="J38" s="3"/>
      <c r="K38" s="3"/>
      <c r="L38" s="3"/>
      <c r="M38" s="3"/>
      <c r="N38" s="3"/>
      <c r="O38" s="3"/>
    </row>
    <row r="39" spans="1:15" ht="18" hidden="1" x14ac:dyDescent="0.25">
      <c r="A39" s="47"/>
      <c r="B39" s="48" t="s">
        <v>121</v>
      </c>
      <c r="C39" s="44">
        <f>IF(B38=B39,C28*0.003+0.01,IF(B38=B40,C28/B44*60/1000,""))</f>
        <v>0.01</v>
      </c>
      <c r="D39" s="9"/>
      <c r="E39" s="9"/>
      <c r="F39" s="9"/>
      <c r="G39" s="9"/>
      <c r="H39" s="14"/>
      <c r="I39" s="122"/>
      <c r="J39" s="3"/>
      <c r="K39" s="3"/>
      <c r="L39" s="3"/>
      <c r="M39" s="3"/>
      <c r="N39" s="3"/>
      <c r="O39" s="3"/>
    </row>
    <row r="40" spans="1:15" ht="18" hidden="1" x14ac:dyDescent="0.25">
      <c r="A40" s="47"/>
      <c r="B40" s="48" t="s">
        <v>57</v>
      </c>
      <c r="C40" s="44" t="s">
        <v>92</v>
      </c>
      <c r="D40" s="9"/>
      <c r="E40" s="9"/>
      <c r="F40" s="9"/>
      <c r="G40" s="9"/>
      <c r="H40" s="14"/>
      <c r="I40" s="122"/>
      <c r="J40" s="3"/>
      <c r="K40" s="3"/>
      <c r="L40" s="3"/>
      <c r="M40" s="3"/>
      <c r="N40" s="3"/>
      <c r="O40" s="3"/>
    </row>
    <row r="41" spans="1:15" ht="18" x14ac:dyDescent="0.25">
      <c r="A41" s="47" t="s">
        <v>46</v>
      </c>
      <c r="B41" s="48"/>
      <c r="C41" s="44" t="s">
        <v>1</v>
      </c>
      <c r="D41" s="9"/>
      <c r="E41" s="9"/>
      <c r="F41" s="9"/>
      <c r="G41" s="9"/>
      <c r="H41" s="14"/>
      <c r="I41" s="122"/>
      <c r="J41" s="3"/>
      <c r="K41" s="3"/>
      <c r="L41" s="3"/>
      <c r="M41" s="3"/>
      <c r="N41" s="3"/>
      <c r="O41" s="3"/>
    </row>
    <row r="42" spans="1:15" ht="18" x14ac:dyDescent="0.25">
      <c r="A42" s="47" t="s">
        <v>47</v>
      </c>
      <c r="B42" s="48"/>
      <c r="C42" s="44" t="s">
        <v>0</v>
      </c>
      <c r="D42" s="9"/>
      <c r="E42" s="9"/>
      <c r="F42" s="9"/>
      <c r="G42" s="9"/>
      <c r="H42" s="14"/>
      <c r="I42" s="122"/>
      <c r="J42" s="3"/>
      <c r="K42" s="3"/>
      <c r="L42" s="164"/>
      <c r="M42" s="164"/>
      <c r="N42" s="164"/>
      <c r="O42" s="164"/>
    </row>
    <row r="43" spans="1:15" ht="18" x14ac:dyDescent="0.25">
      <c r="A43" s="47" t="s">
        <v>48</v>
      </c>
      <c r="B43" s="48">
        <v>0.5</v>
      </c>
      <c r="C43" s="44" t="s">
        <v>58</v>
      </c>
      <c r="D43" s="9"/>
      <c r="E43" s="9"/>
      <c r="F43" s="9"/>
      <c r="G43" s="9"/>
      <c r="H43" s="14"/>
      <c r="I43" s="122"/>
      <c r="J43" s="3"/>
      <c r="K43" s="3"/>
      <c r="L43" s="164"/>
      <c r="M43" s="164"/>
      <c r="N43" s="164"/>
      <c r="O43" s="164"/>
    </row>
    <row r="44" spans="1:15" ht="15.75" customHeight="1" x14ac:dyDescent="0.3">
      <c r="A44" s="61" t="s">
        <v>93</v>
      </c>
      <c r="B44" s="5" t="str">
        <f>IF(C19="","",B37*C33)</f>
        <v/>
      </c>
      <c r="C44" s="2" t="s">
        <v>5</v>
      </c>
      <c r="D44" s="77" t="s">
        <v>107</v>
      </c>
      <c r="E44" s="2"/>
      <c r="F44" s="2"/>
      <c r="G44" s="2"/>
      <c r="H44" s="2"/>
      <c r="I44" s="2"/>
      <c r="J44" s="2"/>
      <c r="K44" s="2"/>
      <c r="L44" s="19"/>
      <c r="M44" s="19"/>
      <c r="N44" s="19"/>
      <c r="O44" s="19"/>
    </row>
    <row r="45" spans="1:15" ht="15.75" customHeight="1" x14ac:dyDescent="0.3">
      <c r="A45" s="61" t="s">
        <v>94</v>
      </c>
      <c r="B45" s="6" t="str">
        <f>IF(C19="","",C39)</f>
        <v/>
      </c>
      <c r="C45" s="3" t="s">
        <v>59</v>
      </c>
      <c r="D45" s="78" t="s">
        <v>66</v>
      </c>
      <c r="E45" s="2"/>
      <c r="F45" s="2"/>
      <c r="G45" s="2"/>
      <c r="H45" s="2"/>
      <c r="I45" s="2"/>
      <c r="J45" s="2"/>
      <c r="K45" s="2"/>
      <c r="L45" s="19"/>
      <c r="M45" s="19"/>
      <c r="N45" s="19"/>
      <c r="O45" s="19"/>
    </row>
    <row r="46" spans="1:15" ht="15.75" customHeight="1" x14ac:dyDescent="0.3">
      <c r="A46" s="61" t="s">
        <v>95</v>
      </c>
      <c r="B46" s="5" t="str">
        <f>IF(C19="","",0.693/B45)</f>
        <v/>
      </c>
      <c r="C46" s="2" t="s">
        <v>58</v>
      </c>
      <c r="D46" s="77" t="s">
        <v>108</v>
      </c>
      <c r="E46" s="2"/>
      <c r="F46" s="2"/>
      <c r="G46" s="2"/>
      <c r="H46" s="2"/>
      <c r="I46" s="2"/>
      <c r="J46" s="2"/>
      <c r="K46" s="2"/>
      <c r="L46" s="19"/>
      <c r="M46" s="19"/>
      <c r="N46" s="19"/>
      <c r="O46" s="19"/>
    </row>
    <row r="47" spans="1:15" ht="15.75" customHeight="1" x14ac:dyDescent="0.25">
      <c r="A47" s="62" t="s">
        <v>71</v>
      </c>
      <c r="B47" s="17" t="e">
        <f>IF(A38="","",IF(B46&gt;4.5,(B25-B26)*B44,IF(B3&gt;70,(B25-B26)*B44,(B25-B26)*B44)))</f>
        <v>#VALUE!</v>
      </c>
      <c r="C47" s="3" t="s">
        <v>4</v>
      </c>
      <c r="D47" s="187" t="s">
        <v>160</v>
      </c>
      <c r="E47" s="3"/>
      <c r="F47" s="2"/>
      <c r="G47" s="2"/>
      <c r="H47" s="2"/>
      <c r="I47" s="2"/>
      <c r="J47" s="2"/>
      <c r="K47" s="2"/>
      <c r="L47" s="19"/>
      <c r="M47" s="19"/>
      <c r="N47" s="19"/>
      <c r="O47" s="19"/>
    </row>
    <row r="48" spans="1:15" ht="15.75" customHeight="1" thickBot="1" x14ac:dyDescent="0.3">
      <c r="A48" s="64" t="s">
        <v>70</v>
      </c>
      <c r="B48" s="65" t="e">
        <f>IF(A38="","",IF(B46&gt;4.5,LN(B26/B25)/-B45+B43,IF(B3&gt;70,LN(B26/B25)/-B45+B43,LN(B26/B25)/-B45+B43)))</f>
        <v>#VALUE!</v>
      </c>
      <c r="C48" s="63" t="s">
        <v>58</v>
      </c>
      <c r="D48" s="79" t="s">
        <v>110</v>
      </c>
      <c r="E48" s="63"/>
      <c r="F48" s="2"/>
      <c r="G48" s="2"/>
      <c r="H48" s="2"/>
      <c r="I48" s="2"/>
      <c r="J48" s="2"/>
      <c r="K48" s="2"/>
      <c r="L48" s="19"/>
      <c r="M48" s="19"/>
      <c r="N48" s="19"/>
      <c r="O48" s="19"/>
    </row>
    <row r="49" spans="1:15" ht="6.75" customHeight="1" thickTop="1" x14ac:dyDescent="0.2">
      <c r="A49" s="62"/>
      <c r="B49" s="17"/>
      <c r="C49" s="3"/>
      <c r="D49" s="13"/>
      <c r="E49" s="3"/>
      <c r="F49" s="2"/>
      <c r="G49" s="2"/>
      <c r="H49" s="2"/>
      <c r="I49" s="2"/>
      <c r="J49" s="2"/>
      <c r="K49" s="2"/>
      <c r="L49" s="19"/>
      <c r="M49" s="19"/>
      <c r="N49" s="19"/>
      <c r="O49" s="19"/>
    </row>
    <row r="50" spans="1:15" ht="16.5" x14ac:dyDescent="0.25">
      <c r="A50" s="233" t="s">
        <v>38</v>
      </c>
      <c r="B50" s="120" t="str">
        <f>IF(B45="","",E53)</f>
        <v/>
      </c>
      <c r="C50" s="2" t="s">
        <v>4</v>
      </c>
      <c r="D50" s="2"/>
      <c r="F50" s="2"/>
      <c r="G50" s="2"/>
      <c r="H50" s="2"/>
      <c r="I50" s="2"/>
      <c r="J50" s="2"/>
      <c r="K50" s="2"/>
      <c r="L50" s="19"/>
      <c r="M50" s="19"/>
      <c r="N50" s="19"/>
      <c r="O50" s="19"/>
    </row>
    <row r="51" spans="1:15" ht="18" customHeight="1" x14ac:dyDescent="0.25">
      <c r="A51" s="233" t="s">
        <v>188</v>
      </c>
      <c r="B51" s="120" t="str">
        <f>IF(B45="","",D53)</f>
        <v/>
      </c>
      <c r="C51" s="2" t="s">
        <v>58</v>
      </c>
      <c r="D51" s="2"/>
      <c r="E51" s="2"/>
      <c r="F51" s="2"/>
      <c r="G51" s="161"/>
      <c r="H51" s="161"/>
      <c r="I51" s="161"/>
      <c r="J51" s="161"/>
      <c r="K51" s="161"/>
      <c r="L51" s="162"/>
      <c r="M51" s="19"/>
      <c r="N51" s="19"/>
      <c r="O51" s="19"/>
    </row>
    <row r="52" spans="1:15" ht="16.5" customHeight="1" x14ac:dyDescent="0.25">
      <c r="A52" s="233" t="s">
        <v>48</v>
      </c>
      <c r="B52" s="40">
        <v>0.5</v>
      </c>
      <c r="C52" s="2" t="s">
        <v>58</v>
      </c>
      <c r="D52" s="2"/>
      <c r="E52" s="2"/>
      <c r="F52" s="161"/>
      <c r="G52" s="161"/>
      <c r="H52" s="161"/>
      <c r="I52" s="161"/>
      <c r="J52" s="161"/>
      <c r="K52" s="161"/>
      <c r="L52" s="162"/>
      <c r="M52" s="19"/>
      <c r="N52" s="19"/>
      <c r="O52" s="19"/>
    </row>
    <row r="53" spans="1:15" ht="15.75" customHeight="1" x14ac:dyDescent="0.3">
      <c r="A53" s="233" t="s">
        <v>206</v>
      </c>
      <c r="B53" s="5" t="e">
        <f>B50/B44/(1-EXP(-B45*B51))</f>
        <v>#VALUE!</v>
      </c>
      <c r="C53" s="2" t="s">
        <v>8</v>
      </c>
      <c r="D53" s="19" t="e">
        <f>IF(C19="Cystitis",IF(B48&lt;9,8,IF(B48&lt;14.5,12,24)),IF(B48&gt;30,36,24))</f>
        <v>#VALUE!</v>
      </c>
      <c r="E53" s="164" t="e">
        <f>10*ROUND(B47/10,0)</f>
        <v>#VALUE!</v>
      </c>
      <c r="F53" s="188"/>
      <c r="G53" s="161"/>
      <c r="H53" s="161"/>
      <c r="I53" s="161"/>
      <c r="J53" s="161"/>
      <c r="K53" s="161"/>
      <c r="L53" s="162"/>
      <c r="M53" s="160"/>
      <c r="N53" s="19"/>
      <c r="O53" s="19"/>
    </row>
    <row r="54" spans="1:15" ht="15.75" customHeight="1" x14ac:dyDescent="0.3">
      <c r="A54" s="233" t="s">
        <v>205</v>
      </c>
      <c r="B54" s="185" t="e">
        <f>B53*EXP(-B45*(B51-B52))</f>
        <v>#VALUE!</v>
      </c>
      <c r="C54" s="2" t="s">
        <v>8</v>
      </c>
      <c r="D54" s="19" t="e">
        <f>E53/B44</f>
        <v>#VALUE!</v>
      </c>
      <c r="E54" s="19"/>
      <c r="F54" s="188"/>
      <c r="G54" s="161"/>
      <c r="H54" s="161"/>
      <c r="I54" s="161"/>
      <c r="J54" s="161"/>
      <c r="K54" s="161"/>
      <c r="L54" s="162"/>
      <c r="M54" s="19"/>
      <c r="N54" s="19"/>
      <c r="O54" s="19"/>
    </row>
    <row r="55" spans="1:15" x14ac:dyDescent="0.2">
      <c r="A55" s="10"/>
      <c r="B55" s="11"/>
      <c r="C55" s="12"/>
      <c r="D55" s="77"/>
      <c r="E55" s="77"/>
      <c r="F55" s="77"/>
      <c r="G55" s="2"/>
      <c r="H55" s="161"/>
      <c r="I55" s="161"/>
      <c r="J55" s="161"/>
      <c r="K55" s="161"/>
      <c r="L55" s="162"/>
      <c r="M55" s="162"/>
      <c r="N55" s="162"/>
      <c r="O55" s="19"/>
    </row>
    <row r="56" spans="1:15" ht="22.5" x14ac:dyDescent="0.3">
      <c r="A56" s="7" t="str">
        <f>IF(B11&gt;0,CONCATENATE("Graph of ",B50," mg IV over ",B52," hour(s) every ", B51," hours"),"")</f>
        <v/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19"/>
      <c r="M56" s="19"/>
      <c r="N56" s="19"/>
      <c r="O56" s="19"/>
    </row>
    <row r="57" spans="1:15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19"/>
      <c r="M57" s="19"/>
      <c r="N57" s="19"/>
      <c r="O57" s="19"/>
    </row>
    <row r="58" spans="1:15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19"/>
      <c r="M58" s="19"/>
      <c r="N58" s="19"/>
      <c r="O58" s="19"/>
    </row>
    <row r="59" spans="1:15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8" x14ac:dyDescent="0.25">
      <c r="A79" s="189"/>
      <c r="B79" s="189"/>
      <c r="C79" s="189"/>
      <c r="D79" s="189"/>
      <c r="E79" s="189"/>
      <c r="F79" s="189"/>
      <c r="G79" s="189"/>
      <c r="H79" s="2"/>
      <c r="I79" s="2"/>
      <c r="J79" s="2"/>
      <c r="K79" s="2"/>
      <c r="L79" s="2"/>
      <c r="M79" s="2"/>
      <c r="N79" s="2"/>
      <c r="O79" s="2"/>
    </row>
    <row r="80" spans="1:15" ht="12.75" customHeight="1" x14ac:dyDescent="0.2">
      <c r="A80" s="190"/>
      <c r="B80" s="190"/>
      <c r="C80" s="190"/>
      <c r="D80" s="190"/>
      <c r="E80" s="190"/>
      <c r="F80" s="190"/>
      <c r="G80" s="190"/>
      <c r="H80" s="2"/>
      <c r="I80" s="2"/>
      <c r="J80" s="2"/>
      <c r="K80" s="2"/>
      <c r="L80" s="2"/>
      <c r="M80" s="2"/>
      <c r="N80" s="2"/>
      <c r="O80" s="2"/>
    </row>
    <row r="81" spans="1:7" x14ac:dyDescent="0.2">
      <c r="A81" s="190"/>
      <c r="B81" s="190"/>
      <c r="C81" s="190"/>
      <c r="D81" s="190"/>
      <c r="E81" s="190"/>
      <c r="F81" s="190"/>
      <c r="G81" s="190"/>
    </row>
    <row r="82" spans="1:7" x14ac:dyDescent="0.2">
      <c r="A82" s="190"/>
      <c r="B82" s="190"/>
      <c r="C82" s="190"/>
      <c r="D82" s="190"/>
      <c r="E82" s="190"/>
      <c r="F82" s="190"/>
      <c r="G82" s="190"/>
    </row>
    <row r="83" spans="1:7" x14ac:dyDescent="0.2">
      <c r="A83" s="15"/>
      <c r="B83" s="15"/>
      <c r="C83" s="15"/>
      <c r="D83" s="15"/>
      <c r="E83" s="15"/>
      <c r="F83" s="15"/>
      <c r="G83" s="8" t="e">
        <f>CONCATENATE("Patient is a ",B3," year old ", B4," on empiric aminoglycoside therapy for [insert diagnosis]. Current SCr = ",B7," mg/dL. Using a desired Cmax of ",G4, " and Cmin of ",G7," a calculated dose of ",ROUND(B47,1)," mg every ",ROUND(B48,1)," hours is calculated (dose = Desired Cmax*calculated Vd;interval determined by natural log trough/peak divided by -Ke plus the infusion time). Will start patient on ",B50," mg every ",B51," hours to conform to traditional dosages and dosing intervals. Predicted Cmax =",ROUND(B53,1)," Cmin = ",ROUND(B54,1))</f>
        <v>#VALUE!</v>
      </c>
    </row>
    <row r="84" spans="1:7" x14ac:dyDescent="0.2">
      <c r="A84" s="15"/>
      <c r="B84" s="15"/>
      <c r="C84" s="15"/>
      <c r="D84" s="15"/>
      <c r="E84" s="15"/>
      <c r="F84" s="15"/>
    </row>
    <row r="85" spans="1:7" x14ac:dyDescent="0.2">
      <c r="A85" s="8" t="s">
        <v>127</v>
      </c>
      <c r="B85" s="8" t="s">
        <v>128</v>
      </c>
      <c r="C85" s="8" t="s">
        <v>67</v>
      </c>
      <c r="D85" s="8" t="s">
        <v>68</v>
      </c>
      <c r="E85" s="8" t="s">
        <v>69</v>
      </c>
      <c r="F85" s="15"/>
    </row>
    <row r="86" spans="1:7" x14ac:dyDescent="0.2">
      <c r="A86" s="8">
        <v>-1</v>
      </c>
      <c r="B86" s="20" t="str">
        <f t="shared" ref="B86:B117" si="0">IF($B$51=8,C86,IF($B$51=12,D86,IF($B$51=24,E86,"")))</f>
        <v/>
      </c>
      <c r="C86" s="8">
        <v>0</v>
      </c>
      <c r="D86" s="8">
        <v>0</v>
      </c>
      <c r="E86" s="8">
        <v>0</v>
      </c>
      <c r="F86" s="15"/>
      <c r="G86" s="15"/>
    </row>
    <row r="87" spans="1:7" x14ac:dyDescent="0.2">
      <c r="A87" s="8">
        <v>0</v>
      </c>
      <c r="B87" s="20" t="str">
        <f t="shared" si="0"/>
        <v/>
      </c>
      <c r="C87" s="20" t="e">
        <f>D54</f>
        <v>#VALUE!</v>
      </c>
      <c r="D87" s="20" t="e">
        <f>D54</f>
        <v>#VALUE!</v>
      </c>
      <c r="E87" s="20" t="e">
        <f>D54</f>
        <v>#VALUE!</v>
      </c>
      <c r="F87" s="15"/>
      <c r="G87" s="15"/>
    </row>
    <row r="88" spans="1:7" x14ac:dyDescent="0.2">
      <c r="A88" s="8">
        <v>0.5</v>
      </c>
      <c r="B88" s="20" t="str">
        <f t="shared" si="0"/>
        <v/>
      </c>
      <c r="C88" s="8" t="e">
        <f>$D$54*EXP(-$B$45*A88)</f>
        <v>#VALUE!</v>
      </c>
      <c r="D88" s="8" t="e">
        <f>$D$54*EXP(-$B$45*A88)</f>
        <v>#VALUE!</v>
      </c>
      <c r="E88" s="8" t="e">
        <f>$D$54*EXP(-$B$45*A88)</f>
        <v>#VALUE!</v>
      </c>
      <c r="F88" s="15"/>
      <c r="G88" s="15"/>
    </row>
    <row r="89" spans="1:7" x14ac:dyDescent="0.2">
      <c r="A89" s="8">
        <f t="shared" ref="A89:A120" si="1">A88+0.5</f>
        <v>1</v>
      </c>
      <c r="B89" s="20" t="str">
        <f t="shared" si="0"/>
        <v/>
      </c>
      <c r="C89" s="8" t="e">
        <f t="shared" ref="C89:C103" si="2">$D$54*EXP(-$B$45*A89)</f>
        <v>#VALUE!</v>
      </c>
      <c r="D89" s="8" t="e">
        <f t="shared" ref="D89:D111" si="3">$D$54*EXP(-$B$45*A89)</f>
        <v>#VALUE!</v>
      </c>
      <c r="E89" s="8" t="e">
        <f t="shared" ref="E89:E135" si="4">$D$54*EXP(-$B$45*A89)</f>
        <v>#VALUE!</v>
      </c>
      <c r="F89" s="15"/>
      <c r="G89" s="15"/>
    </row>
    <row r="90" spans="1:7" x14ac:dyDescent="0.2">
      <c r="A90" s="8">
        <f t="shared" si="1"/>
        <v>1.5</v>
      </c>
      <c r="B90" s="20" t="str">
        <f t="shared" si="0"/>
        <v/>
      </c>
      <c r="C90" s="8" t="e">
        <f t="shared" si="2"/>
        <v>#VALUE!</v>
      </c>
      <c r="D90" s="8" t="e">
        <f t="shared" si="3"/>
        <v>#VALUE!</v>
      </c>
      <c r="E90" s="8" t="e">
        <f t="shared" si="4"/>
        <v>#VALUE!</v>
      </c>
      <c r="F90" s="15"/>
      <c r="G90" s="15"/>
    </row>
    <row r="91" spans="1:7" x14ac:dyDescent="0.2">
      <c r="A91" s="8">
        <f t="shared" si="1"/>
        <v>2</v>
      </c>
      <c r="B91" s="20" t="str">
        <f t="shared" si="0"/>
        <v/>
      </c>
      <c r="C91" s="8" t="e">
        <f t="shared" si="2"/>
        <v>#VALUE!</v>
      </c>
      <c r="D91" s="8" t="e">
        <f t="shared" si="3"/>
        <v>#VALUE!</v>
      </c>
      <c r="E91" s="8" t="e">
        <f t="shared" si="4"/>
        <v>#VALUE!</v>
      </c>
      <c r="F91" s="15"/>
      <c r="G91" s="26"/>
    </row>
    <row r="92" spans="1:7" x14ac:dyDescent="0.2">
      <c r="A92" s="8">
        <f t="shared" si="1"/>
        <v>2.5</v>
      </c>
      <c r="B92" s="20" t="str">
        <f t="shared" si="0"/>
        <v/>
      </c>
      <c r="C92" s="8" t="e">
        <f t="shared" si="2"/>
        <v>#VALUE!</v>
      </c>
      <c r="D92" s="8" t="e">
        <f t="shared" si="3"/>
        <v>#VALUE!</v>
      </c>
      <c r="E92" s="8" t="e">
        <f t="shared" si="4"/>
        <v>#VALUE!</v>
      </c>
      <c r="F92" s="15"/>
      <c r="G92" s="26"/>
    </row>
    <row r="93" spans="1:7" x14ac:dyDescent="0.2">
      <c r="A93" s="8">
        <f t="shared" si="1"/>
        <v>3</v>
      </c>
      <c r="B93" s="20" t="str">
        <f t="shared" si="0"/>
        <v/>
      </c>
      <c r="C93" s="8" t="e">
        <f t="shared" si="2"/>
        <v>#VALUE!</v>
      </c>
      <c r="D93" s="8" t="e">
        <f t="shared" si="3"/>
        <v>#VALUE!</v>
      </c>
      <c r="E93" s="8" t="e">
        <f t="shared" si="4"/>
        <v>#VALUE!</v>
      </c>
      <c r="F93" s="15"/>
      <c r="G93" s="26"/>
    </row>
    <row r="94" spans="1:7" x14ac:dyDescent="0.2">
      <c r="A94" s="8">
        <f t="shared" si="1"/>
        <v>3.5</v>
      </c>
      <c r="B94" s="20" t="str">
        <f t="shared" si="0"/>
        <v/>
      </c>
      <c r="C94" s="8" t="e">
        <f t="shared" si="2"/>
        <v>#VALUE!</v>
      </c>
      <c r="D94" s="8" t="e">
        <f t="shared" si="3"/>
        <v>#VALUE!</v>
      </c>
      <c r="E94" s="8" t="e">
        <f t="shared" si="4"/>
        <v>#VALUE!</v>
      </c>
      <c r="F94" s="15"/>
      <c r="G94" s="26"/>
    </row>
    <row r="95" spans="1:7" x14ac:dyDescent="0.2">
      <c r="A95" s="8">
        <f t="shared" si="1"/>
        <v>4</v>
      </c>
      <c r="B95" s="20" t="str">
        <f t="shared" si="0"/>
        <v/>
      </c>
      <c r="C95" s="8" t="e">
        <f t="shared" si="2"/>
        <v>#VALUE!</v>
      </c>
      <c r="D95" s="8" t="e">
        <f t="shared" si="3"/>
        <v>#VALUE!</v>
      </c>
      <c r="E95" s="8" t="e">
        <f t="shared" si="4"/>
        <v>#VALUE!</v>
      </c>
      <c r="F95" s="15"/>
      <c r="G95" s="26"/>
    </row>
    <row r="96" spans="1:7" x14ac:dyDescent="0.2">
      <c r="A96" s="8">
        <f t="shared" si="1"/>
        <v>4.5</v>
      </c>
      <c r="B96" s="20" t="str">
        <f t="shared" si="0"/>
        <v/>
      </c>
      <c r="C96" s="8" t="e">
        <f t="shared" si="2"/>
        <v>#VALUE!</v>
      </c>
      <c r="D96" s="8" t="e">
        <f t="shared" si="3"/>
        <v>#VALUE!</v>
      </c>
      <c r="E96" s="8" t="e">
        <f t="shared" si="4"/>
        <v>#VALUE!</v>
      </c>
      <c r="F96" s="15"/>
      <c r="G96" s="26"/>
    </row>
    <row r="97" spans="1:7" x14ac:dyDescent="0.2">
      <c r="A97" s="8">
        <f t="shared" si="1"/>
        <v>5</v>
      </c>
      <c r="B97" s="20" t="str">
        <f t="shared" si="0"/>
        <v/>
      </c>
      <c r="C97" s="8" t="e">
        <f t="shared" si="2"/>
        <v>#VALUE!</v>
      </c>
      <c r="D97" s="8" t="e">
        <f t="shared" si="3"/>
        <v>#VALUE!</v>
      </c>
      <c r="E97" s="8" t="e">
        <f t="shared" si="4"/>
        <v>#VALUE!</v>
      </c>
      <c r="F97" s="15"/>
      <c r="G97" s="26"/>
    </row>
    <row r="98" spans="1:7" x14ac:dyDescent="0.2">
      <c r="A98" s="8">
        <f t="shared" si="1"/>
        <v>5.5</v>
      </c>
      <c r="B98" s="20" t="str">
        <f t="shared" si="0"/>
        <v/>
      </c>
      <c r="C98" s="8" t="e">
        <f t="shared" si="2"/>
        <v>#VALUE!</v>
      </c>
      <c r="D98" s="8" t="e">
        <f t="shared" si="3"/>
        <v>#VALUE!</v>
      </c>
      <c r="E98" s="8" t="e">
        <f t="shared" si="4"/>
        <v>#VALUE!</v>
      </c>
      <c r="F98" s="15"/>
      <c r="G98" s="26"/>
    </row>
    <row r="99" spans="1:7" x14ac:dyDescent="0.2">
      <c r="A99" s="8">
        <f t="shared" si="1"/>
        <v>6</v>
      </c>
      <c r="B99" s="20" t="str">
        <f t="shared" si="0"/>
        <v/>
      </c>
      <c r="C99" s="8" t="e">
        <f t="shared" si="2"/>
        <v>#VALUE!</v>
      </c>
      <c r="D99" s="8" t="e">
        <f t="shared" si="3"/>
        <v>#VALUE!</v>
      </c>
      <c r="E99" s="8" t="e">
        <f t="shared" si="4"/>
        <v>#VALUE!</v>
      </c>
      <c r="F99" s="15"/>
      <c r="G99" s="26"/>
    </row>
    <row r="100" spans="1:7" x14ac:dyDescent="0.2">
      <c r="A100" s="8">
        <f t="shared" si="1"/>
        <v>6.5</v>
      </c>
      <c r="B100" s="20" t="str">
        <f t="shared" si="0"/>
        <v/>
      </c>
      <c r="C100" s="8" t="e">
        <f t="shared" si="2"/>
        <v>#VALUE!</v>
      </c>
      <c r="D100" s="8" t="e">
        <f t="shared" si="3"/>
        <v>#VALUE!</v>
      </c>
      <c r="E100" s="8" t="e">
        <f t="shared" si="4"/>
        <v>#VALUE!</v>
      </c>
      <c r="F100" s="15"/>
      <c r="G100" s="26"/>
    </row>
    <row r="101" spans="1:7" x14ac:dyDescent="0.2">
      <c r="A101" s="8">
        <f t="shared" si="1"/>
        <v>7</v>
      </c>
      <c r="B101" s="20" t="str">
        <f t="shared" si="0"/>
        <v/>
      </c>
      <c r="C101" s="8" t="e">
        <f t="shared" si="2"/>
        <v>#VALUE!</v>
      </c>
      <c r="D101" s="8" t="e">
        <f t="shared" si="3"/>
        <v>#VALUE!</v>
      </c>
      <c r="E101" s="8" t="e">
        <f t="shared" si="4"/>
        <v>#VALUE!</v>
      </c>
      <c r="F101" s="15"/>
      <c r="G101" s="26"/>
    </row>
    <row r="102" spans="1:7" x14ac:dyDescent="0.2">
      <c r="A102" s="8">
        <f t="shared" si="1"/>
        <v>7.5</v>
      </c>
      <c r="B102" s="20" t="str">
        <f t="shared" si="0"/>
        <v/>
      </c>
      <c r="C102" s="8" t="e">
        <f t="shared" si="2"/>
        <v>#VALUE!</v>
      </c>
      <c r="D102" s="8" t="e">
        <f t="shared" si="3"/>
        <v>#VALUE!</v>
      </c>
      <c r="E102" s="8" t="e">
        <f t="shared" si="4"/>
        <v>#VALUE!</v>
      </c>
      <c r="F102" s="15"/>
      <c r="G102" s="15"/>
    </row>
    <row r="103" spans="1:7" x14ac:dyDescent="0.2">
      <c r="A103" s="8">
        <f t="shared" si="1"/>
        <v>8</v>
      </c>
      <c r="B103" s="20" t="str">
        <f t="shared" si="0"/>
        <v/>
      </c>
      <c r="C103" s="8" t="e">
        <f t="shared" si="2"/>
        <v>#VALUE!</v>
      </c>
      <c r="D103" s="8" t="e">
        <f t="shared" si="3"/>
        <v>#VALUE!</v>
      </c>
      <c r="E103" s="8" t="e">
        <f t="shared" si="4"/>
        <v>#VALUE!</v>
      </c>
      <c r="F103" s="15"/>
      <c r="G103" s="15"/>
    </row>
    <row r="104" spans="1:7" x14ac:dyDescent="0.2">
      <c r="A104" s="8">
        <f t="shared" si="1"/>
        <v>8.5</v>
      </c>
      <c r="B104" s="20" t="str">
        <f t="shared" si="0"/>
        <v/>
      </c>
      <c r="C104" s="8" t="e">
        <f>($D$54+C103)</f>
        <v>#VALUE!</v>
      </c>
      <c r="D104" s="8" t="e">
        <f t="shared" si="3"/>
        <v>#VALUE!</v>
      </c>
      <c r="E104" s="8" t="e">
        <f t="shared" si="4"/>
        <v>#VALUE!</v>
      </c>
      <c r="F104" s="15"/>
      <c r="G104" s="15"/>
    </row>
    <row r="105" spans="1:7" x14ac:dyDescent="0.2">
      <c r="A105" s="8">
        <f t="shared" si="1"/>
        <v>9</v>
      </c>
      <c r="B105" s="20" t="str">
        <f t="shared" si="0"/>
        <v/>
      </c>
      <c r="C105" s="8" t="e">
        <f t="shared" ref="C105:C119" si="5">($C$104)*EXP(-$B$45*(A105-8.5))</f>
        <v>#VALUE!</v>
      </c>
      <c r="D105" s="8" t="e">
        <f t="shared" si="3"/>
        <v>#VALUE!</v>
      </c>
      <c r="E105" s="8" t="e">
        <f t="shared" si="4"/>
        <v>#VALUE!</v>
      </c>
      <c r="F105" s="15"/>
      <c r="G105" s="15"/>
    </row>
    <row r="106" spans="1:7" x14ac:dyDescent="0.2">
      <c r="A106" s="8">
        <f t="shared" si="1"/>
        <v>9.5</v>
      </c>
      <c r="B106" s="20" t="str">
        <f t="shared" si="0"/>
        <v/>
      </c>
      <c r="C106" s="8" t="e">
        <f t="shared" si="5"/>
        <v>#VALUE!</v>
      </c>
      <c r="D106" s="8" t="e">
        <f t="shared" si="3"/>
        <v>#VALUE!</v>
      </c>
      <c r="E106" s="8" t="e">
        <f t="shared" si="4"/>
        <v>#VALUE!</v>
      </c>
      <c r="F106" s="15"/>
      <c r="G106" s="15"/>
    </row>
    <row r="107" spans="1:7" x14ac:dyDescent="0.2">
      <c r="A107" s="8">
        <f t="shared" si="1"/>
        <v>10</v>
      </c>
      <c r="B107" s="20" t="str">
        <f t="shared" si="0"/>
        <v/>
      </c>
      <c r="C107" s="8" t="e">
        <f t="shared" si="5"/>
        <v>#VALUE!</v>
      </c>
      <c r="D107" s="8" t="e">
        <f t="shared" si="3"/>
        <v>#VALUE!</v>
      </c>
      <c r="E107" s="8" t="e">
        <f t="shared" si="4"/>
        <v>#VALUE!</v>
      </c>
      <c r="F107" s="15"/>
      <c r="G107" s="15"/>
    </row>
    <row r="108" spans="1:7" x14ac:dyDescent="0.2">
      <c r="A108" s="8">
        <f t="shared" si="1"/>
        <v>10.5</v>
      </c>
      <c r="B108" s="20" t="str">
        <f t="shared" si="0"/>
        <v/>
      </c>
      <c r="C108" s="8" t="e">
        <f t="shared" si="5"/>
        <v>#VALUE!</v>
      </c>
      <c r="D108" s="8" t="e">
        <f t="shared" si="3"/>
        <v>#VALUE!</v>
      </c>
      <c r="E108" s="8" t="e">
        <f t="shared" si="4"/>
        <v>#VALUE!</v>
      </c>
      <c r="F108" s="15"/>
      <c r="G108" s="15"/>
    </row>
    <row r="109" spans="1:7" x14ac:dyDescent="0.2">
      <c r="A109" s="8">
        <f t="shared" si="1"/>
        <v>11</v>
      </c>
      <c r="B109" s="20" t="str">
        <f t="shared" si="0"/>
        <v/>
      </c>
      <c r="C109" s="8" t="e">
        <f t="shared" si="5"/>
        <v>#VALUE!</v>
      </c>
      <c r="D109" s="8" t="e">
        <f t="shared" si="3"/>
        <v>#VALUE!</v>
      </c>
      <c r="E109" s="8" t="e">
        <f t="shared" si="4"/>
        <v>#VALUE!</v>
      </c>
      <c r="F109" s="15"/>
      <c r="G109" s="15"/>
    </row>
    <row r="110" spans="1:7" x14ac:dyDescent="0.2">
      <c r="A110" s="8">
        <f t="shared" si="1"/>
        <v>11.5</v>
      </c>
      <c r="B110" s="20" t="str">
        <f t="shared" si="0"/>
        <v/>
      </c>
      <c r="C110" s="8" t="e">
        <f t="shared" si="5"/>
        <v>#VALUE!</v>
      </c>
      <c r="D110" s="8" t="e">
        <f t="shared" si="3"/>
        <v>#VALUE!</v>
      </c>
      <c r="E110" s="8" t="e">
        <f t="shared" si="4"/>
        <v>#VALUE!</v>
      </c>
      <c r="F110" s="15"/>
      <c r="G110" s="15"/>
    </row>
    <row r="111" spans="1:7" x14ac:dyDescent="0.2">
      <c r="A111" s="8">
        <f t="shared" si="1"/>
        <v>12</v>
      </c>
      <c r="B111" s="20" t="str">
        <f t="shared" si="0"/>
        <v/>
      </c>
      <c r="C111" s="8" t="e">
        <f t="shared" si="5"/>
        <v>#VALUE!</v>
      </c>
      <c r="D111" s="8" t="e">
        <f t="shared" si="3"/>
        <v>#VALUE!</v>
      </c>
      <c r="E111" s="8" t="e">
        <f t="shared" si="4"/>
        <v>#VALUE!</v>
      </c>
      <c r="F111" s="15"/>
      <c r="G111" s="15"/>
    </row>
    <row r="112" spans="1:7" x14ac:dyDescent="0.2">
      <c r="A112" s="8">
        <f t="shared" si="1"/>
        <v>12.5</v>
      </c>
      <c r="B112" s="20" t="str">
        <f t="shared" si="0"/>
        <v/>
      </c>
      <c r="C112" s="8" t="e">
        <f t="shared" si="5"/>
        <v>#VALUE!</v>
      </c>
      <c r="D112" s="8" t="e">
        <f>($D$54+D111)</f>
        <v>#VALUE!</v>
      </c>
      <c r="E112" s="8" t="e">
        <f t="shared" si="4"/>
        <v>#VALUE!</v>
      </c>
      <c r="F112" s="15"/>
      <c r="G112" s="15"/>
    </row>
    <row r="113" spans="1:7" x14ac:dyDescent="0.2">
      <c r="A113" s="8">
        <f t="shared" si="1"/>
        <v>13</v>
      </c>
      <c r="B113" s="20" t="str">
        <f t="shared" si="0"/>
        <v/>
      </c>
      <c r="C113" s="8" t="e">
        <f t="shared" si="5"/>
        <v>#VALUE!</v>
      </c>
      <c r="D113" s="8" t="e">
        <f t="shared" ref="D113:D135" si="6">($D$112)*EXP(-$B$45*(A113-12.5))</f>
        <v>#VALUE!</v>
      </c>
      <c r="E113" s="8" t="e">
        <f t="shared" si="4"/>
        <v>#VALUE!</v>
      </c>
      <c r="F113" s="15"/>
      <c r="G113" s="15"/>
    </row>
    <row r="114" spans="1:7" x14ac:dyDescent="0.2">
      <c r="A114" s="8">
        <f t="shared" si="1"/>
        <v>13.5</v>
      </c>
      <c r="B114" s="20" t="str">
        <f t="shared" si="0"/>
        <v/>
      </c>
      <c r="C114" s="8" t="e">
        <f t="shared" si="5"/>
        <v>#VALUE!</v>
      </c>
      <c r="D114" s="8" t="e">
        <f t="shared" si="6"/>
        <v>#VALUE!</v>
      </c>
      <c r="E114" s="8" t="e">
        <f t="shared" si="4"/>
        <v>#VALUE!</v>
      </c>
      <c r="F114" s="15"/>
      <c r="G114" s="15"/>
    </row>
    <row r="115" spans="1:7" x14ac:dyDescent="0.2">
      <c r="A115" s="8">
        <f t="shared" si="1"/>
        <v>14</v>
      </c>
      <c r="B115" s="20" t="str">
        <f t="shared" si="0"/>
        <v/>
      </c>
      <c r="C115" s="8" t="e">
        <f t="shared" si="5"/>
        <v>#VALUE!</v>
      </c>
      <c r="D115" s="8" t="e">
        <f t="shared" si="6"/>
        <v>#VALUE!</v>
      </c>
      <c r="E115" s="8" t="e">
        <f t="shared" si="4"/>
        <v>#VALUE!</v>
      </c>
      <c r="F115" s="15"/>
      <c r="G115" s="15"/>
    </row>
    <row r="116" spans="1:7" x14ac:dyDescent="0.2">
      <c r="A116" s="8">
        <f t="shared" si="1"/>
        <v>14.5</v>
      </c>
      <c r="B116" s="20" t="str">
        <f t="shared" si="0"/>
        <v/>
      </c>
      <c r="C116" s="8" t="e">
        <f t="shared" si="5"/>
        <v>#VALUE!</v>
      </c>
      <c r="D116" s="8" t="e">
        <f t="shared" si="6"/>
        <v>#VALUE!</v>
      </c>
      <c r="E116" s="8" t="e">
        <f t="shared" si="4"/>
        <v>#VALUE!</v>
      </c>
      <c r="F116" s="15"/>
      <c r="G116" s="15"/>
    </row>
    <row r="117" spans="1:7" x14ac:dyDescent="0.2">
      <c r="A117" s="8">
        <f t="shared" si="1"/>
        <v>15</v>
      </c>
      <c r="B117" s="20" t="str">
        <f t="shared" si="0"/>
        <v/>
      </c>
      <c r="C117" s="8" t="e">
        <f t="shared" si="5"/>
        <v>#VALUE!</v>
      </c>
      <c r="D117" s="8" t="e">
        <f t="shared" si="6"/>
        <v>#VALUE!</v>
      </c>
      <c r="E117" s="8" t="e">
        <f t="shared" si="4"/>
        <v>#VALUE!</v>
      </c>
      <c r="F117" s="15"/>
      <c r="G117" s="15"/>
    </row>
    <row r="118" spans="1:7" x14ac:dyDescent="0.2">
      <c r="A118" s="8">
        <f t="shared" si="1"/>
        <v>15.5</v>
      </c>
      <c r="B118" s="20" t="str">
        <f t="shared" ref="B118:B149" si="7">IF($B$51=8,C118,IF($B$51=12,D118,IF($B$51=24,E118,"")))</f>
        <v/>
      </c>
      <c r="C118" s="8" t="e">
        <f t="shared" si="5"/>
        <v>#VALUE!</v>
      </c>
      <c r="D118" s="8" t="e">
        <f t="shared" si="6"/>
        <v>#VALUE!</v>
      </c>
      <c r="E118" s="8" t="e">
        <f t="shared" si="4"/>
        <v>#VALUE!</v>
      </c>
      <c r="F118" s="15"/>
      <c r="G118" s="15"/>
    </row>
    <row r="119" spans="1:7" x14ac:dyDescent="0.2">
      <c r="A119" s="8">
        <f t="shared" si="1"/>
        <v>16</v>
      </c>
      <c r="B119" s="20" t="str">
        <f t="shared" si="7"/>
        <v/>
      </c>
      <c r="C119" s="8" t="e">
        <f t="shared" si="5"/>
        <v>#VALUE!</v>
      </c>
      <c r="D119" s="8" t="e">
        <f t="shared" si="6"/>
        <v>#VALUE!</v>
      </c>
      <c r="E119" s="8" t="e">
        <f t="shared" si="4"/>
        <v>#VALUE!</v>
      </c>
      <c r="F119" s="15"/>
      <c r="G119" s="15"/>
    </row>
    <row r="120" spans="1:7" x14ac:dyDescent="0.2">
      <c r="A120" s="8">
        <f t="shared" si="1"/>
        <v>16.5</v>
      </c>
      <c r="B120" s="20" t="str">
        <f t="shared" si="7"/>
        <v/>
      </c>
      <c r="C120" s="8" t="e">
        <f>(C119+D54)</f>
        <v>#VALUE!</v>
      </c>
      <c r="D120" s="8" t="e">
        <f t="shared" si="6"/>
        <v>#VALUE!</v>
      </c>
      <c r="E120" s="8" t="e">
        <f t="shared" si="4"/>
        <v>#VALUE!</v>
      </c>
      <c r="F120" s="15"/>
      <c r="G120" s="15"/>
    </row>
    <row r="121" spans="1:7" x14ac:dyDescent="0.2">
      <c r="A121" s="8">
        <f t="shared" ref="A121:A152" si="8">A120+0.5</f>
        <v>17</v>
      </c>
      <c r="B121" s="20" t="str">
        <f t="shared" si="7"/>
        <v/>
      </c>
      <c r="C121" s="8" t="e">
        <f t="shared" ref="C121:C135" si="9">($C$120)*EXP(-$B$45*(A121-16.5))</f>
        <v>#VALUE!</v>
      </c>
      <c r="D121" s="8" t="e">
        <f t="shared" si="6"/>
        <v>#VALUE!</v>
      </c>
      <c r="E121" s="8" t="e">
        <f t="shared" si="4"/>
        <v>#VALUE!</v>
      </c>
      <c r="F121" s="15"/>
      <c r="G121" s="15"/>
    </row>
    <row r="122" spans="1:7" x14ac:dyDescent="0.2">
      <c r="A122" s="8">
        <f t="shared" si="8"/>
        <v>17.5</v>
      </c>
      <c r="B122" s="20" t="str">
        <f t="shared" si="7"/>
        <v/>
      </c>
      <c r="C122" s="8" t="e">
        <f t="shared" si="9"/>
        <v>#VALUE!</v>
      </c>
      <c r="D122" s="8" t="e">
        <f t="shared" si="6"/>
        <v>#VALUE!</v>
      </c>
      <c r="E122" s="8" t="e">
        <f t="shared" si="4"/>
        <v>#VALUE!</v>
      </c>
      <c r="F122" s="15"/>
      <c r="G122" s="15"/>
    </row>
    <row r="123" spans="1:7" x14ac:dyDescent="0.2">
      <c r="A123" s="8">
        <f t="shared" si="8"/>
        <v>18</v>
      </c>
      <c r="B123" s="20" t="str">
        <f t="shared" si="7"/>
        <v/>
      </c>
      <c r="C123" s="8" t="e">
        <f t="shared" si="9"/>
        <v>#VALUE!</v>
      </c>
      <c r="D123" s="8" t="e">
        <f t="shared" si="6"/>
        <v>#VALUE!</v>
      </c>
      <c r="E123" s="8" t="e">
        <f t="shared" si="4"/>
        <v>#VALUE!</v>
      </c>
      <c r="F123" s="15"/>
      <c r="G123" s="15"/>
    </row>
    <row r="124" spans="1:7" x14ac:dyDescent="0.2">
      <c r="A124" s="8">
        <f t="shared" si="8"/>
        <v>18.5</v>
      </c>
      <c r="B124" s="20" t="str">
        <f t="shared" si="7"/>
        <v/>
      </c>
      <c r="C124" s="8" t="e">
        <f t="shared" si="9"/>
        <v>#VALUE!</v>
      </c>
      <c r="D124" s="8" t="e">
        <f t="shared" si="6"/>
        <v>#VALUE!</v>
      </c>
      <c r="E124" s="8" t="e">
        <f t="shared" si="4"/>
        <v>#VALUE!</v>
      </c>
      <c r="F124" s="15"/>
      <c r="G124" s="15"/>
    </row>
    <row r="125" spans="1:7" x14ac:dyDescent="0.2">
      <c r="A125" s="8">
        <f t="shared" si="8"/>
        <v>19</v>
      </c>
      <c r="B125" s="20" t="str">
        <f t="shared" si="7"/>
        <v/>
      </c>
      <c r="C125" s="8" t="e">
        <f t="shared" si="9"/>
        <v>#VALUE!</v>
      </c>
      <c r="D125" s="8" t="e">
        <f t="shared" si="6"/>
        <v>#VALUE!</v>
      </c>
      <c r="E125" s="8" t="e">
        <f t="shared" si="4"/>
        <v>#VALUE!</v>
      </c>
      <c r="F125" s="15"/>
      <c r="G125" s="15"/>
    </row>
    <row r="126" spans="1:7" x14ac:dyDescent="0.2">
      <c r="A126" s="8">
        <f t="shared" si="8"/>
        <v>19.5</v>
      </c>
      <c r="B126" s="20" t="str">
        <f t="shared" si="7"/>
        <v/>
      </c>
      <c r="C126" s="8" t="e">
        <f t="shared" si="9"/>
        <v>#VALUE!</v>
      </c>
      <c r="D126" s="8" t="e">
        <f t="shared" si="6"/>
        <v>#VALUE!</v>
      </c>
      <c r="E126" s="8" t="e">
        <f t="shared" si="4"/>
        <v>#VALUE!</v>
      </c>
      <c r="F126" s="15"/>
      <c r="G126" s="15"/>
    </row>
    <row r="127" spans="1:7" x14ac:dyDescent="0.2">
      <c r="A127" s="8">
        <f t="shared" si="8"/>
        <v>20</v>
      </c>
      <c r="B127" s="20" t="str">
        <f t="shared" si="7"/>
        <v/>
      </c>
      <c r="C127" s="8" t="e">
        <f t="shared" si="9"/>
        <v>#VALUE!</v>
      </c>
      <c r="D127" s="8" t="e">
        <f t="shared" si="6"/>
        <v>#VALUE!</v>
      </c>
      <c r="E127" s="8" t="e">
        <f t="shared" si="4"/>
        <v>#VALUE!</v>
      </c>
      <c r="F127" s="15"/>
      <c r="G127" s="15"/>
    </row>
    <row r="128" spans="1:7" x14ac:dyDescent="0.2">
      <c r="A128" s="8">
        <f t="shared" si="8"/>
        <v>20.5</v>
      </c>
      <c r="B128" s="20" t="str">
        <f t="shared" si="7"/>
        <v/>
      </c>
      <c r="C128" s="8" t="e">
        <f t="shared" si="9"/>
        <v>#VALUE!</v>
      </c>
      <c r="D128" s="8" t="e">
        <f t="shared" si="6"/>
        <v>#VALUE!</v>
      </c>
      <c r="E128" s="8" t="e">
        <f t="shared" si="4"/>
        <v>#VALUE!</v>
      </c>
      <c r="F128" s="15"/>
      <c r="G128" s="15"/>
    </row>
    <row r="129" spans="1:7" x14ac:dyDescent="0.2">
      <c r="A129" s="8">
        <f t="shared" si="8"/>
        <v>21</v>
      </c>
      <c r="B129" s="20" t="str">
        <f t="shared" si="7"/>
        <v/>
      </c>
      <c r="C129" s="8" t="e">
        <f t="shared" si="9"/>
        <v>#VALUE!</v>
      </c>
      <c r="D129" s="8" t="e">
        <f t="shared" si="6"/>
        <v>#VALUE!</v>
      </c>
      <c r="E129" s="8" t="e">
        <f t="shared" si="4"/>
        <v>#VALUE!</v>
      </c>
      <c r="F129" s="15"/>
      <c r="G129" s="15"/>
    </row>
    <row r="130" spans="1:7" x14ac:dyDescent="0.2">
      <c r="A130" s="8">
        <f t="shared" si="8"/>
        <v>21.5</v>
      </c>
      <c r="B130" s="20" t="str">
        <f t="shared" si="7"/>
        <v/>
      </c>
      <c r="C130" s="8" t="e">
        <f t="shared" si="9"/>
        <v>#VALUE!</v>
      </c>
      <c r="D130" s="8" t="e">
        <f t="shared" si="6"/>
        <v>#VALUE!</v>
      </c>
      <c r="E130" s="8" t="e">
        <f t="shared" si="4"/>
        <v>#VALUE!</v>
      </c>
      <c r="F130" s="15"/>
      <c r="G130" s="15"/>
    </row>
    <row r="131" spans="1:7" x14ac:dyDescent="0.2">
      <c r="A131" s="8">
        <f t="shared" si="8"/>
        <v>22</v>
      </c>
      <c r="B131" s="20" t="str">
        <f t="shared" si="7"/>
        <v/>
      </c>
      <c r="C131" s="8" t="e">
        <f t="shared" si="9"/>
        <v>#VALUE!</v>
      </c>
      <c r="D131" s="8" t="e">
        <f t="shared" si="6"/>
        <v>#VALUE!</v>
      </c>
      <c r="E131" s="8" t="e">
        <f t="shared" si="4"/>
        <v>#VALUE!</v>
      </c>
      <c r="F131" s="15"/>
      <c r="G131" s="15"/>
    </row>
    <row r="132" spans="1:7" x14ac:dyDescent="0.2">
      <c r="A132" s="8">
        <f t="shared" si="8"/>
        <v>22.5</v>
      </c>
      <c r="B132" s="20" t="str">
        <f t="shared" si="7"/>
        <v/>
      </c>
      <c r="C132" s="8" t="e">
        <f t="shared" si="9"/>
        <v>#VALUE!</v>
      </c>
      <c r="D132" s="8" t="e">
        <f t="shared" si="6"/>
        <v>#VALUE!</v>
      </c>
      <c r="E132" s="8" t="e">
        <f t="shared" si="4"/>
        <v>#VALUE!</v>
      </c>
      <c r="F132" s="15"/>
      <c r="G132" s="15"/>
    </row>
    <row r="133" spans="1:7" x14ac:dyDescent="0.2">
      <c r="A133" s="8">
        <f t="shared" si="8"/>
        <v>23</v>
      </c>
      <c r="B133" s="20" t="str">
        <f t="shared" si="7"/>
        <v/>
      </c>
      <c r="C133" s="8" t="e">
        <f t="shared" si="9"/>
        <v>#VALUE!</v>
      </c>
      <c r="D133" s="8" t="e">
        <f t="shared" si="6"/>
        <v>#VALUE!</v>
      </c>
      <c r="E133" s="8" t="e">
        <f t="shared" si="4"/>
        <v>#VALUE!</v>
      </c>
      <c r="F133" s="15"/>
      <c r="G133" s="15"/>
    </row>
    <row r="134" spans="1:7" x14ac:dyDescent="0.2">
      <c r="A134" s="8">
        <f t="shared" si="8"/>
        <v>23.5</v>
      </c>
      <c r="B134" s="20" t="str">
        <f t="shared" si="7"/>
        <v/>
      </c>
      <c r="C134" s="8" t="e">
        <f t="shared" si="9"/>
        <v>#VALUE!</v>
      </c>
      <c r="D134" s="8" t="e">
        <f t="shared" si="6"/>
        <v>#VALUE!</v>
      </c>
      <c r="E134" s="8" t="e">
        <f t="shared" si="4"/>
        <v>#VALUE!</v>
      </c>
      <c r="F134" s="15"/>
      <c r="G134" s="15"/>
    </row>
    <row r="135" spans="1:7" x14ac:dyDescent="0.2">
      <c r="A135" s="8">
        <f t="shared" si="8"/>
        <v>24</v>
      </c>
      <c r="B135" s="20" t="str">
        <f t="shared" si="7"/>
        <v/>
      </c>
      <c r="C135" s="8" t="e">
        <f t="shared" si="9"/>
        <v>#VALUE!</v>
      </c>
      <c r="D135" s="8" t="e">
        <f t="shared" si="6"/>
        <v>#VALUE!</v>
      </c>
      <c r="E135" s="8" t="e">
        <f t="shared" si="4"/>
        <v>#VALUE!</v>
      </c>
      <c r="F135" s="15"/>
      <c r="G135" s="15"/>
    </row>
    <row r="136" spans="1:7" x14ac:dyDescent="0.2">
      <c r="A136" s="8">
        <f t="shared" si="8"/>
        <v>24.5</v>
      </c>
      <c r="B136" s="20" t="str">
        <f t="shared" si="7"/>
        <v/>
      </c>
      <c r="C136" s="8" t="e">
        <f>(D54+C135)</f>
        <v>#VALUE!</v>
      </c>
      <c r="D136" s="8" t="e">
        <f>($D$54+D135)</f>
        <v>#VALUE!</v>
      </c>
      <c r="E136" s="8" t="e">
        <f>($D$54+E135)</f>
        <v>#VALUE!</v>
      </c>
      <c r="F136" s="15"/>
      <c r="G136" s="15"/>
    </row>
    <row r="137" spans="1:7" x14ac:dyDescent="0.2">
      <c r="A137" s="8">
        <f t="shared" si="8"/>
        <v>25</v>
      </c>
      <c r="B137" s="20" t="str">
        <f t="shared" si="7"/>
        <v/>
      </c>
      <c r="C137" s="8" t="e">
        <f t="shared" ref="C137:C151" si="10">($C$136)*EXP(-$B$45*(A137-24.5))</f>
        <v>#VALUE!</v>
      </c>
      <c r="D137" s="8" t="e">
        <f t="shared" ref="D137:D159" si="11">($D$136)*EXP(-$B$45*(A137-24.5))</f>
        <v>#VALUE!</v>
      </c>
      <c r="E137" s="8" t="e">
        <f t="shared" ref="E137:E159" si="12">($E$136)*EXP(-$B$45*(A137-24.5))</f>
        <v>#VALUE!</v>
      </c>
      <c r="F137" s="15"/>
      <c r="G137" s="15"/>
    </row>
    <row r="138" spans="1:7" x14ac:dyDescent="0.2">
      <c r="A138" s="8">
        <f t="shared" si="8"/>
        <v>25.5</v>
      </c>
      <c r="B138" s="20" t="str">
        <f t="shared" si="7"/>
        <v/>
      </c>
      <c r="C138" s="8" t="e">
        <f t="shared" si="10"/>
        <v>#VALUE!</v>
      </c>
      <c r="D138" s="8" t="e">
        <f t="shared" si="11"/>
        <v>#VALUE!</v>
      </c>
      <c r="E138" s="8" t="e">
        <f t="shared" si="12"/>
        <v>#VALUE!</v>
      </c>
      <c r="F138" s="15"/>
      <c r="G138" s="15"/>
    </row>
    <row r="139" spans="1:7" x14ac:dyDescent="0.2">
      <c r="A139" s="8">
        <f t="shared" si="8"/>
        <v>26</v>
      </c>
      <c r="B139" s="20" t="str">
        <f t="shared" si="7"/>
        <v/>
      </c>
      <c r="C139" s="8" t="e">
        <f t="shared" si="10"/>
        <v>#VALUE!</v>
      </c>
      <c r="D139" s="8" t="e">
        <f t="shared" si="11"/>
        <v>#VALUE!</v>
      </c>
      <c r="E139" s="8" t="e">
        <f t="shared" si="12"/>
        <v>#VALUE!</v>
      </c>
      <c r="F139" s="15"/>
      <c r="G139" s="15"/>
    </row>
    <row r="140" spans="1:7" x14ac:dyDescent="0.2">
      <c r="A140" s="8">
        <f t="shared" si="8"/>
        <v>26.5</v>
      </c>
      <c r="B140" s="20" t="str">
        <f t="shared" si="7"/>
        <v/>
      </c>
      <c r="C140" s="8" t="e">
        <f t="shared" si="10"/>
        <v>#VALUE!</v>
      </c>
      <c r="D140" s="8" t="e">
        <f t="shared" si="11"/>
        <v>#VALUE!</v>
      </c>
      <c r="E140" s="8" t="e">
        <f t="shared" si="12"/>
        <v>#VALUE!</v>
      </c>
      <c r="F140" s="15"/>
      <c r="G140" s="15"/>
    </row>
    <row r="141" spans="1:7" x14ac:dyDescent="0.2">
      <c r="A141" s="8">
        <f t="shared" si="8"/>
        <v>27</v>
      </c>
      <c r="B141" s="20" t="str">
        <f t="shared" si="7"/>
        <v/>
      </c>
      <c r="C141" s="8" t="e">
        <f t="shared" si="10"/>
        <v>#VALUE!</v>
      </c>
      <c r="D141" s="8" t="e">
        <f t="shared" si="11"/>
        <v>#VALUE!</v>
      </c>
      <c r="E141" s="8" t="e">
        <f t="shared" si="12"/>
        <v>#VALUE!</v>
      </c>
      <c r="F141" s="15"/>
      <c r="G141" s="15"/>
    </row>
    <row r="142" spans="1:7" x14ac:dyDescent="0.2">
      <c r="A142" s="8">
        <f t="shared" si="8"/>
        <v>27.5</v>
      </c>
      <c r="B142" s="20" t="str">
        <f t="shared" si="7"/>
        <v/>
      </c>
      <c r="C142" s="8" t="e">
        <f t="shared" si="10"/>
        <v>#VALUE!</v>
      </c>
      <c r="D142" s="8" t="e">
        <f t="shared" si="11"/>
        <v>#VALUE!</v>
      </c>
      <c r="E142" s="8" t="e">
        <f t="shared" si="12"/>
        <v>#VALUE!</v>
      </c>
      <c r="F142" s="15"/>
      <c r="G142" s="15"/>
    </row>
    <row r="143" spans="1:7" x14ac:dyDescent="0.2">
      <c r="A143" s="8">
        <f t="shared" si="8"/>
        <v>28</v>
      </c>
      <c r="B143" s="20" t="str">
        <f t="shared" si="7"/>
        <v/>
      </c>
      <c r="C143" s="8" t="e">
        <f t="shared" si="10"/>
        <v>#VALUE!</v>
      </c>
      <c r="D143" s="8" t="e">
        <f t="shared" si="11"/>
        <v>#VALUE!</v>
      </c>
      <c r="E143" s="8" t="e">
        <f t="shared" si="12"/>
        <v>#VALUE!</v>
      </c>
      <c r="F143" s="15"/>
      <c r="G143" s="15"/>
    </row>
    <row r="144" spans="1:7" x14ac:dyDescent="0.2">
      <c r="A144" s="8">
        <f t="shared" si="8"/>
        <v>28.5</v>
      </c>
      <c r="B144" s="20" t="str">
        <f t="shared" si="7"/>
        <v/>
      </c>
      <c r="C144" s="8" t="e">
        <f t="shared" si="10"/>
        <v>#VALUE!</v>
      </c>
      <c r="D144" s="8" t="e">
        <f t="shared" si="11"/>
        <v>#VALUE!</v>
      </c>
      <c r="E144" s="8" t="e">
        <f t="shared" si="12"/>
        <v>#VALUE!</v>
      </c>
      <c r="F144" s="15"/>
      <c r="G144" s="15"/>
    </row>
    <row r="145" spans="1:7" x14ac:dyDescent="0.2">
      <c r="A145" s="8">
        <f t="shared" si="8"/>
        <v>29</v>
      </c>
      <c r="B145" s="20" t="str">
        <f t="shared" si="7"/>
        <v/>
      </c>
      <c r="C145" s="8" t="e">
        <f t="shared" si="10"/>
        <v>#VALUE!</v>
      </c>
      <c r="D145" s="8" t="e">
        <f t="shared" si="11"/>
        <v>#VALUE!</v>
      </c>
      <c r="E145" s="8" t="e">
        <f t="shared" si="12"/>
        <v>#VALUE!</v>
      </c>
      <c r="F145" s="15"/>
      <c r="G145" s="15"/>
    </row>
    <row r="146" spans="1:7" x14ac:dyDescent="0.2">
      <c r="A146" s="8">
        <f t="shared" si="8"/>
        <v>29.5</v>
      </c>
      <c r="B146" s="20" t="str">
        <f t="shared" si="7"/>
        <v/>
      </c>
      <c r="C146" s="8" t="e">
        <f t="shared" si="10"/>
        <v>#VALUE!</v>
      </c>
      <c r="D146" s="8" t="e">
        <f t="shared" si="11"/>
        <v>#VALUE!</v>
      </c>
      <c r="E146" s="8" t="e">
        <f t="shared" si="12"/>
        <v>#VALUE!</v>
      </c>
      <c r="F146" s="15"/>
      <c r="G146" s="15"/>
    </row>
    <row r="147" spans="1:7" x14ac:dyDescent="0.2">
      <c r="A147" s="8">
        <f t="shared" si="8"/>
        <v>30</v>
      </c>
      <c r="B147" s="20" t="str">
        <f t="shared" si="7"/>
        <v/>
      </c>
      <c r="C147" s="8" t="e">
        <f t="shared" si="10"/>
        <v>#VALUE!</v>
      </c>
      <c r="D147" s="8" t="e">
        <f t="shared" si="11"/>
        <v>#VALUE!</v>
      </c>
      <c r="E147" s="8" t="e">
        <f t="shared" si="12"/>
        <v>#VALUE!</v>
      </c>
      <c r="F147" s="15"/>
      <c r="G147" s="15"/>
    </row>
    <row r="148" spans="1:7" x14ac:dyDescent="0.2">
      <c r="A148" s="8">
        <f t="shared" si="8"/>
        <v>30.5</v>
      </c>
      <c r="B148" s="20" t="str">
        <f t="shared" si="7"/>
        <v/>
      </c>
      <c r="C148" s="8" t="e">
        <f t="shared" si="10"/>
        <v>#VALUE!</v>
      </c>
      <c r="D148" s="8" t="e">
        <f t="shared" si="11"/>
        <v>#VALUE!</v>
      </c>
      <c r="E148" s="8" t="e">
        <f t="shared" si="12"/>
        <v>#VALUE!</v>
      </c>
      <c r="F148" s="15"/>
      <c r="G148" s="15"/>
    </row>
    <row r="149" spans="1:7" x14ac:dyDescent="0.2">
      <c r="A149" s="8">
        <f t="shared" si="8"/>
        <v>31</v>
      </c>
      <c r="B149" s="20" t="str">
        <f t="shared" si="7"/>
        <v/>
      </c>
      <c r="C149" s="8" t="e">
        <f t="shared" si="10"/>
        <v>#VALUE!</v>
      </c>
      <c r="D149" s="8" t="e">
        <f t="shared" si="11"/>
        <v>#VALUE!</v>
      </c>
      <c r="E149" s="8" t="e">
        <f t="shared" si="12"/>
        <v>#VALUE!</v>
      </c>
      <c r="F149" s="15"/>
      <c r="G149" s="15"/>
    </row>
    <row r="150" spans="1:7" x14ac:dyDescent="0.2">
      <c r="A150" s="8">
        <f t="shared" si="8"/>
        <v>31.5</v>
      </c>
      <c r="B150" s="20" t="str">
        <f t="shared" ref="B150:B159" si="13">IF($B$51=8,C150,IF($B$51=12,D150,IF($B$51=24,E150,"")))</f>
        <v/>
      </c>
      <c r="C150" s="8" t="e">
        <f t="shared" si="10"/>
        <v>#VALUE!</v>
      </c>
      <c r="D150" s="8" t="e">
        <f t="shared" si="11"/>
        <v>#VALUE!</v>
      </c>
      <c r="E150" s="8" t="e">
        <f t="shared" si="12"/>
        <v>#VALUE!</v>
      </c>
      <c r="F150" s="15"/>
      <c r="G150" s="15"/>
    </row>
    <row r="151" spans="1:7" x14ac:dyDescent="0.2">
      <c r="A151" s="8">
        <f t="shared" si="8"/>
        <v>32</v>
      </c>
      <c r="B151" s="20" t="str">
        <f t="shared" si="13"/>
        <v/>
      </c>
      <c r="C151" s="8" t="e">
        <f t="shared" si="10"/>
        <v>#VALUE!</v>
      </c>
      <c r="D151" s="8" t="e">
        <f t="shared" si="11"/>
        <v>#VALUE!</v>
      </c>
      <c r="E151" s="8" t="e">
        <f t="shared" si="12"/>
        <v>#VALUE!</v>
      </c>
      <c r="F151" s="15"/>
      <c r="G151" s="15"/>
    </row>
    <row r="152" spans="1:7" x14ac:dyDescent="0.2">
      <c r="A152" s="8">
        <f t="shared" si="8"/>
        <v>32.5</v>
      </c>
      <c r="B152" s="20" t="str">
        <f t="shared" si="13"/>
        <v/>
      </c>
      <c r="C152" s="8" t="e">
        <f>($D$54+C151)</f>
        <v>#VALUE!</v>
      </c>
      <c r="D152" s="8" t="e">
        <f t="shared" si="11"/>
        <v>#VALUE!</v>
      </c>
      <c r="E152" s="8" t="e">
        <f t="shared" si="12"/>
        <v>#VALUE!</v>
      </c>
      <c r="F152" s="15"/>
      <c r="G152" s="15"/>
    </row>
    <row r="153" spans="1:7" x14ac:dyDescent="0.2">
      <c r="A153" s="8">
        <f t="shared" ref="A153:A159" si="14">A152+0.5</f>
        <v>33</v>
      </c>
      <c r="B153" s="20" t="str">
        <f t="shared" si="13"/>
        <v/>
      </c>
      <c r="C153" s="8" t="e">
        <f t="shared" ref="C153:C159" si="15">($C$104)*EXP(-$B$45*(A153-32.5))</f>
        <v>#VALUE!</v>
      </c>
      <c r="D153" s="8" t="e">
        <f t="shared" si="11"/>
        <v>#VALUE!</v>
      </c>
      <c r="E153" s="8" t="e">
        <f t="shared" si="12"/>
        <v>#VALUE!</v>
      </c>
      <c r="F153" s="15"/>
      <c r="G153" s="15"/>
    </row>
    <row r="154" spans="1:7" x14ac:dyDescent="0.2">
      <c r="A154" s="8">
        <f t="shared" si="14"/>
        <v>33.5</v>
      </c>
      <c r="B154" s="20" t="str">
        <f t="shared" si="13"/>
        <v/>
      </c>
      <c r="C154" s="8" t="e">
        <f t="shared" si="15"/>
        <v>#VALUE!</v>
      </c>
      <c r="D154" s="8" t="e">
        <f t="shared" si="11"/>
        <v>#VALUE!</v>
      </c>
      <c r="E154" s="8" t="e">
        <f t="shared" si="12"/>
        <v>#VALUE!</v>
      </c>
      <c r="F154" s="15"/>
      <c r="G154" s="15"/>
    </row>
    <row r="155" spans="1:7" x14ac:dyDescent="0.2">
      <c r="A155" s="8">
        <f t="shared" si="14"/>
        <v>34</v>
      </c>
      <c r="B155" s="20" t="str">
        <f t="shared" si="13"/>
        <v/>
      </c>
      <c r="C155" s="8" t="e">
        <f t="shared" si="15"/>
        <v>#VALUE!</v>
      </c>
      <c r="D155" s="8" t="e">
        <f t="shared" si="11"/>
        <v>#VALUE!</v>
      </c>
      <c r="E155" s="8" t="e">
        <f t="shared" si="12"/>
        <v>#VALUE!</v>
      </c>
      <c r="F155" s="15"/>
      <c r="G155" s="15"/>
    </row>
    <row r="156" spans="1:7" x14ac:dyDescent="0.2">
      <c r="A156" s="8">
        <f t="shared" si="14"/>
        <v>34.5</v>
      </c>
      <c r="B156" s="20" t="str">
        <f t="shared" si="13"/>
        <v/>
      </c>
      <c r="C156" s="8" t="e">
        <f t="shared" si="15"/>
        <v>#VALUE!</v>
      </c>
      <c r="D156" s="8" t="e">
        <f t="shared" si="11"/>
        <v>#VALUE!</v>
      </c>
      <c r="E156" s="8" t="e">
        <f t="shared" si="12"/>
        <v>#VALUE!</v>
      </c>
      <c r="F156" s="15"/>
      <c r="G156" s="15"/>
    </row>
    <row r="157" spans="1:7" x14ac:dyDescent="0.2">
      <c r="A157" s="8">
        <f t="shared" si="14"/>
        <v>35</v>
      </c>
      <c r="B157" s="20" t="str">
        <f t="shared" si="13"/>
        <v/>
      </c>
      <c r="C157" s="8" t="e">
        <f t="shared" si="15"/>
        <v>#VALUE!</v>
      </c>
      <c r="D157" s="8" t="e">
        <f t="shared" si="11"/>
        <v>#VALUE!</v>
      </c>
      <c r="E157" s="8" t="e">
        <f t="shared" si="12"/>
        <v>#VALUE!</v>
      </c>
      <c r="F157" s="15"/>
      <c r="G157" s="15"/>
    </row>
    <row r="158" spans="1:7" x14ac:dyDescent="0.2">
      <c r="A158" s="8">
        <f t="shared" si="14"/>
        <v>35.5</v>
      </c>
      <c r="B158" s="20" t="str">
        <f t="shared" si="13"/>
        <v/>
      </c>
      <c r="C158" s="8" t="e">
        <f t="shared" si="15"/>
        <v>#VALUE!</v>
      </c>
      <c r="D158" s="8" t="e">
        <f t="shared" si="11"/>
        <v>#VALUE!</v>
      </c>
      <c r="E158" s="8" t="e">
        <f t="shared" si="12"/>
        <v>#VALUE!</v>
      </c>
      <c r="F158" s="15"/>
      <c r="G158" s="15"/>
    </row>
    <row r="159" spans="1:7" x14ac:dyDescent="0.2">
      <c r="A159" s="8">
        <f t="shared" si="14"/>
        <v>36</v>
      </c>
      <c r="B159" s="20" t="str">
        <f t="shared" si="13"/>
        <v/>
      </c>
      <c r="C159" s="8" t="e">
        <f t="shared" si="15"/>
        <v>#VALUE!</v>
      </c>
      <c r="D159" s="8" t="e">
        <f t="shared" si="11"/>
        <v>#VALUE!</v>
      </c>
      <c r="E159" s="8" t="e">
        <f t="shared" si="12"/>
        <v>#VALUE!</v>
      </c>
      <c r="F159" s="15"/>
      <c r="G159" s="15"/>
    </row>
    <row r="160" spans="1:7" x14ac:dyDescent="0.2">
      <c r="A160" s="15"/>
      <c r="B160" s="15"/>
      <c r="C160" s="15"/>
      <c r="D160" s="15"/>
      <c r="E160" s="15"/>
      <c r="F160" s="15"/>
    </row>
    <row r="161" spans="1:6" x14ac:dyDescent="0.2">
      <c r="A161" s="15"/>
      <c r="B161" s="15"/>
      <c r="C161" s="15"/>
      <c r="D161" s="15"/>
      <c r="E161" s="15"/>
      <c r="F161" s="15"/>
    </row>
    <row r="162" spans="1:6" x14ac:dyDescent="0.2">
      <c r="A162" s="15"/>
      <c r="B162" s="15"/>
      <c r="C162" s="15"/>
      <c r="D162" s="15"/>
      <c r="E162" s="15"/>
      <c r="F162" s="15"/>
    </row>
    <row r="163" spans="1:6" x14ac:dyDescent="0.2">
      <c r="A163" s="15"/>
      <c r="B163" s="15"/>
      <c r="C163" s="15"/>
      <c r="D163" s="15"/>
      <c r="E163" s="15"/>
      <c r="F163" s="15"/>
    </row>
    <row r="164" spans="1:6" x14ac:dyDescent="0.2">
      <c r="A164" s="15"/>
      <c r="B164" s="15"/>
      <c r="C164" s="15"/>
      <c r="D164" s="15"/>
      <c r="E164" s="15"/>
      <c r="F164" s="15"/>
    </row>
    <row r="165" spans="1:6" x14ac:dyDescent="0.2">
      <c r="A165" s="15"/>
      <c r="B165" s="15"/>
      <c r="C165" s="15"/>
      <c r="D165" s="15"/>
      <c r="E165" s="15"/>
      <c r="F165" s="15"/>
    </row>
    <row r="166" spans="1:6" x14ac:dyDescent="0.2">
      <c r="A166" s="15"/>
      <c r="B166" s="15"/>
      <c r="C166" s="15"/>
      <c r="D166" s="15"/>
      <c r="E166" s="15"/>
      <c r="F166" s="15"/>
    </row>
    <row r="167" spans="1:6" x14ac:dyDescent="0.2">
      <c r="A167" s="15"/>
      <c r="B167" s="15"/>
      <c r="C167" s="15"/>
      <c r="D167" s="15"/>
      <c r="E167" s="15"/>
      <c r="F167" s="15"/>
    </row>
    <row r="168" spans="1:6" x14ac:dyDescent="0.2">
      <c r="A168" s="15"/>
      <c r="B168" s="15"/>
      <c r="C168" s="15"/>
      <c r="D168" s="15"/>
      <c r="E168" s="15"/>
      <c r="F168" s="15"/>
    </row>
    <row r="169" spans="1:6" x14ac:dyDescent="0.2">
      <c r="A169" s="15"/>
      <c r="B169" s="15"/>
      <c r="C169" s="15"/>
      <c r="D169" s="15"/>
      <c r="E169" s="15"/>
      <c r="F169" s="15"/>
    </row>
    <row r="170" spans="1:6" x14ac:dyDescent="0.2">
      <c r="A170" s="15"/>
      <c r="B170" s="15"/>
      <c r="C170" s="15"/>
      <c r="D170" s="15"/>
      <c r="E170" s="15"/>
      <c r="F170" s="15"/>
    </row>
    <row r="171" spans="1:6" x14ac:dyDescent="0.2">
      <c r="A171" s="15"/>
      <c r="B171" s="15"/>
      <c r="C171" s="15"/>
      <c r="D171" s="15"/>
      <c r="E171" s="15"/>
      <c r="F171" s="15"/>
    </row>
    <row r="172" spans="1:6" x14ac:dyDescent="0.2">
      <c r="A172" s="15"/>
      <c r="B172" s="15"/>
      <c r="C172" s="15"/>
      <c r="D172" s="15"/>
      <c r="E172" s="15"/>
      <c r="F172" s="15"/>
    </row>
    <row r="173" spans="1:6" x14ac:dyDescent="0.2">
      <c r="A173" s="15"/>
      <c r="B173" s="15"/>
      <c r="C173" s="15"/>
      <c r="D173" s="15"/>
      <c r="E173" s="15"/>
      <c r="F173" s="15"/>
    </row>
    <row r="174" spans="1:6" x14ac:dyDescent="0.2">
      <c r="A174" s="15"/>
      <c r="B174" s="15"/>
      <c r="C174" s="15"/>
      <c r="D174" s="15"/>
      <c r="E174" s="15"/>
      <c r="F174" s="15"/>
    </row>
    <row r="175" spans="1:6" x14ac:dyDescent="0.2">
      <c r="A175" s="15"/>
      <c r="B175" s="15"/>
      <c r="C175" s="15"/>
      <c r="D175" s="15"/>
      <c r="E175" s="15"/>
      <c r="F175" s="15"/>
    </row>
    <row r="176" spans="1:6" x14ac:dyDescent="0.2">
      <c r="A176" s="15"/>
      <c r="B176" s="15"/>
      <c r="C176" s="15"/>
      <c r="D176" s="15"/>
      <c r="E176" s="15"/>
      <c r="F176" s="15"/>
    </row>
    <row r="177" spans="1:6" x14ac:dyDescent="0.2">
      <c r="A177" s="15"/>
      <c r="B177" s="15"/>
      <c r="C177" s="15"/>
      <c r="D177" s="15"/>
      <c r="E177" s="15"/>
      <c r="F177" s="15"/>
    </row>
    <row r="178" spans="1:6" x14ac:dyDescent="0.2">
      <c r="A178" s="15"/>
      <c r="B178" s="15"/>
      <c r="C178" s="15"/>
      <c r="D178" s="15"/>
      <c r="E178" s="15"/>
      <c r="F178" s="15"/>
    </row>
    <row r="179" spans="1:6" x14ac:dyDescent="0.2">
      <c r="A179" s="15"/>
      <c r="B179" s="15"/>
      <c r="C179" s="15"/>
      <c r="D179" s="15"/>
      <c r="E179" s="15"/>
      <c r="F179" s="15"/>
    </row>
    <row r="180" spans="1:6" x14ac:dyDescent="0.2">
      <c r="A180" s="15"/>
      <c r="B180" s="15"/>
      <c r="C180" s="15"/>
      <c r="D180" s="15"/>
      <c r="E180" s="15"/>
      <c r="F180" s="15"/>
    </row>
    <row r="181" spans="1:6" x14ac:dyDescent="0.2">
      <c r="A181" s="15"/>
      <c r="B181" s="15"/>
      <c r="C181" s="15"/>
      <c r="D181" s="15"/>
      <c r="E181" s="15"/>
      <c r="F181" s="15"/>
    </row>
    <row r="182" spans="1:6" x14ac:dyDescent="0.2">
      <c r="A182" s="15"/>
      <c r="B182" s="15"/>
      <c r="C182" s="15"/>
      <c r="D182" s="15"/>
      <c r="E182" s="15"/>
      <c r="F182" s="15"/>
    </row>
    <row r="183" spans="1:6" x14ac:dyDescent="0.2">
      <c r="A183" s="15"/>
      <c r="B183" s="15"/>
      <c r="C183" s="15"/>
      <c r="D183" s="15"/>
      <c r="E183" s="15"/>
      <c r="F183" s="15"/>
    </row>
    <row r="184" spans="1:6" x14ac:dyDescent="0.2">
      <c r="A184" s="15"/>
      <c r="B184" s="15"/>
      <c r="C184" s="15"/>
      <c r="D184" s="15"/>
      <c r="E184" s="15"/>
      <c r="F184" s="15"/>
    </row>
    <row r="185" spans="1:6" x14ac:dyDescent="0.2">
      <c r="A185" s="15"/>
      <c r="B185" s="15"/>
      <c r="C185" s="15"/>
      <c r="D185" s="15"/>
      <c r="E185" s="15"/>
      <c r="F185" s="15"/>
    </row>
    <row r="186" spans="1:6" x14ac:dyDescent="0.2">
      <c r="A186" s="15"/>
      <c r="B186" s="15"/>
      <c r="C186" s="15"/>
      <c r="D186" s="15"/>
      <c r="E186" s="15"/>
      <c r="F186" s="15"/>
    </row>
    <row r="187" spans="1:6" x14ac:dyDescent="0.2">
      <c r="A187" s="15"/>
      <c r="B187" s="15"/>
      <c r="C187" s="15"/>
      <c r="D187" s="15"/>
      <c r="E187" s="15"/>
      <c r="F187" s="15"/>
    </row>
    <row r="188" spans="1:6" x14ac:dyDescent="0.2">
      <c r="A188" s="15"/>
      <c r="B188" s="15"/>
      <c r="C188" s="15"/>
      <c r="D188" s="15"/>
      <c r="E188" s="15"/>
      <c r="F188" s="15"/>
    </row>
    <row r="189" spans="1:6" x14ac:dyDescent="0.2">
      <c r="A189" s="15"/>
      <c r="B189" s="15"/>
      <c r="C189" s="15"/>
      <c r="D189" s="15"/>
      <c r="E189" s="15"/>
      <c r="F189" s="15"/>
    </row>
    <row r="190" spans="1:6" x14ac:dyDescent="0.2">
      <c r="A190" s="15"/>
      <c r="B190" s="15"/>
      <c r="C190" s="15"/>
      <c r="D190" s="15"/>
      <c r="E190" s="15"/>
      <c r="F190" s="15"/>
    </row>
    <row r="191" spans="1:6" x14ac:dyDescent="0.2">
      <c r="A191" s="15"/>
      <c r="B191" s="15"/>
      <c r="C191" s="15"/>
      <c r="D191" s="15"/>
      <c r="E191" s="15"/>
      <c r="F191" s="15"/>
    </row>
    <row r="192" spans="1:6" x14ac:dyDescent="0.2">
      <c r="A192" s="15"/>
      <c r="B192" s="15"/>
      <c r="C192" s="15"/>
      <c r="D192" s="15"/>
      <c r="E192" s="15"/>
      <c r="F192" s="15"/>
    </row>
    <row r="193" spans="1:6" x14ac:dyDescent="0.2">
      <c r="A193" s="15"/>
      <c r="B193" s="15"/>
      <c r="C193" s="15"/>
      <c r="D193" s="15"/>
      <c r="E193" s="15"/>
      <c r="F193" s="15"/>
    </row>
    <row r="194" spans="1:6" x14ac:dyDescent="0.2">
      <c r="A194" s="15"/>
      <c r="B194" s="15"/>
      <c r="C194" s="15"/>
      <c r="D194" s="15"/>
      <c r="E194" s="15"/>
      <c r="F194" s="15"/>
    </row>
    <row r="195" spans="1:6" x14ac:dyDescent="0.2">
      <c r="A195" s="15"/>
      <c r="B195" s="15"/>
      <c r="C195" s="15"/>
      <c r="D195" s="15"/>
      <c r="E195" s="15"/>
      <c r="F195" s="15"/>
    </row>
    <row r="196" spans="1:6" x14ac:dyDescent="0.2">
      <c r="A196" s="15"/>
      <c r="B196" s="15"/>
      <c r="C196" s="15"/>
      <c r="D196" s="15"/>
      <c r="E196" s="15"/>
      <c r="F196" s="15"/>
    </row>
    <row r="197" spans="1:6" x14ac:dyDescent="0.2">
      <c r="A197" s="15"/>
      <c r="B197" s="15"/>
      <c r="C197" s="15"/>
      <c r="D197" s="15"/>
      <c r="E197" s="15"/>
      <c r="F197" s="15"/>
    </row>
    <row r="198" spans="1:6" x14ac:dyDescent="0.2">
      <c r="A198" s="15"/>
      <c r="B198" s="15"/>
      <c r="C198" s="15"/>
      <c r="D198" s="15"/>
      <c r="E198" s="15"/>
      <c r="F198" s="15"/>
    </row>
    <row r="199" spans="1:6" x14ac:dyDescent="0.2">
      <c r="A199" s="15"/>
      <c r="B199" s="15"/>
      <c r="C199" s="15"/>
      <c r="D199" s="15"/>
      <c r="E199" s="15"/>
      <c r="F199" s="15"/>
    </row>
    <row r="200" spans="1:6" x14ac:dyDescent="0.2">
      <c r="A200" s="15"/>
      <c r="B200" s="15"/>
      <c r="C200" s="15"/>
      <c r="D200" s="15"/>
      <c r="E200" s="15"/>
      <c r="F200" s="15"/>
    </row>
    <row r="201" spans="1:6" x14ac:dyDescent="0.2">
      <c r="A201" s="15"/>
      <c r="B201" s="15"/>
      <c r="C201" s="15"/>
      <c r="D201" s="15"/>
      <c r="E201" s="15"/>
      <c r="F201" s="15"/>
    </row>
    <row r="202" spans="1:6" x14ac:dyDescent="0.2">
      <c r="A202" s="15"/>
      <c r="B202" s="15"/>
      <c r="C202" s="15"/>
      <c r="D202" s="15"/>
      <c r="E202" s="15"/>
      <c r="F202" s="15"/>
    </row>
    <row r="203" spans="1:6" x14ac:dyDescent="0.2">
      <c r="A203" s="15"/>
      <c r="B203" s="15"/>
      <c r="C203" s="15"/>
      <c r="D203" s="15"/>
      <c r="E203" s="15"/>
      <c r="F203" s="15"/>
    </row>
    <row r="204" spans="1:6" x14ac:dyDescent="0.2">
      <c r="A204" s="15"/>
      <c r="B204" s="15"/>
      <c r="C204" s="15"/>
      <c r="D204" s="15"/>
      <c r="E204" s="15"/>
      <c r="F204" s="15"/>
    </row>
    <row r="205" spans="1:6" x14ac:dyDescent="0.2">
      <c r="A205" s="15"/>
      <c r="B205" s="15"/>
      <c r="C205" s="15"/>
      <c r="D205" s="15"/>
      <c r="E205" s="15"/>
      <c r="F205" s="15"/>
    </row>
    <row r="206" spans="1:6" x14ac:dyDescent="0.2">
      <c r="A206" s="15"/>
      <c r="B206" s="15"/>
      <c r="C206" s="15"/>
      <c r="D206" s="15"/>
      <c r="E206" s="15"/>
      <c r="F206" s="15"/>
    </row>
    <row r="207" spans="1:6" x14ac:dyDescent="0.2">
      <c r="A207" s="15"/>
      <c r="B207" s="15"/>
      <c r="C207" s="15"/>
      <c r="D207" s="15"/>
      <c r="E207" s="15"/>
      <c r="F207" s="15"/>
    </row>
    <row r="208" spans="1:6" x14ac:dyDescent="0.2">
      <c r="A208" s="15"/>
      <c r="B208" s="15"/>
      <c r="C208" s="15"/>
      <c r="D208" s="15"/>
      <c r="E208" s="15"/>
      <c r="F208" s="15"/>
    </row>
    <row r="209" spans="1:6" x14ac:dyDescent="0.2">
      <c r="A209" s="15"/>
      <c r="B209" s="15"/>
      <c r="C209" s="15"/>
      <c r="D209" s="15"/>
      <c r="E209" s="15"/>
      <c r="F209" s="15"/>
    </row>
    <row r="210" spans="1:6" x14ac:dyDescent="0.2">
      <c r="A210" s="15"/>
      <c r="B210" s="15"/>
      <c r="C210" s="15"/>
      <c r="D210" s="15"/>
      <c r="E210" s="15"/>
      <c r="F210" s="15"/>
    </row>
  </sheetData>
  <sheetProtection selectLockedCells="1"/>
  <protectedRanges>
    <protectedRange sqref="H9 C20 C28" name="Vancomycin Empiric Dosing Variables"/>
  </protectedRanges>
  <mergeCells count="7">
    <mergeCell ref="I21:O21"/>
    <mergeCell ref="I22:O22"/>
    <mergeCell ref="A24:C24"/>
    <mergeCell ref="A1:D1"/>
    <mergeCell ref="E2:H2"/>
    <mergeCell ref="A2:C2"/>
    <mergeCell ref="I20:O20"/>
  </mergeCells>
  <phoneticPr fontId="6" type="noConversion"/>
  <dataValidations count="18">
    <dataValidation type="whole" allowBlank="1" showInputMessage="1" showErrorMessage="1" error="Calculator only valid for adult patients, please enter an age between 16-104 years" sqref="B3">
      <formula1>15</formula1>
      <formula2>105</formula2>
    </dataValidation>
    <dataValidation type="list" allowBlank="1" showInputMessage="1" showErrorMessage="1" sqref="C11">
      <formula1>$C$12:$C$13</formula1>
    </dataValidation>
    <dataValidation type="list" allowBlank="1" showInputMessage="1" showErrorMessage="1" sqref="C8">
      <formula1>$C$9:$C$10</formula1>
    </dataValidation>
    <dataValidation type="list" allowBlank="1" showInputMessage="1" showErrorMessage="1" sqref="B27">
      <formula1>B28:B31</formula1>
    </dataValidation>
    <dataValidation type="list" allowBlank="1" showInputMessage="1" showErrorMessage="1" sqref="G11">
      <formula1>$G$12:$G$13</formula1>
    </dataValidation>
    <dataValidation type="list" allowBlank="1" showInputMessage="1" showErrorMessage="1" sqref="G15">
      <formula1>#REF!</formula1>
    </dataValidation>
    <dataValidation type="decimal" allowBlank="1" showInputMessage="1" showErrorMessage="1" sqref="B43 G18">
      <formula1>0.5</formula1>
      <formula2>2.51</formula2>
    </dataValidation>
    <dataValidation type="decimal" allowBlank="1" showInputMessage="1" showErrorMessage="1" sqref="B42 G17">
      <formula1>45</formula1>
      <formula2>301</formula2>
    </dataValidation>
    <dataValidation type="decimal" allowBlank="1" showInputMessage="1" showErrorMessage="1" sqref="B41 G16">
      <formula1>5</formula1>
      <formula2>150</formula2>
    </dataValidation>
    <dataValidation type="list" allowBlank="1" showInputMessage="1" showErrorMessage="1" sqref="B4">
      <formula1>$B$5:B6</formula1>
    </dataValidation>
    <dataValidation type="decimal" allowBlank="1" showInputMessage="1" showErrorMessage="1" sqref="B7">
      <formula1>0.3</formula1>
      <formula2>6</formula2>
    </dataValidation>
    <dataValidation type="decimal" allowBlank="1" showInputMessage="1" showErrorMessage="1" sqref="B37 G14">
      <formula1>0.2</formula1>
      <formula2>0.55</formula2>
    </dataValidation>
    <dataValidation type="list" allowBlank="1" showInputMessage="1" showErrorMessage="1" sqref="C19">
      <formula1>$C$20:$C$22</formula1>
    </dataValidation>
    <dataValidation type="list" allowBlank="1" showInputMessage="1" showErrorMessage="1" sqref="B19">
      <formula1>$B$20:$B$21</formula1>
    </dataValidation>
    <dataValidation type="list" allowBlank="1" showInputMessage="1" showErrorMessage="1" sqref="G8">
      <formula1>G9:G10</formula1>
    </dataValidation>
    <dataValidation type="list" allowBlank="1" showInputMessage="1" showErrorMessage="1" sqref="B38">
      <formula1>$B$39:$B$40</formula1>
    </dataValidation>
    <dataValidation type="list" allowBlank="1" showInputMessage="1" showErrorMessage="1" sqref="B32">
      <formula1>$B$33:$B$36</formula1>
    </dataValidation>
    <dataValidation type="decimal" operator="greaterThan" allowBlank="1" showInputMessage="1" showErrorMessage="1" error="Input value greater than 0.25 mcg/mL" sqref="B26">
      <formula1>0.24</formula1>
    </dataValidation>
  </dataValidations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5" r:id="rId4" name="CommandButton3">
          <controlPr defaultSize="0" autoLine="0" r:id="rId5">
            <anchor moveWithCells="1">
              <from>
                <xdr:col>0</xdr:col>
                <xdr:colOff>28575</xdr:colOff>
                <xdr:row>2</xdr:row>
                <xdr:rowOff>0</xdr:rowOff>
              </from>
              <to>
                <xdr:col>0</xdr:col>
                <xdr:colOff>723900</xdr:colOff>
                <xdr:row>7</xdr:row>
                <xdr:rowOff>95250</xdr:rowOff>
              </to>
            </anchor>
          </controlPr>
        </control>
      </mc:Choice>
      <mc:Fallback>
        <control shapeId="27655" r:id="rId4" name="CommandButton3"/>
      </mc:Fallback>
    </mc:AlternateContent>
    <mc:AlternateContent xmlns:mc="http://schemas.openxmlformats.org/markup-compatibility/2006">
      <mc:Choice Requires="x14">
        <control shapeId="27654" r:id="rId6" name="CommandButton5">
          <controlPr defaultSize="0" autoLine="0" r:id="rId7">
            <anchor moveWithCells="1">
              <from>
                <xdr:col>0</xdr:col>
                <xdr:colOff>723900</xdr:colOff>
                <xdr:row>7</xdr:row>
                <xdr:rowOff>95250</xdr:rowOff>
              </from>
              <to>
                <xdr:col>0</xdr:col>
                <xdr:colOff>1419225</xdr:colOff>
                <xdr:row>14</xdr:row>
                <xdr:rowOff>190500</xdr:rowOff>
              </to>
            </anchor>
          </controlPr>
        </control>
      </mc:Choice>
      <mc:Fallback>
        <control shapeId="27654" r:id="rId6" name="CommandButton5"/>
      </mc:Fallback>
    </mc:AlternateContent>
    <mc:AlternateContent xmlns:mc="http://schemas.openxmlformats.org/markup-compatibility/2006">
      <mc:Choice Requires="x14">
        <control shapeId="27653" r:id="rId8" name="CommandButton4">
          <controlPr defaultSize="0" autoLine="0" r:id="rId9">
            <anchor moveWithCells="1">
              <from>
                <xdr:col>0</xdr:col>
                <xdr:colOff>28575</xdr:colOff>
                <xdr:row>48</xdr:row>
                <xdr:rowOff>38100</xdr:rowOff>
              </from>
              <to>
                <xdr:col>0</xdr:col>
                <xdr:colOff>895350</xdr:colOff>
                <xdr:row>50</xdr:row>
                <xdr:rowOff>209550</xdr:rowOff>
              </to>
            </anchor>
          </controlPr>
        </control>
      </mc:Choice>
      <mc:Fallback>
        <control shapeId="27653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2">
          <controlPr defaultSize="0" autoLine="0" r:id="rId11">
            <anchor moveWithCells="1">
              <from>
                <xdr:col>0</xdr:col>
                <xdr:colOff>723900</xdr:colOff>
                <xdr:row>2</xdr:row>
                <xdr:rowOff>0</xdr:rowOff>
              </from>
              <to>
                <xdr:col>0</xdr:col>
                <xdr:colOff>1419225</xdr:colOff>
                <xdr:row>7</xdr:row>
                <xdr:rowOff>95250</xdr:rowOff>
              </to>
            </anchor>
          </controlPr>
        </control>
      </mc:Choice>
      <mc:Fallback>
        <control shapeId="27651" r:id="rId10" name="CommandButton2"/>
      </mc:Fallback>
    </mc:AlternateContent>
    <mc:AlternateContent xmlns:mc="http://schemas.openxmlformats.org/markup-compatibility/2006">
      <mc:Choice Requires="x14">
        <control shapeId="27650" r:id="rId12" name="CommandButton1">
          <controlPr locked="0" defaultSize="0" autoLine="0" r:id="rId13">
            <anchor moveWithCells="1">
              <from>
                <xdr:col>0</xdr:col>
                <xdr:colOff>28575</xdr:colOff>
                <xdr:row>7</xdr:row>
                <xdr:rowOff>95250</xdr:rowOff>
              </from>
              <to>
                <xdr:col>0</xdr:col>
                <xdr:colOff>723900</xdr:colOff>
                <xdr:row>14</xdr:row>
                <xdr:rowOff>190500</xdr:rowOff>
              </to>
            </anchor>
          </controlPr>
        </control>
      </mc:Choice>
      <mc:Fallback>
        <control shapeId="27650" r:id="rId12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V109"/>
  <sheetViews>
    <sheetView showGridLines="0" showRowColHeaders="0" workbookViewId="0">
      <selection activeCell="C2" sqref="C2"/>
    </sheetView>
  </sheetViews>
  <sheetFormatPr defaultColWidth="8.85546875" defaultRowHeight="18" x14ac:dyDescent="0.25"/>
  <cols>
    <col min="1" max="1" width="5.7109375" style="23" customWidth="1"/>
    <col min="2" max="2" width="36.5703125" style="23" customWidth="1"/>
    <col min="3" max="3" width="26.5703125" style="37" bestFit="1" customWidth="1"/>
    <col min="4" max="4" width="25.42578125" style="23" customWidth="1"/>
    <col min="5" max="8" width="24.140625" style="23" hidden="1" customWidth="1"/>
    <col min="9" max="9" width="30.42578125" style="23" customWidth="1"/>
    <col min="10" max="10" width="30.7109375" style="23" bestFit="1" customWidth="1"/>
    <col min="11" max="11" width="9.42578125" style="23" bestFit="1" customWidth="1"/>
    <col min="12" max="12" width="12.85546875" style="23" bestFit="1" customWidth="1"/>
    <col min="13" max="13" width="12.85546875" style="23" customWidth="1"/>
    <col min="14" max="16384" width="8.85546875" style="23"/>
  </cols>
  <sheetData>
    <row r="1" spans="1:22" x14ac:dyDescent="0.25">
      <c r="A1" s="288" t="s">
        <v>25</v>
      </c>
      <c r="B1" s="288"/>
      <c r="C1" s="288"/>
      <c r="D1" s="288"/>
      <c r="I1" s="297" t="s">
        <v>208</v>
      </c>
      <c r="J1" s="297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</row>
    <row r="2" spans="1:22" s="83" customFormat="1" x14ac:dyDescent="0.25">
      <c r="A2" s="80"/>
      <c r="B2" s="81" t="s">
        <v>164</v>
      </c>
      <c r="C2" s="82" t="s">
        <v>162</v>
      </c>
      <c r="D2" s="81"/>
      <c r="E2" s="232"/>
      <c r="I2" s="84"/>
      <c r="J2" s="21"/>
      <c r="K2" s="21"/>
      <c r="L2" s="21"/>
      <c r="M2" s="21"/>
      <c r="N2" s="21"/>
      <c r="O2" s="21"/>
      <c r="P2" s="21"/>
      <c r="Q2" s="84"/>
      <c r="R2" s="84"/>
      <c r="S2" s="84"/>
      <c r="T2" s="84"/>
      <c r="U2" s="84"/>
      <c r="V2" s="84"/>
    </row>
    <row r="3" spans="1:22" s="83" customFormat="1" hidden="1" x14ac:dyDescent="0.25">
      <c r="A3" s="80"/>
      <c r="B3" s="81"/>
      <c r="C3" s="176" t="s">
        <v>162</v>
      </c>
      <c r="D3" s="81"/>
      <c r="E3" s="232"/>
      <c r="I3" s="84"/>
      <c r="J3" s="21"/>
      <c r="K3" s="21"/>
      <c r="L3" s="21"/>
      <c r="M3" s="21"/>
      <c r="N3" s="21"/>
      <c r="O3" s="21"/>
      <c r="P3" s="21"/>
      <c r="Q3" s="84"/>
      <c r="R3" s="84"/>
      <c r="S3" s="84"/>
      <c r="T3" s="84"/>
      <c r="U3" s="84"/>
      <c r="V3" s="84"/>
    </row>
    <row r="4" spans="1:22" s="83" customFormat="1" hidden="1" x14ac:dyDescent="0.25">
      <c r="A4" s="80"/>
      <c r="B4" s="81"/>
      <c r="C4" s="176" t="s">
        <v>165</v>
      </c>
      <c r="D4" s="81"/>
      <c r="E4" s="232"/>
      <c r="I4" s="84"/>
      <c r="J4" s="21"/>
      <c r="K4" s="21"/>
      <c r="L4" s="21"/>
      <c r="M4" s="21"/>
      <c r="N4" s="21"/>
      <c r="O4" s="21"/>
      <c r="P4" s="21"/>
      <c r="Q4" s="84"/>
      <c r="R4" s="84"/>
      <c r="S4" s="84"/>
      <c r="T4" s="84"/>
      <c r="U4" s="84"/>
      <c r="V4" s="84"/>
    </row>
    <row r="5" spans="1:22" s="83" customFormat="1" hidden="1" x14ac:dyDescent="0.25">
      <c r="A5" s="80"/>
      <c r="B5" s="81"/>
      <c r="C5" s="176" t="s">
        <v>166</v>
      </c>
      <c r="D5" s="81"/>
      <c r="E5" s="232"/>
      <c r="I5" s="84"/>
      <c r="J5" s="21"/>
      <c r="K5" s="21"/>
      <c r="L5" s="21"/>
      <c r="M5" s="21"/>
      <c r="N5" s="21"/>
      <c r="O5" s="21"/>
      <c r="P5" s="21"/>
      <c r="Q5" s="84"/>
      <c r="R5" s="84"/>
      <c r="S5" s="84"/>
      <c r="T5" s="84"/>
      <c r="U5" s="84"/>
      <c r="V5" s="84"/>
    </row>
    <row r="6" spans="1:22" s="83" customFormat="1" x14ac:dyDescent="0.25">
      <c r="A6" s="84"/>
      <c r="B6" s="90" t="s">
        <v>38</v>
      </c>
      <c r="C6" s="82"/>
      <c r="D6" s="91" t="s">
        <v>4</v>
      </c>
      <c r="E6" s="232"/>
      <c r="I6" s="89"/>
      <c r="J6" s="21"/>
      <c r="K6" s="21"/>
      <c r="L6" s="21"/>
      <c r="M6" s="21"/>
      <c r="N6" s="21"/>
      <c r="O6" s="21"/>
      <c r="P6" s="21"/>
      <c r="Q6" s="84"/>
      <c r="R6" s="84"/>
      <c r="S6" s="84"/>
      <c r="T6" s="84"/>
      <c r="U6" s="84"/>
      <c r="V6" s="84"/>
    </row>
    <row r="7" spans="1:22" s="83" customFormat="1" x14ac:dyDescent="0.25">
      <c r="A7" s="84"/>
      <c r="B7" s="90" t="s">
        <v>130</v>
      </c>
      <c r="C7" s="82"/>
      <c r="D7" s="91" t="s">
        <v>82</v>
      </c>
      <c r="E7" s="235"/>
      <c r="I7" s="89"/>
      <c r="J7" s="21"/>
      <c r="K7" s="21"/>
      <c r="L7" s="21"/>
      <c r="M7" s="21"/>
      <c r="N7" s="21"/>
      <c r="O7" s="21"/>
      <c r="P7" s="21"/>
      <c r="Q7" s="84"/>
      <c r="R7" s="84"/>
      <c r="S7" s="84"/>
      <c r="T7" s="84"/>
      <c r="U7" s="84"/>
      <c r="V7" s="84"/>
    </row>
    <row r="8" spans="1:22" s="83" customFormat="1" x14ac:dyDescent="0.25">
      <c r="A8" s="84"/>
      <c r="B8" s="90" t="s">
        <v>75</v>
      </c>
      <c r="C8" s="173"/>
      <c r="D8" s="169">
        <f ca="1">IF(E2="",IF(C8&lt;F11,TODAY()+C8,C8),E2)</f>
        <v>43934</v>
      </c>
      <c r="E8" s="93"/>
      <c r="F8" s="93"/>
      <c r="G8" s="93"/>
      <c r="H8" s="93"/>
      <c r="I8" s="89"/>
      <c r="J8" s="21"/>
      <c r="K8" s="21"/>
      <c r="L8" s="21"/>
      <c r="M8" s="21"/>
      <c r="N8" s="21"/>
      <c r="O8" s="21"/>
      <c r="P8" s="21"/>
      <c r="Q8" s="84"/>
      <c r="R8" s="84"/>
      <c r="S8" s="84"/>
      <c r="T8" s="84"/>
      <c r="U8" s="84"/>
      <c r="V8" s="84"/>
    </row>
    <row r="9" spans="1:22" s="83" customFormat="1" x14ac:dyDescent="0.25">
      <c r="A9" s="84"/>
      <c r="B9" s="90" t="s">
        <v>15</v>
      </c>
      <c r="C9" s="94">
        <v>0.5</v>
      </c>
      <c r="D9" s="91" t="s">
        <v>77</v>
      </c>
      <c r="E9" s="95">
        <f>C9/24</f>
        <v>2.0833333333333332E-2</v>
      </c>
      <c r="F9" s="95"/>
      <c r="G9" s="95"/>
      <c r="H9" s="95"/>
      <c r="I9" s="220" t="str">
        <f>IF(ISERROR(C16&lt;0),"",IF(C16&lt;0,"Check date",""))</f>
        <v/>
      </c>
      <c r="J9" s="21"/>
      <c r="K9" s="21"/>
      <c r="L9" s="21"/>
      <c r="M9" s="21"/>
      <c r="N9" s="21"/>
      <c r="O9" s="21"/>
      <c r="P9" s="21"/>
      <c r="Q9" s="84"/>
      <c r="R9" s="84"/>
      <c r="S9" s="84"/>
      <c r="T9" s="84"/>
      <c r="U9" s="84"/>
      <c r="V9" s="84"/>
    </row>
    <row r="10" spans="1:22" s="83" customFormat="1" x14ac:dyDescent="0.25">
      <c r="A10" s="84"/>
      <c r="B10" s="90" t="s">
        <v>11</v>
      </c>
      <c r="C10" s="94"/>
      <c r="D10" s="91" t="s">
        <v>8</v>
      </c>
      <c r="E10" s="96" t="str">
        <f>TEXT(C11,"h:mm AM/PM")</f>
        <v>12:00 AM</v>
      </c>
      <c r="F10" s="96"/>
      <c r="G10" s="96"/>
      <c r="H10" s="96"/>
      <c r="I10" s="220" t="str">
        <f>IF(ISERROR(C18&lt;C10),"",IF(C18&lt;C10,"Check date",""))</f>
        <v/>
      </c>
      <c r="J10" s="21"/>
      <c r="K10" s="21"/>
      <c r="L10" s="21"/>
      <c r="M10" s="21"/>
      <c r="N10" s="21"/>
      <c r="O10" s="21"/>
      <c r="P10" s="21"/>
      <c r="Q10" s="84"/>
      <c r="R10" s="84"/>
      <c r="S10" s="84"/>
      <c r="T10" s="84"/>
      <c r="U10" s="84"/>
      <c r="V10" s="84"/>
    </row>
    <row r="11" spans="1:22" s="83" customFormat="1" x14ac:dyDescent="0.25">
      <c r="A11" s="84"/>
      <c r="B11" s="90" t="s">
        <v>73</v>
      </c>
      <c r="C11" s="173"/>
      <c r="D11" s="169">
        <f ca="1">IF(E6="",IF(C11&lt;F11,TODAY()+C11,C11),E6)</f>
        <v>43934</v>
      </c>
      <c r="E11" s="99">
        <f ca="1">(D11-(D8+E9))*24</f>
        <v>-0.50000000005820766</v>
      </c>
      <c r="F11" s="95">
        <v>1</v>
      </c>
      <c r="G11" s="99"/>
      <c r="H11" s="99"/>
      <c r="I11" s="84"/>
      <c r="J11" s="84"/>
      <c r="K11" s="21"/>
      <c r="L11" s="21"/>
      <c r="M11" s="21"/>
      <c r="N11" s="21"/>
      <c r="O11" s="21"/>
      <c r="P11" s="21"/>
      <c r="Q11" s="84"/>
      <c r="R11" s="84"/>
      <c r="S11" s="84"/>
      <c r="T11" s="84"/>
      <c r="U11" s="84"/>
      <c r="V11" s="84"/>
    </row>
    <row r="12" spans="1:22" s="83" customFormat="1" x14ac:dyDescent="0.25">
      <c r="A12" s="84"/>
      <c r="B12" s="90" t="s">
        <v>12</v>
      </c>
      <c r="C12" s="94"/>
      <c r="D12" s="91" t="s">
        <v>8</v>
      </c>
      <c r="E12" s="96" t="str">
        <f>TEXT(C13,"h:mm AM/PM")</f>
        <v>12:00 AM</v>
      </c>
      <c r="F12" s="96"/>
      <c r="G12" s="96"/>
      <c r="H12" s="96"/>
      <c r="I12" s="84"/>
      <c r="J12" s="84"/>
      <c r="K12" s="21"/>
      <c r="L12" s="21"/>
      <c r="M12" s="21"/>
      <c r="N12" s="21"/>
      <c r="O12" s="21"/>
      <c r="P12" s="21"/>
      <c r="Q12" s="84"/>
      <c r="R12" s="84"/>
      <c r="S12" s="84"/>
      <c r="T12" s="84"/>
      <c r="U12" s="84"/>
      <c r="V12" s="84"/>
    </row>
    <row r="13" spans="1:22" s="101" customFormat="1" x14ac:dyDescent="0.25">
      <c r="A13" s="84"/>
      <c r="B13" s="90" t="s">
        <v>74</v>
      </c>
      <c r="C13" s="173"/>
      <c r="D13" s="169">
        <f ca="1">IF(C13&lt;F11,TODAY()+C13,C13)</f>
        <v>43934</v>
      </c>
      <c r="E13" s="99">
        <f ca="1">(D13-D11)*24</f>
        <v>0</v>
      </c>
      <c r="F13" s="99"/>
      <c r="G13" s="99"/>
      <c r="H13" s="99"/>
      <c r="I13" s="100"/>
      <c r="J13" s="21"/>
      <c r="K13" s="21"/>
      <c r="L13" s="21"/>
      <c r="M13" s="21"/>
      <c r="N13" s="21"/>
      <c r="O13" s="21"/>
      <c r="P13" s="21"/>
      <c r="Q13" s="84"/>
      <c r="R13" s="84"/>
      <c r="S13" s="84"/>
      <c r="T13" s="84"/>
      <c r="U13" s="84"/>
      <c r="V13" s="84"/>
    </row>
    <row r="14" spans="1:22" s="27" customFormat="1" ht="9.75" customHeight="1" x14ac:dyDescent="0.25">
      <c r="A14" s="21"/>
      <c r="B14" s="21"/>
      <c r="C14" s="22"/>
      <c r="D14" s="21"/>
      <c r="E14" s="28">
        <f ca="1">(D11-(D8+1/24))*24</f>
        <v>-0.99999999994179234</v>
      </c>
      <c r="F14" s="192"/>
      <c r="G14" s="192"/>
      <c r="H14" s="192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</row>
    <row r="15" spans="1:22" x14ac:dyDescent="0.25">
      <c r="A15" s="289" t="s">
        <v>106</v>
      </c>
      <c r="B15" s="289"/>
      <c r="C15" s="289"/>
      <c r="D15" s="289"/>
      <c r="E15" s="38"/>
      <c r="F15" s="193"/>
      <c r="G15" s="193"/>
      <c r="H15" s="193"/>
      <c r="I15" s="18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</row>
    <row r="16" spans="1:22" ht="15.75" customHeight="1" x14ac:dyDescent="0.25">
      <c r="A16" s="18"/>
      <c r="B16" s="71" t="s">
        <v>6</v>
      </c>
      <c r="C16" s="73" t="str">
        <f>IF(C10=0,"",(LN(C10/C12))/E13)</f>
        <v/>
      </c>
      <c r="D16" s="72" t="s">
        <v>173</v>
      </c>
      <c r="E16" s="38"/>
      <c r="F16" s="193"/>
      <c r="G16" s="193"/>
      <c r="H16" s="193"/>
      <c r="I16" s="66" t="s">
        <v>97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</row>
    <row r="17" spans="1:22" ht="15.75" customHeight="1" x14ac:dyDescent="0.25">
      <c r="A17" s="18"/>
      <c r="B17" s="71" t="s">
        <v>177</v>
      </c>
      <c r="C17" s="191" t="str">
        <f>IF(C16="","",LN(2)/C16)</f>
        <v/>
      </c>
      <c r="D17" s="72" t="s">
        <v>77</v>
      </c>
      <c r="E17" s="39" t="e">
        <f>(C6/C9)*(1-EXP(-C16*C9))/(C16*C18)</f>
        <v>#VALUE!</v>
      </c>
      <c r="F17" s="193"/>
      <c r="G17" s="193"/>
      <c r="H17" s="193"/>
      <c r="I17" s="66" t="s">
        <v>98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</row>
    <row r="18" spans="1:22" ht="15.75" customHeight="1" x14ac:dyDescent="0.25">
      <c r="A18" s="18"/>
      <c r="B18" s="71" t="s">
        <v>142</v>
      </c>
      <c r="C18" s="41" t="str">
        <f>IF(C16="","",C10/(EXP(-C16*E11)))</f>
        <v/>
      </c>
      <c r="D18" s="72" t="s">
        <v>8</v>
      </c>
      <c r="E18" s="236" t="e">
        <f>(C6/C9)*(1-EXP(-C16*C9))/(C16*C18*(1-EXP(-C16*C7)))</f>
        <v>#VALUE!</v>
      </c>
      <c r="F18" s="193"/>
      <c r="G18" s="193"/>
      <c r="H18" s="193"/>
      <c r="I18" s="66" t="s">
        <v>99</v>
      </c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</row>
    <row r="19" spans="1:22" ht="15.75" customHeight="1" x14ac:dyDescent="0.25">
      <c r="A19" s="18"/>
      <c r="B19" s="71" t="s">
        <v>143</v>
      </c>
      <c r="C19" s="41" t="str">
        <f>IF(C7="","",C18*EXP(-C16*(C7-C9)))</f>
        <v/>
      </c>
      <c r="D19" s="72" t="s">
        <v>8</v>
      </c>
      <c r="I19" s="66" t="s">
        <v>100</v>
      </c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</row>
    <row r="20" spans="1:22" ht="15.75" customHeight="1" x14ac:dyDescent="0.25">
      <c r="A20" s="18"/>
      <c r="B20" s="71" t="s">
        <v>178</v>
      </c>
      <c r="C20" s="41" t="str">
        <f>IF(C13="","",IF(C2="High dose",E17,IF(C2="Trad dose (first dose)",E17,E18)))</f>
        <v/>
      </c>
      <c r="D20" s="72" t="s">
        <v>5</v>
      </c>
      <c r="E20" s="39"/>
      <c r="F20" s="194"/>
      <c r="G20" s="194"/>
      <c r="H20" s="194"/>
      <c r="I20" s="66" t="s">
        <v>101</v>
      </c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</row>
    <row r="21" spans="1:22" ht="15.75" customHeight="1" x14ac:dyDescent="0.25">
      <c r="A21" s="21"/>
      <c r="B21" s="21"/>
      <c r="C21" s="22"/>
      <c r="D21" s="21"/>
      <c r="E21" s="38">
        <v>0.5</v>
      </c>
      <c r="F21" s="193">
        <v>2</v>
      </c>
      <c r="G21" s="193"/>
      <c r="H21" s="193"/>
      <c r="I21" s="67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2" x14ac:dyDescent="0.25">
      <c r="A22" s="301" t="s">
        <v>167</v>
      </c>
      <c r="B22" s="302"/>
      <c r="C22" s="302"/>
      <c r="D22" s="302"/>
      <c r="E22" s="302"/>
      <c r="F22" s="302"/>
      <c r="G22" s="302"/>
      <c r="H22" s="302"/>
      <c r="I22" s="303"/>
      <c r="J22" s="1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</row>
    <row r="23" spans="1:22" s="83" customFormat="1" ht="16.5" customHeight="1" thickBot="1" x14ac:dyDescent="0.3">
      <c r="A23" s="84"/>
      <c r="B23" s="208"/>
      <c r="C23" s="209" t="s">
        <v>172</v>
      </c>
      <c r="D23" s="213" t="s">
        <v>169</v>
      </c>
      <c r="E23" s="209" t="s">
        <v>163</v>
      </c>
      <c r="F23" s="209" t="s">
        <v>163</v>
      </c>
      <c r="G23" s="209" t="s">
        <v>163</v>
      </c>
      <c r="H23" s="209" t="s">
        <v>163</v>
      </c>
      <c r="I23" s="213" t="s">
        <v>170</v>
      </c>
      <c r="J23" s="84"/>
      <c r="K23" s="21"/>
      <c r="L23" s="21"/>
      <c r="M23" s="21"/>
      <c r="N23" s="21"/>
      <c r="O23" s="21"/>
      <c r="P23" s="21"/>
      <c r="Q23" s="84"/>
      <c r="R23" s="84"/>
      <c r="S23" s="84"/>
      <c r="T23" s="84"/>
      <c r="U23" s="84"/>
      <c r="V23" s="84"/>
    </row>
    <row r="24" spans="1:22" s="83" customFormat="1" ht="18" customHeight="1" x14ac:dyDescent="0.25">
      <c r="A24" s="298" t="s">
        <v>168</v>
      </c>
      <c r="B24" s="200" t="s">
        <v>207</v>
      </c>
      <c r="C24" s="205" t="e">
        <f t="shared" ref="C24:C30" si="0">CONCATENATE(10*ROUND(E24/10,1),"mg IV q",ROUND(F24,0),"h")</f>
        <v>#VALUE!</v>
      </c>
      <c r="D24" s="214" t="e">
        <f t="shared" ref="D24:D30" si="1">CONCATENATE(E34,"mg IV q",F34," hours")</f>
        <v>#VALUE!</v>
      </c>
      <c r="E24" s="211" t="e">
        <f>(20-0.25)*$C$20</f>
        <v>#VALUE!</v>
      </c>
      <c r="F24" s="211" t="e">
        <f>LN($E$21/20)/-$C$16+0.5</f>
        <v>#VALUE!</v>
      </c>
      <c r="G24" s="211"/>
      <c r="H24" s="211"/>
      <c r="I24" s="217" t="e">
        <f t="shared" ref="I24:I30" si="2">CONCATENATE(ROUND(G34,1)," / ",ROUND(H34,2))</f>
        <v>#VALUE!</v>
      </c>
      <c r="J24" s="84"/>
      <c r="K24" s="21"/>
      <c r="L24" s="21"/>
      <c r="M24" s="21"/>
      <c r="N24" s="21"/>
      <c r="O24" s="21"/>
      <c r="P24" s="21"/>
      <c r="Q24" s="84"/>
      <c r="R24" s="84"/>
      <c r="S24" s="84"/>
      <c r="T24" s="84"/>
      <c r="U24" s="84"/>
      <c r="V24" s="84"/>
    </row>
    <row r="25" spans="1:22" s="83" customFormat="1" ht="18" customHeight="1" x14ac:dyDescent="0.25">
      <c r="A25" s="299"/>
      <c r="B25" s="90" t="s">
        <v>118</v>
      </c>
      <c r="C25" s="206" t="e">
        <f t="shared" si="0"/>
        <v>#VALUE!</v>
      </c>
      <c r="D25" s="215" t="e">
        <f t="shared" si="1"/>
        <v>#VALUE!</v>
      </c>
      <c r="E25" s="210" t="e">
        <f>(4-0.5)*$C$20</f>
        <v>#VALUE!</v>
      </c>
      <c r="F25" s="210" t="e">
        <f>LN($E$21/4)/-$C$16+0.5</f>
        <v>#VALUE!</v>
      </c>
      <c r="I25" s="218" t="e">
        <f t="shared" si="2"/>
        <v>#VALUE!</v>
      </c>
      <c r="J25" s="84"/>
      <c r="K25" s="21"/>
      <c r="L25" s="21"/>
      <c r="M25" s="21"/>
      <c r="N25" s="21"/>
      <c r="O25" s="21"/>
      <c r="P25" s="21"/>
      <c r="Q25" s="84"/>
      <c r="R25" s="84"/>
      <c r="S25" s="84"/>
      <c r="T25" s="84"/>
      <c r="U25" s="84"/>
      <c r="V25" s="84"/>
    </row>
    <row r="26" spans="1:22" s="83" customFormat="1" ht="18" hidden="1" customHeight="1" x14ac:dyDescent="0.25">
      <c r="A26" s="299"/>
      <c r="B26" s="90"/>
      <c r="C26" s="206" t="e">
        <f t="shared" si="0"/>
        <v>#VALUE!</v>
      </c>
      <c r="D26" s="215" t="e">
        <f t="shared" si="1"/>
        <v>#VALUE!</v>
      </c>
      <c r="E26" s="210" t="e">
        <f>(20-0.25)*$C$20</f>
        <v>#VALUE!</v>
      </c>
      <c r="F26" s="210" t="e">
        <f>LN($E$21/20)/-$C$16+0.5</f>
        <v>#VALUE!</v>
      </c>
      <c r="G26" s="210"/>
      <c r="H26" s="210"/>
      <c r="I26" s="218" t="e">
        <f t="shared" si="2"/>
        <v>#VALUE!</v>
      </c>
      <c r="J26" s="84"/>
      <c r="K26" s="21"/>
      <c r="L26" s="21"/>
      <c r="M26" s="21"/>
      <c r="N26" s="21"/>
      <c r="O26" s="21"/>
      <c r="P26" s="21"/>
      <c r="Q26" s="84"/>
      <c r="R26" s="84"/>
      <c r="S26" s="84"/>
      <c r="T26" s="84"/>
      <c r="U26" s="84"/>
      <c r="V26" s="84"/>
    </row>
    <row r="27" spans="1:22" s="83" customFormat="1" ht="18" customHeight="1" thickBot="1" x14ac:dyDescent="0.3">
      <c r="A27" s="300"/>
      <c r="B27" s="201" t="s">
        <v>119</v>
      </c>
      <c r="C27" s="207" t="e">
        <f t="shared" si="0"/>
        <v>#VALUE!</v>
      </c>
      <c r="D27" s="216" t="e">
        <f t="shared" si="1"/>
        <v>#VALUE!</v>
      </c>
      <c r="E27" s="212" t="e">
        <f>(4-0.5)*$C$20</f>
        <v>#VALUE!</v>
      </c>
      <c r="F27" s="212" t="e">
        <f>LN($E$21/4)/-$C$16+0.5</f>
        <v>#VALUE!</v>
      </c>
      <c r="I27" s="219" t="e">
        <f t="shared" si="2"/>
        <v>#VALUE!</v>
      </c>
      <c r="J27" s="84"/>
      <c r="K27" s="21"/>
      <c r="L27" s="21"/>
      <c r="M27" s="21"/>
      <c r="N27" s="21"/>
      <c r="O27" s="21"/>
      <c r="P27" s="21"/>
      <c r="Q27" s="84"/>
      <c r="R27" s="84"/>
      <c r="S27" s="84"/>
      <c r="T27" s="84"/>
      <c r="U27" s="84"/>
      <c r="V27" s="84"/>
    </row>
    <row r="28" spans="1:22" s="83" customFormat="1" ht="18" hidden="1" customHeight="1" x14ac:dyDescent="0.25">
      <c r="A28" s="298" t="s">
        <v>117</v>
      </c>
      <c r="B28" s="200" t="s">
        <v>207</v>
      </c>
      <c r="C28" s="205" t="e">
        <f t="shared" si="0"/>
        <v>#VALUE!</v>
      </c>
      <c r="D28" s="214" t="e">
        <f t="shared" si="1"/>
        <v>#VALUE!</v>
      </c>
      <c r="E28" s="211" t="e">
        <f>(70-1)*$C$20</f>
        <v>#VALUE!</v>
      </c>
      <c r="F28" s="211" t="e">
        <f>LN($F$21/70)/-$C$16+0.5</f>
        <v>#VALUE!</v>
      </c>
      <c r="G28" s="211"/>
      <c r="H28" s="211"/>
      <c r="I28" s="217" t="e">
        <f t="shared" si="2"/>
        <v>#VALUE!</v>
      </c>
      <c r="J28" s="84"/>
      <c r="K28" s="21"/>
      <c r="L28" s="21"/>
      <c r="M28" s="21"/>
      <c r="N28" s="21"/>
      <c r="O28" s="21"/>
      <c r="P28" s="21"/>
      <c r="Q28" s="84"/>
      <c r="R28" s="84"/>
      <c r="S28" s="84"/>
      <c r="T28" s="84"/>
      <c r="U28" s="84"/>
      <c r="V28" s="84"/>
    </row>
    <row r="29" spans="1:22" s="83" customFormat="1" ht="18" customHeight="1" x14ac:dyDescent="0.25">
      <c r="A29" s="299"/>
      <c r="B29" s="90" t="s">
        <v>118</v>
      </c>
      <c r="C29" s="206" t="e">
        <f t="shared" si="0"/>
        <v>#VALUE!</v>
      </c>
      <c r="D29" s="215" t="e">
        <f t="shared" si="1"/>
        <v>#VALUE!</v>
      </c>
      <c r="E29" s="210" t="e">
        <f>(17.5-4)*$C$20</f>
        <v>#VALUE!</v>
      </c>
      <c r="F29" s="210" t="e">
        <f>LN($F$21/17.5)/-$C$16+0.5</f>
        <v>#VALUE!</v>
      </c>
      <c r="I29" s="218" t="e">
        <f t="shared" si="2"/>
        <v>#VALUE!</v>
      </c>
      <c r="J29" s="84"/>
      <c r="K29" s="21"/>
      <c r="L29" s="21"/>
      <c r="M29" s="21"/>
      <c r="N29" s="21"/>
      <c r="O29" s="21"/>
      <c r="P29" s="21"/>
      <c r="Q29" s="84"/>
      <c r="R29" s="84"/>
      <c r="S29" s="84"/>
      <c r="T29" s="84"/>
      <c r="U29" s="84"/>
      <c r="V29" s="84"/>
    </row>
    <row r="30" spans="1:22" s="83" customFormat="1" ht="18" customHeight="1" thickBot="1" x14ac:dyDescent="0.3">
      <c r="A30" s="300"/>
      <c r="B30" s="201" t="s">
        <v>207</v>
      </c>
      <c r="C30" s="207" t="e">
        <f t="shared" si="0"/>
        <v>#VALUE!</v>
      </c>
      <c r="D30" s="216" t="e">
        <f t="shared" si="1"/>
        <v>#VALUE!</v>
      </c>
      <c r="E30" s="212" t="e">
        <f>(70-1)*$C$20</f>
        <v>#VALUE!</v>
      </c>
      <c r="F30" s="212" t="e">
        <f>LN($F$21/70)/-$C$16+0.5</f>
        <v>#VALUE!</v>
      </c>
      <c r="G30" s="212"/>
      <c r="H30" s="212"/>
      <c r="I30" s="219" t="e">
        <f t="shared" si="2"/>
        <v>#VALUE!</v>
      </c>
      <c r="J30" s="84"/>
      <c r="K30" s="21"/>
      <c r="L30" s="21"/>
      <c r="M30" s="21"/>
      <c r="N30" s="21"/>
      <c r="O30" s="21"/>
      <c r="P30" s="21"/>
      <c r="Q30" s="84"/>
      <c r="R30" s="84"/>
      <c r="S30" s="84"/>
      <c r="T30" s="84"/>
      <c r="U30" s="84"/>
      <c r="V30" s="84"/>
    </row>
    <row r="31" spans="1:22" s="83" customFormat="1" ht="9.75" customHeight="1" x14ac:dyDescent="0.25">
      <c r="A31" s="153"/>
      <c r="B31" s="202"/>
      <c r="C31" s="203"/>
      <c r="D31" s="203"/>
      <c r="E31" s="195"/>
      <c r="F31" s="195"/>
      <c r="G31" s="195"/>
      <c r="H31" s="195"/>
      <c r="I31" s="68"/>
      <c r="J31" s="21"/>
      <c r="K31" s="21"/>
      <c r="L31" s="21"/>
      <c r="M31" s="21"/>
      <c r="N31" s="21"/>
      <c r="O31" s="21"/>
      <c r="P31" s="21"/>
      <c r="Q31" s="84"/>
      <c r="R31" s="84"/>
      <c r="S31" s="84"/>
      <c r="T31" s="84"/>
      <c r="U31" s="84"/>
      <c r="V31" s="84"/>
    </row>
    <row r="32" spans="1:22" s="83" customFormat="1" ht="17.25" customHeight="1" x14ac:dyDescent="0.25">
      <c r="A32" s="289" t="s">
        <v>158</v>
      </c>
      <c r="B32" s="289"/>
      <c r="C32" s="289"/>
      <c r="D32" s="289"/>
      <c r="E32" s="104"/>
      <c r="F32" s="195"/>
      <c r="G32" s="195"/>
      <c r="H32" s="195"/>
      <c r="I32" s="69"/>
      <c r="J32" s="21"/>
      <c r="K32" s="21"/>
      <c r="L32" s="21"/>
      <c r="M32" s="21"/>
      <c r="N32" s="21"/>
      <c r="O32" s="21"/>
      <c r="P32" s="21"/>
      <c r="Q32" s="84"/>
      <c r="R32" s="84"/>
      <c r="S32" s="84"/>
      <c r="T32" s="84"/>
      <c r="U32" s="84"/>
      <c r="V32" s="84"/>
    </row>
    <row r="33" spans="1:22" s="83" customFormat="1" ht="17.25" customHeight="1" x14ac:dyDescent="0.25">
      <c r="A33" s="84"/>
      <c r="B33" s="90" t="s">
        <v>20</v>
      </c>
      <c r="C33" s="109"/>
      <c r="D33" s="91" t="s">
        <v>4</v>
      </c>
      <c r="E33" s="195"/>
      <c r="F33" s="195"/>
      <c r="G33" s="196"/>
      <c r="H33" s="196"/>
      <c r="I33" s="69"/>
      <c r="J33" s="21"/>
      <c r="K33" s="21"/>
      <c r="L33" s="21"/>
      <c r="M33" s="21"/>
      <c r="N33" s="21"/>
      <c r="O33" s="21"/>
      <c r="P33" s="21"/>
      <c r="Q33" s="84"/>
      <c r="R33" s="84"/>
      <c r="S33" s="84"/>
      <c r="T33" s="84"/>
      <c r="U33" s="84"/>
      <c r="V33" s="84"/>
    </row>
    <row r="34" spans="1:22" s="83" customFormat="1" ht="15" customHeight="1" x14ac:dyDescent="0.25">
      <c r="A34" s="84"/>
      <c r="B34" s="90" t="s">
        <v>81</v>
      </c>
      <c r="C34" s="109"/>
      <c r="D34" s="91" t="s">
        <v>7</v>
      </c>
      <c r="E34" s="196" t="e">
        <f>10*ROUND(E24/10,0)</f>
        <v>#VALUE!</v>
      </c>
      <c r="F34" s="196" t="e">
        <f>IF(F24&lt;9.67,8,IF(F24&lt;14.5,12,IF(F24&lt;29,24,IF(F24&lt;40,36,48))))</f>
        <v>#VALUE!</v>
      </c>
      <c r="G34" s="195" t="e">
        <f>(E34/0.5*(1-EXP(-$C$16*0.5)))/($C$16*$C$20*(1-EXP(-$C$16*F34)))</f>
        <v>#VALUE!</v>
      </c>
      <c r="H34" s="196" t="e">
        <f>G34*EXP(-$C$16*(F34-0.5))</f>
        <v>#VALUE!</v>
      </c>
      <c r="I34" s="69"/>
      <c r="J34" s="21"/>
      <c r="K34" s="21"/>
      <c r="L34" s="21"/>
      <c r="M34" s="21"/>
      <c r="N34" s="21"/>
      <c r="O34" s="21"/>
      <c r="P34" s="21"/>
      <c r="Q34" s="84"/>
      <c r="R34" s="84"/>
      <c r="S34" s="84"/>
      <c r="T34" s="84"/>
      <c r="U34" s="84"/>
      <c r="V34" s="84"/>
    </row>
    <row r="35" spans="1:22" s="83" customFormat="1" ht="15" customHeight="1" x14ac:dyDescent="0.25">
      <c r="A35" s="84"/>
      <c r="B35" s="90" t="s">
        <v>21</v>
      </c>
      <c r="C35" s="115">
        <v>0.5</v>
      </c>
      <c r="D35" s="91" t="s">
        <v>7</v>
      </c>
      <c r="E35" s="196" t="e">
        <f t="shared" ref="E35:E40" si="3">10*ROUND(E25/10,0)</f>
        <v>#VALUE!</v>
      </c>
      <c r="F35" s="196" t="e">
        <f t="shared" ref="F35:F40" si="4">IF(F25&lt;9.67,8,IF(F25&lt;14.5,12,IF(F25&lt;29,24,IF(F25&lt;40,36,48))))</f>
        <v>#VALUE!</v>
      </c>
      <c r="G35" s="195" t="e">
        <f t="shared" ref="G35:G40" si="5">(E35/0.5*(1-EXP(-$C$16*0.5)))/($C$16*$C$20*(1-EXP(-$C$16*F35)))</f>
        <v>#VALUE!</v>
      </c>
      <c r="H35" s="196" t="e">
        <f t="shared" ref="H35:H40" si="6">G35*EXP(-$C$16*(F35-0.5))</f>
        <v>#VALUE!</v>
      </c>
      <c r="I35" s="69"/>
      <c r="J35" s="21"/>
      <c r="K35" s="21"/>
      <c r="L35" s="21"/>
      <c r="M35" s="21"/>
      <c r="N35" s="21"/>
      <c r="O35" s="21"/>
      <c r="P35" s="21"/>
      <c r="Q35" s="84"/>
      <c r="R35" s="84"/>
      <c r="S35" s="84"/>
      <c r="T35" s="84"/>
      <c r="U35" s="84"/>
      <c r="V35" s="84"/>
    </row>
    <row r="36" spans="1:22" s="83" customFormat="1" ht="15" customHeight="1" x14ac:dyDescent="0.25">
      <c r="A36" s="84"/>
      <c r="B36" s="74" t="s">
        <v>24</v>
      </c>
      <c r="C36" s="204" t="e">
        <f>(C33/0.5*(1-EXP(-$C$16*0.5)))/($C$16*$C$20*(1-EXP(-$C$16*C34)))</f>
        <v>#VALUE!</v>
      </c>
      <c r="D36" s="91" t="s">
        <v>8</v>
      </c>
      <c r="E36" s="196" t="e">
        <f t="shared" si="3"/>
        <v>#VALUE!</v>
      </c>
      <c r="F36" s="196" t="e">
        <f t="shared" si="4"/>
        <v>#VALUE!</v>
      </c>
      <c r="G36" s="195" t="e">
        <f t="shared" si="5"/>
        <v>#VALUE!</v>
      </c>
      <c r="H36" s="196" t="e">
        <f t="shared" si="6"/>
        <v>#VALUE!</v>
      </c>
      <c r="I36" s="69"/>
      <c r="J36" s="21"/>
      <c r="K36" s="21"/>
      <c r="L36" s="21"/>
      <c r="M36" s="21"/>
      <c r="N36" s="21"/>
      <c r="O36" s="21"/>
      <c r="P36" s="21"/>
      <c r="Q36" s="84"/>
      <c r="R36" s="84"/>
      <c r="S36" s="84"/>
      <c r="T36" s="84"/>
      <c r="U36" s="84"/>
      <c r="V36" s="84"/>
    </row>
    <row r="37" spans="1:22" s="83" customFormat="1" ht="15" customHeight="1" x14ac:dyDescent="0.25">
      <c r="A37" s="84"/>
      <c r="B37" s="74" t="s">
        <v>23</v>
      </c>
      <c r="C37" s="204" t="e">
        <f>C36*EXP(-$C$16*(C34-0.5))</f>
        <v>#VALUE!</v>
      </c>
      <c r="D37" s="91" t="s">
        <v>8</v>
      </c>
      <c r="E37" s="196" t="e">
        <f t="shared" si="3"/>
        <v>#VALUE!</v>
      </c>
      <c r="F37" s="196" t="e">
        <f t="shared" si="4"/>
        <v>#VALUE!</v>
      </c>
      <c r="G37" s="195" t="e">
        <f t="shared" si="5"/>
        <v>#VALUE!</v>
      </c>
      <c r="H37" s="196" t="e">
        <f t="shared" si="6"/>
        <v>#VALUE!</v>
      </c>
      <c r="I37" s="69"/>
      <c r="J37" s="21"/>
      <c r="K37" s="21"/>
      <c r="L37" s="21"/>
      <c r="M37" s="21"/>
      <c r="N37" s="21"/>
      <c r="O37" s="21"/>
      <c r="P37" s="21"/>
      <c r="Q37" s="84"/>
      <c r="R37" s="84"/>
      <c r="S37" s="84"/>
      <c r="T37" s="84"/>
      <c r="U37" s="84"/>
      <c r="V37" s="84"/>
    </row>
    <row r="38" spans="1:22" s="83" customFormat="1" ht="15" customHeight="1" x14ac:dyDescent="0.25">
      <c r="A38" s="21"/>
      <c r="B38" s="21"/>
      <c r="C38" s="22"/>
      <c r="D38" s="21"/>
      <c r="E38" s="196" t="e">
        <f t="shared" si="3"/>
        <v>#VALUE!</v>
      </c>
      <c r="F38" s="196" t="e">
        <f t="shared" si="4"/>
        <v>#VALUE!</v>
      </c>
      <c r="G38" s="195" t="e">
        <f t="shared" si="5"/>
        <v>#VALUE!</v>
      </c>
      <c r="H38" s="196" t="e">
        <f t="shared" si="6"/>
        <v>#VALUE!</v>
      </c>
      <c r="I38" s="69"/>
      <c r="J38" s="21"/>
      <c r="K38" s="21"/>
      <c r="L38" s="21"/>
      <c r="M38" s="21"/>
      <c r="N38" s="21"/>
      <c r="O38" s="21"/>
      <c r="P38" s="21"/>
      <c r="Q38" s="84"/>
      <c r="R38" s="84"/>
      <c r="S38" s="84"/>
      <c r="T38" s="84"/>
      <c r="U38" s="84"/>
      <c r="V38" s="84"/>
    </row>
    <row r="39" spans="1:22" s="83" customFormat="1" ht="15" customHeight="1" x14ac:dyDescent="0.25">
      <c r="A39" s="21"/>
      <c r="B39" s="21"/>
      <c r="C39" s="22"/>
      <c r="D39" s="21"/>
      <c r="E39" s="196" t="e">
        <f t="shared" si="3"/>
        <v>#VALUE!</v>
      </c>
      <c r="F39" s="196" t="e">
        <f t="shared" si="4"/>
        <v>#VALUE!</v>
      </c>
      <c r="G39" s="195" t="e">
        <f t="shared" si="5"/>
        <v>#VALUE!</v>
      </c>
      <c r="H39" s="196" t="e">
        <f t="shared" si="6"/>
        <v>#VALUE!</v>
      </c>
      <c r="I39" s="69"/>
      <c r="J39" s="21"/>
      <c r="K39" s="21"/>
      <c r="L39" s="21"/>
      <c r="M39" s="21"/>
      <c r="N39" s="21"/>
      <c r="O39" s="21"/>
      <c r="P39" s="21"/>
      <c r="Q39" s="84"/>
      <c r="R39" s="84"/>
      <c r="S39" s="84"/>
      <c r="T39" s="84"/>
      <c r="U39" s="84"/>
      <c r="V39" s="84"/>
    </row>
    <row r="40" spans="1:22" s="83" customFormat="1" ht="15" customHeight="1" x14ac:dyDescent="0.25">
      <c r="A40" s="21"/>
      <c r="B40" s="21"/>
      <c r="C40" s="22"/>
      <c r="D40" s="21"/>
      <c r="E40" s="196" t="e">
        <f t="shared" si="3"/>
        <v>#VALUE!</v>
      </c>
      <c r="F40" s="196" t="e">
        <f t="shared" si="4"/>
        <v>#VALUE!</v>
      </c>
      <c r="G40" s="195" t="e">
        <f t="shared" si="5"/>
        <v>#VALUE!</v>
      </c>
      <c r="H40" s="196" t="e">
        <f t="shared" si="6"/>
        <v>#VALUE!</v>
      </c>
      <c r="I40" s="69"/>
      <c r="J40" s="21"/>
      <c r="K40" s="21"/>
      <c r="L40" s="21"/>
      <c r="M40" s="21"/>
      <c r="N40" s="21"/>
      <c r="O40" s="21"/>
      <c r="P40" s="21"/>
      <c r="Q40" s="84"/>
      <c r="R40" s="84"/>
      <c r="S40" s="84"/>
      <c r="T40" s="84"/>
      <c r="U40" s="84"/>
      <c r="V40" s="84"/>
    </row>
    <row r="41" spans="1:22" ht="10.5" customHeight="1" x14ac:dyDescent="0.25">
      <c r="B41" s="21"/>
      <c r="C41" s="22"/>
      <c r="D41" s="21"/>
      <c r="E41" s="196"/>
      <c r="F41" s="196"/>
      <c r="G41" s="196"/>
      <c r="H41" s="196"/>
      <c r="I41" s="21"/>
      <c r="J41" s="21"/>
      <c r="K41" s="21"/>
      <c r="L41" s="21"/>
      <c r="M41" s="21"/>
      <c r="N41" s="21"/>
      <c r="O41" s="21"/>
      <c r="P41" s="21"/>
      <c r="Q41" s="116"/>
      <c r="R41" s="116"/>
      <c r="S41" s="116"/>
      <c r="T41" s="116"/>
      <c r="U41" s="21"/>
      <c r="V41" s="21"/>
    </row>
    <row r="42" spans="1:22" x14ac:dyDescent="0.25">
      <c r="A42" s="21"/>
      <c r="B42" s="21"/>
      <c r="C42" s="22"/>
      <c r="D42" s="21"/>
      <c r="E42" s="29"/>
      <c r="G42" s="196"/>
      <c r="H42" s="196"/>
      <c r="I42" s="21"/>
      <c r="J42" s="21"/>
      <c r="K42" s="21"/>
      <c r="L42" s="21"/>
      <c r="M42" s="21"/>
      <c r="N42" s="21"/>
      <c r="O42" s="21"/>
      <c r="P42" s="21"/>
      <c r="Q42" s="152"/>
      <c r="R42" s="152"/>
      <c r="S42" s="152"/>
      <c r="T42" s="152"/>
      <c r="U42" s="21"/>
      <c r="V42" s="21"/>
    </row>
    <row r="43" spans="1:22" s="83" customFormat="1" ht="17.25" customHeight="1" x14ac:dyDescent="0.25">
      <c r="A43" s="21"/>
      <c r="B43" s="21"/>
      <c r="C43" s="22"/>
      <c r="D43" s="21"/>
      <c r="E43" s="224"/>
      <c r="F43" s="225"/>
      <c r="G43" s="153"/>
      <c r="H43" s="153"/>
      <c r="I43" s="111"/>
      <c r="J43" s="21"/>
      <c r="K43" s="21"/>
      <c r="L43" s="21"/>
      <c r="M43" s="21"/>
      <c r="N43" s="21"/>
      <c r="O43" s="21"/>
      <c r="P43" s="21"/>
      <c r="Q43" s="172"/>
      <c r="R43" s="172"/>
      <c r="S43" s="172"/>
      <c r="T43" s="172"/>
      <c r="U43" s="84"/>
      <c r="V43" s="84"/>
    </row>
    <row r="44" spans="1:22" s="83" customFormat="1" ht="17.25" customHeight="1" x14ac:dyDescent="0.25">
      <c r="A44" s="21"/>
      <c r="B44" s="21"/>
      <c r="C44" s="22"/>
      <c r="D44" s="21"/>
      <c r="E44" s="226"/>
      <c r="F44" s="153"/>
      <c r="G44" s="153"/>
      <c r="H44" s="153"/>
      <c r="I44" s="111"/>
      <c r="J44" s="21"/>
      <c r="K44" s="21"/>
      <c r="L44" s="21"/>
      <c r="M44" s="21"/>
      <c r="N44" s="21"/>
      <c r="O44" s="21"/>
      <c r="P44" s="21"/>
      <c r="Q44" s="172"/>
      <c r="R44" s="172"/>
      <c r="S44" s="172"/>
      <c r="T44" s="172"/>
      <c r="U44" s="84"/>
      <c r="V44" s="84"/>
    </row>
    <row r="45" spans="1:22" s="83" customFormat="1" ht="17.25" customHeight="1" x14ac:dyDescent="0.25">
      <c r="A45" s="21"/>
      <c r="B45" s="21"/>
      <c r="C45" s="22"/>
      <c r="D45" s="21"/>
      <c r="E45" s="226"/>
      <c r="F45" s="153"/>
      <c r="G45" s="227"/>
      <c r="H45" s="227"/>
      <c r="I45" s="84"/>
      <c r="J45" s="21"/>
      <c r="K45" s="21"/>
      <c r="L45" s="21"/>
      <c r="M45" s="21"/>
      <c r="N45" s="21"/>
      <c r="O45" s="21"/>
      <c r="P45" s="21"/>
      <c r="Q45" s="172"/>
      <c r="R45" s="172"/>
      <c r="S45" s="172"/>
      <c r="T45" s="172"/>
      <c r="U45" s="84"/>
      <c r="V45" s="84"/>
    </row>
    <row r="46" spans="1:22" s="83" customFormat="1" ht="15" customHeight="1" x14ac:dyDescent="0.25">
      <c r="A46" s="21"/>
      <c r="B46" s="21"/>
      <c r="C46" s="22"/>
      <c r="D46" s="21"/>
      <c r="E46" s="228"/>
      <c r="F46" s="227"/>
      <c r="G46" s="229"/>
      <c r="H46" s="229"/>
      <c r="I46" s="100"/>
      <c r="J46" s="21"/>
      <c r="K46" s="21"/>
      <c r="L46" s="21"/>
      <c r="M46" s="21"/>
      <c r="N46" s="21"/>
      <c r="O46" s="21"/>
      <c r="P46" s="21"/>
      <c r="Q46" s="172"/>
      <c r="R46" s="172"/>
      <c r="S46" s="172"/>
      <c r="T46" s="172"/>
      <c r="U46" s="84"/>
      <c r="V46" s="84"/>
    </row>
    <row r="47" spans="1:22" s="83" customFormat="1" ht="15" customHeight="1" x14ac:dyDescent="0.25">
      <c r="A47" s="21"/>
      <c r="B47" s="21"/>
      <c r="C47" s="22"/>
      <c r="D47" s="21"/>
      <c r="E47" s="230"/>
      <c r="F47" s="229"/>
      <c r="G47" s="153"/>
      <c r="H47" s="153"/>
      <c r="I47" s="136"/>
      <c r="J47" s="21"/>
      <c r="K47" s="21"/>
      <c r="L47" s="21"/>
      <c r="M47" s="21"/>
      <c r="N47" s="21"/>
      <c r="O47" s="21"/>
      <c r="P47" s="21"/>
      <c r="Q47" s="172"/>
      <c r="R47" s="172"/>
      <c r="S47" s="172"/>
      <c r="T47" s="172"/>
      <c r="U47" s="84"/>
      <c r="V47" s="84"/>
    </row>
    <row r="48" spans="1:22" ht="18" hidden="1" customHeight="1" x14ac:dyDescent="0.25">
      <c r="A48" s="21"/>
      <c r="B48" s="21"/>
      <c r="C48" s="22"/>
      <c r="D48" s="21"/>
      <c r="E48" s="226"/>
      <c r="F48" s="153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172"/>
      <c r="R48" s="172"/>
      <c r="S48" s="172"/>
      <c r="T48" s="172"/>
      <c r="U48" s="21"/>
      <c r="V48" s="21"/>
    </row>
    <row r="49" spans="1:22" ht="18" hidden="1" customHeight="1" x14ac:dyDescent="0.25">
      <c r="A49" s="21"/>
      <c r="B49" s="21"/>
      <c r="C49" s="22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172"/>
      <c r="R49" s="172"/>
      <c r="S49" s="172"/>
      <c r="T49" s="172"/>
      <c r="U49" s="21"/>
      <c r="V49" s="21"/>
    </row>
    <row r="50" spans="1:22" x14ac:dyDescent="0.25">
      <c r="A50" s="21"/>
      <c r="B50" s="21"/>
      <c r="C50" s="22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172"/>
      <c r="R50" s="172"/>
      <c r="S50" s="172"/>
      <c r="T50" s="172"/>
      <c r="U50" s="21"/>
      <c r="V50" s="21"/>
    </row>
    <row r="51" spans="1:22" ht="18" hidden="1" customHeight="1" x14ac:dyDescent="0.25">
      <c r="A51" s="21"/>
      <c r="B51" s="21"/>
      <c r="C51" s="22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172"/>
      <c r="R51" s="172"/>
      <c r="S51" s="172"/>
      <c r="T51" s="172"/>
      <c r="U51" s="21"/>
      <c r="V51" s="21"/>
    </row>
    <row r="52" spans="1:22" ht="18" hidden="1" customHeight="1" x14ac:dyDescent="0.25">
      <c r="A52" s="21"/>
      <c r="B52" s="21"/>
      <c r="C52" s="22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172"/>
      <c r="R52" s="172"/>
      <c r="S52" s="172"/>
      <c r="T52" s="172"/>
      <c r="U52" s="21"/>
      <c r="V52" s="21"/>
    </row>
    <row r="53" spans="1:22" x14ac:dyDescent="0.25">
      <c r="A53" s="21"/>
      <c r="B53" s="21"/>
      <c r="C53" s="22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172"/>
      <c r="R53" s="172"/>
      <c r="S53" s="172"/>
      <c r="T53" s="172"/>
      <c r="U53" s="21"/>
      <c r="V53" s="21"/>
    </row>
    <row r="54" spans="1:22" x14ac:dyDescent="0.25">
      <c r="A54" s="21"/>
      <c r="B54" s="21"/>
      <c r="C54" s="22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172"/>
      <c r="R54" s="172"/>
      <c r="S54" s="172"/>
      <c r="T54" s="172"/>
      <c r="U54" s="21"/>
      <c r="V54" s="21"/>
    </row>
    <row r="55" spans="1:22" x14ac:dyDescent="0.25">
      <c r="A55" s="21"/>
      <c r="B55" s="21"/>
      <c r="C55" s="22"/>
      <c r="D55" s="21"/>
      <c r="E55" s="21"/>
      <c r="F55" s="21"/>
      <c r="G55" s="21"/>
      <c r="H55" s="21"/>
      <c r="I55" s="21"/>
      <c r="J55" s="30"/>
      <c r="K55" s="30" t="s">
        <v>78</v>
      </c>
      <c r="L55" s="30" t="s">
        <v>79</v>
      </c>
      <c r="M55" s="30"/>
      <c r="N55" s="30" t="s">
        <v>154</v>
      </c>
      <c r="O55" s="30" t="s">
        <v>155</v>
      </c>
      <c r="P55" s="30" t="s">
        <v>156</v>
      </c>
      <c r="Q55" s="21"/>
      <c r="R55" s="21"/>
      <c r="S55" s="21"/>
      <c r="T55" s="21"/>
      <c r="U55" s="21"/>
      <c r="V55" s="21"/>
    </row>
    <row r="56" spans="1:22" s="27" customFormat="1" x14ac:dyDescent="0.25">
      <c r="A56" s="21"/>
      <c r="B56" s="21"/>
      <c r="C56" s="22"/>
      <c r="D56" s="21"/>
      <c r="E56" s="21"/>
      <c r="F56" s="21"/>
      <c r="G56" s="21"/>
      <c r="H56" s="21"/>
      <c r="I56" s="21"/>
      <c r="J56" s="85">
        <v>1.0208333333333333</v>
      </c>
      <c r="K56" s="177">
        <f ca="1">D8</f>
        <v>43934</v>
      </c>
      <c r="L56" s="178" t="str">
        <f>IF(C2="Steady state",C19,"0")</f>
        <v>0</v>
      </c>
      <c r="M56" s="178"/>
      <c r="N56" s="178">
        <f>IF(C2="Steady state",C19,0)</f>
        <v>0</v>
      </c>
      <c r="O56" s="178">
        <f>IF(C2="Steady state",C19,0)</f>
        <v>0</v>
      </c>
      <c r="P56" s="178">
        <f>IF(C2="Steady state",C19,0)</f>
        <v>0</v>
      </c>
      <c r="Q56" s="21"/>
      <c r="R56" s="21"/>
      <c r="S56" s="21"/>
      <c r="T56" s="21"/>
      <c r="U56" s="21"/>
      <c r="V56" s="21"/>
    </row>
    <row r="57" spans="1:22" s="27" customFormat="1" x14ac:dyDescent="0.25">
      <c r="A57" s="21"/>
      <c r="B57" s="21"/>
      <c r="C57" s="22"/>
      <c r="D57" s="21"/>
      <c r="E57" s="21"/>
      <c r="F57" s="21"/>
      <c r="G57" s="21"/>
      <c r="H57" s="21"/>
      <c r="I57" s="21"/>
      <c r="J57" s="107"/>
      <c r="K57" s="177">
        <f t="shared" ref="K57:K89" ca="1" si="7">K56+$J$56</f>
        <v>43935.020833333336</v>
      </c>
      <c r="L57" s="108" t="str">
        <f t="shared" ref="L57:L89" si="8">IF($C$9=1,N57,IF($C$9=1.5,O57,IF($C$9=2,P57,"")))</f>
        <v/>
      </c>
      <c r="M57" s="108">
        <v>0.5</v>
      </c>
      <c r="N57" s="108" t="e">
        <f>($C$18-$P$56)/2+$P$56</f>
        <v>#VALUE!</v>
      </c>
      <c r="O57" s="108" t="e">
        <f>($C$18-$P$56)/3+$P$56</f>
        <v>#VALUE!</v>
      </c>
      <c r="P57" s="108" t="e">
        <f>($C$18-$P$56)/4+$P$56</f>
        <v>#VALUE!</v>
      </c>
      <c r="Q57" s="21"/>
      <c r="R57" s="21"/>
      <c r="S57" s="21"/>
      <c r="T57" s="21"/>
      <c r="U57" s="21"/>
      <c r="V57" s="21"/>
    </row>
    <row r="58" spans="1:22" s="27" customFormat="1" x14ac:dyDescent="0.25">
      <c r="A58" s="23"/>
      <c r="B58" s="23"/>
      <c r="C58" s="37"/>
      <c r="D58" s="23"/>
      <c r="J58" s="107"/>
      <c r="K58" s="177">
        <f t="shared" ca="1" si="7"/>
        <v>43936.041666666672</v>
      </c>
      <c r="L58" s="108" t="str">
        <f t="shared" si="8"/>
        <v/>
      </c>
      <c r="M58" s="108">
        <f t="shared" ref="M58:M89" si="9">M57+0.5</f>
        <v>1</v>
      </c>
      <c r="N58" s="108" t="str">
        <f>$C$18</f>
        <v/>
      </c>
      <c r="O58" s="108" t="e">
        <f>($C$18-$P$56)*2/3+$P$56</f>
        <v>#VALUE!</v>
      </c>
      <c r="P58" s="108" t="e">
        <f>($C$18-$P$56)/2+$P$56</f>
        <v>#VALUE!</v>
      </c>
    </row>
    <row r="59" spans="1:22" s="27" customFormat="1" x14ac:dyDescent="0.25">
      <c r="A59" s="23"/>
      <c r="B59" s="23"/>
      <c r="C59" s="37"/>
      <c r="D59" s="23"/>
      <c r="J59" s="107"/>
      <c r="K59" s="177">
        <f t="shared" ca="1" si="7"/>
        <v>43937.062500000007</v>
      </c>
      <c r="L59" s="108" t="str">
        <f t="shared" si="8"/>
        <v/>
      </c>
      <c r="M59" s="108">
        <f t="shared" si="9"/>
        <v>1.5</v>
      </c>
      <c r="N59" s="108" t="e">
        <f t="shared" ref="N59:N89" si="10">$C$18*EXP(-$C$16*$M57)</f>
        <v>#VALUE!</v>
      </c>
      <c r="O59" s="108" t="str">
        <f>$C$18</f>
        <v/>
      </c>
      <c r="P59" s="108" t="e">
        <f>($C$18-$P$56)*3/4+$P$56</f>
        <v>#VALUE!</v>
      </c>
    </row>
    <row r="60" spans="1:22" x14ac:dyDescent="0.25">
      <c r="E60" s="27"/>
      <c r="F60" s="27"/>
      <c r="J60" s="107"/>
      <c r="K60" s="177">
        <f t="shared" ca="1" si="7"/>
        <v>43938.083333333343</v>
      </c>
      <c r="L60" s="108" t="str">
        <f t="shared" si="8"/>
        <v/>
      </c>
      <c r="M60" s="108">
        <f t="shared" si="9"/>
        <v>2</v>
      </c>
      <c r="N60" s="108" t="e">
        <f t="shared" si="10"/>
        <v>#VALUE!</v>
      </c>
      <c r="O60" s="108" t="e">
        <f t="shared" ref="O60:O89" si="11">$C$18*EXP(-$C$16*$M57)</f>
        <v>#VALUE!</v>
      </c>
      <c r="P60" s="108" t="str">
        <f>C18</f>
        <v/>
      </c>
    </row>
    <row r="61" spans="1:22" x14ac:dyDescent="0.25">
      <c r="J61" s="107"/>
      <c r="K61" s="177">
        <f t="shared" ca="1" si="7"/>
        <v>43939.104166666679</v>
      </c>
      <c r="L61" s="108" t="str">
        <f t="shared" si="8"/>
        <v/>
      </c>
      <c r="M61" s="108">
        <f t="shared" si="9"/>
        <v>2.5</v>
      </c>
      <c r="N61" s="108" t="e">
        <f t="shared" si="10"/>
        <v>#VALUE!</v>
      </c>
      <c r="O61" s="108" t="e">
        <f t="shared" si="11"/>
        <v>#VALUE!</v>
      </c>
      <c r="P61" s="108" t="e">
        <f t="shared" ref="P61:P89" si="12">$C$18*EXP(-$C$16*$M57)</f>
        <v>#VALUE!</v>
      </c>
    </row>
    <row r="62" spans="1:22" x14ac:dyDescent="0.25">
      <c r="J62" s="107"/>
      <c r="K62" s="177">
        <f t="shared" ca="1" si="7"/>
        <v>43940.125000000015</v>
      </c>
      <c r="L62" s="108" t="str">
        <f t="shared" si="8"/>
        <v/>
      </c>
      <c r="M62" s="108">
        <f t="shared" si="9"/>
        <v>3</v>
      </c>
      <c r="N62" s="108" t="e">
        <f t="shared" si="10"/>
        <v>#VALUE!</v>
      </c>
      <c r="O62" s="108" t="e">
        <f t="shared" si="11"/>
        <v>#VALUE!</v>
      </c>
      <c r="P62" s="108" t="e">
        <f t="shared" si="12"/>
        <v>#VALUE!</v>
      </c>
    </row>
    <row r="63" spans="1:22" x14ac:dyDescent="0.25">
      <c r="J63" s="107"/>
      <c r="K63" s="177">
        <f t="shared" ca="1" si="7"/>
        <v>43941.14583333335</v>
      </c>
      <c r="L63" s="108" t="str">
        <f t="shared" si="8"/>
        <v/>
      </c>
      <c r="M63" s="108">
        <f t="shared" si="9"/>
        <v>3.5</v>
      </c>
      <c r="N63" s="108" t="e">
        <f t="shared" si="10"/>
        <v>#VALUE!</v>
      </c>
      <c r="O63" s="108" t="e">
        <f t="shared" si="11"/>
        <v>#VALUE!</v>
      </c>
      <c r="P63" s="108" t="e">
        <f t="shared" si="12"/>
        <v>#VALUE!</v>
      </c>
    </row>
    <row r="64" spans="1:22" x14ac:dyDescent="0.25">
      <c r="J64" s="107"/>
      <c r="K64" s="177">
        <f t="shared" ca="1" si="7"/>
        <v>43942.166666666686</v>
      </c>
      <c r="L64" s="108" t="str">
        <f t="shared" si="8"/>
        <v/>
      </c>
      <c r="M64" s="108">
        <f t="shared" si="9"/>
        <v>4</v>
      </c>
      <c r="N64" s="108" t="e">
        <f t="shared" si="10"/>
        <v>#VALUE!</v>
      </c>
      <c r="O64" s="108" t="e">
        <f t="shared" si="11"/>
        <v>#VALUE!</v>
      </c>
      <c r="P64" s="108" t="e">
        <f t="shared" si="12"/>
        <v>#VALUE!</v>
      </c>
    </row>
    <row r="65" spans="1:16" x14ac:dyDescent="0.25">
      <c r="J65" s="107"/>
      <c r="K65" s="177">
        <f t="shared" ca="1" si="7"/>
        <v>43943.187500000022</v>
      </c>
      <c r="L65" s="108" t="str">
        <f t="shared" si="8"/>
        <v/>
      </c>
      <c r="M65" s="108">
        <f t="shared" si="9"/>
        <v>4.5</v>
      </c>
      <c r="N65" s="108" t="e">
        <f t="shared" si="10"/>
        <v>#VALUE!</v>
      </c>
      <c r="O65" s="108" t="e">
        <f t="shared" si="11"/>
        <v>#VALUE!</v>
      </c>
      <c r="P65" s="108" t="e">
        <f t="shared" si="12"/>
        <v>#VALUE!</v>
      </c>
    </row>
    <row r="66" spans="1:16" x14ac:dyDescent="0.25">
      <c r="J66" s="107"/>
      <c r="K66" s="177">
        <f t="shared" ca="1" si="7"/>
        <v>43944.208333333358</v>
      </c>
      <c r="L66" s="108" t="str">
        <f t="shared" si="8"/>
        <v/>
      </c>
      <c r="M66" s="108">
        <f t="shared" si="9"/>
        <v>5</v>
      </c>
      <c r="N66" s="108" t="e">
        <f t="shared" si="10"/>
        <v>#VALUE!</v>
      </c>
      <c r="O66" s="108" t="e">
        <f t="shared" si="11"/>
        <v>#VALUE!</v>
      </c>
      <c r="P66" s="108" t="e">
        <f t="shared" si="12"/>
        <v>#VALUE!</v>
      </c>
    </row>
    <row r="67" spans="1:16" x14ac:dyDescent="0.25">
      <c r="J67" s="107"/>
      <c r="K67" s="177">
        <f t="shared" ca="1" si="7"/>
        <v>43945.229166666693</v>
      </c>
      <c r="L67" s="108" t="str">
        <f t="shared" si="8"/>
        <v/>
      </c>
      <c r="M67" s="108">
        <f t="shared" si="9"/>
        <v>5.5</v>
      </c>
      <c r="N67" s="108" t="e">
        <f t="shared" si="10"/>
        <v>#VALUE!</v>
      </c>
      <c r="O67" s="108" t="e">
        <f t="shared" si="11"/>
        <v>#VALUE!</v>
      </c>
      <c r="P67" s="108" t="e">
        <f t="shared" si="12"/>
        <v>#VALUE!</v>
      </c>
    </row>
    <row r="68" spans="1:16" x14ac:dyDescent="0.25">
      <c r="J68" s="107"/>
      <c r="K68" s="177">
        <f t="shared" ca="1" si="7"/>
        <v>43946.250000000029</v>
      </c>
      <c r="L68" s="108" t="str">
        <f t="shared" si="8"/>
        <v/>
      </c>
      <c r="M68" s="108">
        <f t="shared" si="9"/>
        <v>6</v>
      </c>
      <c r="N68" s="108" t="e">
        <f t="shared" si="10"/>
        <v>#VALUE!</v>
      </c>
      <c r="O68" s="108" t="e">
        <f t="shared" si="11"/>
        <v>#VALUE!</v>
      </c>
      <c r="P68" s="108" t="e">
        <f t="shared" si="12"/>
        <v>#VALUE!</v>
      </c>
    </row>
    <row r="69" spans="1:16" x14ac:dyDescent="0.25">
      <c r="A69" s="23" t="e">
        <f>CONCATENATE("Patient is currently receiving vancomycin ",C6," mg IV every ",C7, " hours for [insert diagnosis]. Multiple levels were drawn, including ",C10," mg/dL at ",E10," and ",C12," mg/dL at ",E12,". Using a desired AUC of ",#REF!, " mcg*h/mL, a desired Cmax of ",C23, " and Cmin of ",C24," a calculated dose of ",ROUND(#REF!,1)," mg every ",ROUND(#REF!,1)," hours is calculated (total daily dose = Desired AUC*calculated Ke*calculated Vd;interval determined by natural log trough/peak divided by -Ke plus the infusion time). Will start patient on ",C33," mg every ",C34," hours to conform to traditional dosages and dosing intervals. Predicted Cmax = ",ROUND(C36,1)," Cmin = ",ROUND(C37,1))</f>
        <v>#REF!</v>
      </c>
      <c r="J69" s="107"/>
      <c r="K69" s="177">
        <f t="shared" ca="1" si="7"/>
        <v>43947.270833333365</v>
      </c>
      <c r="L69" s="108" t="str">
        <f t="shared" si="8"/>
        <v/>
      </c>
      <c r="M69" s="108">
        <f t="shared" si="9"/>
        <v>6.5</v>
      </c>
      <c r="N69" s="108" t="e">
        <f t="shared" si="10"/>
        <v>#VALUE!</v>
      </c>
      <c r="O69" s="108" t="e">
        <f t="shared" si="11"/>
        <v>#VALUE!</v>
      </c>
      <c r="P69" s="108" t="e">
        <f t="shared" si="12"/>
        <v>#VALUE!</v>
      </c>
    </row>
    <row r="70" spans="1:16" x14ac:dyDescent="0.25">
      <c r="J70" s="107"/>
      <c r="K70" s="177">
        <f t="shared" ca="1" si="7"/>
        <v>43948.291666666701</v>
      </c>
      <c r="L70" s="108" t="str">
        <f t="shared" si="8"/>
        <v/>
      </c>
      <c r="M70" s="108">
        <f t="shared" si="9"/>
        <v>7</v>
      </c>
      <c r="N70" s="108" t="e">
        <f t="shared" si="10"/>
        <v>#VALUE!</v>
      </c>
      <c r="O70" s="108" t="e">
        <f t="shared" si="11"/>
        <v>#VALUE!</v>
      </c>
      <c r="P70" s="108" t="e">
        <f t="shared" si="12"/>
        <v>#VALUE!</v>
      </c>
    </row>
    <row r="71" spans="1:16" x14ac:dyDescent="0.25">
      <c r="J71" s="107"/>
      <c r="K71" s="177">
        <f t="shared" ca="1" si="7"/>
        <v>43949.312500000036</v>
      </c>
      <c r="L71" s="108" t="str">
        <f t="shared" si="8"/>
        <v/>
      </c>
      <c r="M71" s="108">
        <f t="shared" si="9"/>
        <v>7.5</v>
      </c>
      <c r="N71" s="108" t="e">
        <f t="shared" si="10"/>
        <v>#VALUE!</v>
      </c>
      <c r="O71" s="108" t="e">
        <f t="shared" si="11"/>
        <v>#VALUE!</v>
      </c>
      <c r="P71" s="108" t="e">
        <f t="shared" si="12"/>
        <v>#VALUE!</v>
      </c>
    </row>
    <row r="72" spans="1:16" x14ac:dyDescent="0.25">
      <c r="J72" s="107"/>
      <c r="K72" s="177">
        <f t="shared" ca="1" si="7"/>
        <v>43950.333333333372</v>
      </c>
      <c r="L72" s="108" t="str">
        <f t="shared" si="8"/>
        <v/>
      </c>
      <c r="M72" s="108">
        <f t="shared" si="9"/>
        <v>8</v>
      </c>
      <c r="N72" s="108" t="e">
        <f t="shared" si="10"/>
        <v>#VALUE!</v>
      </c>
      <c r="O72" s="108" t="e">
        <f t="shared" si="11"/>
        <v>#VALUE!</v>
      </c>
      <c r="P72" s="108" t="e">
        <f t="shared" si="12"/>
        <v>#VALUE!</v>
      </c>
    </row>
    <row r="73" spans="1:16" x14ac:dyDescent="0.25">
      <c r="J73" s="107"/>
      <c r="K73" s="177">
        <f t="shared" ca="1" si="7"/>
        <v>43951.354166666708</v>
      </c>
      <c r="L73" s="108" t="str">
        <f t="shared" si="8"/>
        <v/>
      </c>
      <c r="M73" s="108">
        <f t="shared" si="9"/>
        <v>8.5</v>
      </c>
      <c r="N73" s="108" t="e">
        <f t="shared" si="10"/>
        <v>#VALUE!</v>
      </c>
      <c r="O73" s="108" t="e">
        <f t="shared" si="11"/>
        <v>#VALUE!</v>
      </c>
      <c r="P73" s="108" t="e">
        <f t="shared" si="12"/>
        <v>#VALUE!</v>
      </c>
    </row>
    <row r="74" spans="1:16" x14ac:dyDescent="0.25">
      <c r="J74" s="107"/>
      <c r="K74" s="177">
        <f t="shared" ca="1" si="7"/>
        <v>43952.375000000044</v>
      </c>
      <c r="L74" s="108" t="str">
        <f t="shared" si="8"/>
        <v/>
      </c>
      <c r="M74" s="108">
        <f t="shared" si="9"/>
        <v>9</v>
      </c>
      <c r="N74" s="108" t="e">
        <f t="shared" si="10"/>
        <v>#VALUE!</v>
      </c>
      <c r="O74" s="108" t="e">
        <f t="shared" si="11"/>
        <v>#VALUE!</v>
      </c>
      <c r="P74" s="108" t="e">
        <f t="shared" si="12"/>
        <v>#VALUE!</v>
      </c>
    </row>
    <row r="75" spans="1:16" x14ac:dyDescent="0.25">
      <c r="J75" s="107"/>
      <c r="K75" s="177">
        <f t="shared" ca="1" si="7"/>
        <v>43953.395833333379</v>
      </c>
      <c r="L75" s="108" t="str">
        <f t="shared" si="8"/>
        <v/>
      </c>
      <c r="M75" s="108">
        <f t="shared" si="9"/>
        <v>9.5</v>
      </c>
      <c r="N75" s="108" t="e">
        <f t="shared" si="10"/>
        <v>#VALUE!</v>
      </c>
      <c r="O75" s="108" t="e">
        <f t="shared" si="11"/>
        <v>#VALUE!</v>
      </c>
      <c r="P75" s="108" t="e">
        <f t="shared" si="12"/>
        <v>#VALUE!</v>
      </c>
    </row>
    <row r="76" spans="1:16" x14ac:dyDescent="0.25">
      <c r="J76" s="107"/>
      <c r="K76" s="177">
        <f t="shared" ca="1" si="7"/>
        <v>43954.416666666715</v>
      </c>
      <c r="L76" s="108" t="str">
        <f t="shared" si="8"/>
        <v/>
      </c>
      <c r="M76" s="108">
        <f t="shared" si="9"/>
        <v>10</v>
      </c>
      <c r="N76" s="108" t="e">
        <f t="shared" si="10"/>
        <v>#VALUE!</v>
      </c>
      <c r="O76" s="108" t="e">
        <f t="shared" si="11"/>
        <v>#VALUE!</v>
      </c>
      <c r="P76" s="108" t="e">
        <f t="shared" si="12"/>
        <v>#VALUE!</v>
      </c>
    </row>
    <row r="77" spans="1:16" x14ac:dyDescent="0.25">
      <c r="J77" s="107"/>
      <c r="K77" s="177">
        <f t="shared" ca="1" si="7"/>
        <v>43955.437500000051</v>
      </c>
      <c r="L77" s="108" t="str">
        <f t="shared" si="8"/>
        <v/>
      </c>
      <c r="M77" s="108">
        <f t="shared" si="9"/>
        <v>10.5</v>
      </c>
      <c r="N77" s="108" t="e">
        <f t="shared" si="10"/>
        <v>#VALUE!</v>
      </c>
      <c r="O77" s="108" t="e">
        <f t="shared" si="11"/>
        <v>#VALUE!</v>
      </c>
      <c r="P77" s="108" t="e">
        <f t="shared" si="12"/>
        <v>#VALUE!</v>
      </c>
    </row>
    <row r="78" spans="1:16" x14ac:dyDescent="0.25">
      <c r="J78" s="107"/>
      <c r="K78" s="177">
        <f t="shared" ca="1" si="7"/>
        <v>43956.458333333387</v>
      </c>
      <c r="L78" s="108" t="str">
        <f t="shared" si="8"/>
        <v/>
      </c>
      <c r="M78" s="108">
        <f t="shared" si="9"/>
        <v>11</v>
      </c>
      <c r="N78" s="108" t="e">
        <f t="shared" si="10"/>
        <v>#VALUE!</v>
      </c>
      <c r="O78" s="108" t="e">
        <f t="shared" si="11"/>
        <v>#VALUE!</v>
      </c>
      <c r="P78" s="108" t="e">
        <f t="shared" si="12"/>
        <v>#VALUE!</v>
      </c>
    </row>
    <row r="79" spans="1:16" x14ac:dyDescent="0.25">
      <c r="J79" s="107"/>
      <c r="K79" s="177">
        <f t="shared" ca="1" si="7"/>
        <v>43957.479166666722</v>
      </c>
      <c r="L79" s="108" t="str">
        <f t="shared" si="8"/>
        <v/>
      </c>
      <c r="M79" s="108">
        <f t="shared" si="9"/>
        <v>11.5</v>
      </c>
      <c r="N79" s="108" t="e">
        <f t="shared" si="10"/>
        <v>#VALUE!</v>
      </c>
      <c r="O79" s="108" t="e">
        <f t="shared" si="11"/>
        <v>#VALUE!</v>
      </c>
      <c r="P79" s="108" t="e">
        <f t="shared" si="12"/>
        <v>#VALUE!</v>
      </c>
    </row>
    <row r="80" spans="1:16" x14ac:dyDescent="0.25">
      <c r="J80" s="107"/>
      <c r="K80" s="177">
        <f t="shared" ca="1" si="7"/>
        <v>43958.500000000058</v>
      </c>
      <c r="L80" s="108" t="str">
        <f t="shared" si="8"/>
        <v/>
      </c>
      <c r="M80" s="108">
        <f t="shared" si="9"/>
        <v>12</v>
      </c>
      <c r="N80" s="108" t="e">
        <f t="shared" si="10"/>
        <v>#VALUE!</v>
      </c>
      <c r="O80" s="108" t="e">
        <f t="shared" si="11"/>
        <v>#VALUE!</v>
      </c>
      <c r="P80" s="108" t="e">
        <f t="shared" si="12"/>
        <v>#VALUE!</v>
      </c>
    </row>
    <row r="81" spans="10:16" x14ac:dyDescent="0.25">
      <c r="J81" s="107"/>
      <c r="K81" s="177">
        <f t="shared" ca="1" si="7"/>
        <v>43959.520833333394</v>
      </c>
      <c r="L81" s="108" t="str">
        <f t="shared" si="8"/>
        <v/>
      </c>
      <c r="M81" s="108">
        <f t="shared" si="9"/>
        <v>12.5</v>
      </c>
      <c r="N81" s="108" t="e">
        <f t="shared" si="10"/>
        <v>#VALUE!</v>
      </c>
      <c r="O81" s="108" t="e">
        <f t="shared" si="11"/>
        <v>#VALUE!</v>
      </c>
      <c r="P81" s="108" t="e">
        <f t="shared" si="12"/>
        <v>#VALUE!</v>
      </c>
    </row>
    <row r="82" spans="10:16" x14ac:dyDescent="0.25">
      <c r="J82" s="107"/>
      <c r="K82" s="177">
        <f t="shared" ca="1" si="7"/>
        <v>43960.54166666673</v>
      </c>
      <c r="L82" s="108" t="str">
        <f t="shared" si="8"/>
        <v/>
      </c>
      <c r="M82" s="108">
        <f t="shared" si="9"/>
        <v>13</v>
      </c>
      <c r="N82" s="108" t="e">
        <f t="shared" si="10"/>
        <v>#VALUE!</v>
      </c>
      <c r="O82" s="108" t="e">
        <f t="shared" si="11"/>
        <v>#VALUE!</v>
      </c>
      <c r="P82" s="108" t="e">
        <f t="shared" si="12"/>
        <v>#VALUE!</v>
      </c>
    </row>
    <row r="83" spans="10:16" x14ac:dyDescent="0.25">
      <c r="J83" s="151"/>
      <c r="K83" s="177">
        <f t="shared" ca="1" si="7"/>
        <v>43961.562500000065</v>
      </c>
      <c r="L83" s="108" t="str">
        <f t="shared" si="8"/>
        <v/>
      </c>
      <c r="M83" s="108">
        <f t="shared" si="9"/>
        <v>13.5</v>
      </c>
      <c r="N83" s="108" t="e">
        <f t="shared" si="10"/>
        <v>#VALUE!</v>
      </c>
      <c r="O83" s="108" t="e">
        <f t="shared" si="11"/>
        <v>#VALUE!</v>
      </c>
      <c r="P83" s="108" t="e">
        <f t="shared" si="12"/>
        <v>#VALUE!</v>
      </c>
    </row>
    <row r="84" spans="10:16" x14ac:dyDescent="0.25">
      <c r="J84" s="179"/>
      <c r="K84" s="177">
        <f t="shared" ca="1" si="7"/>
        <v>43962.583333333401</v>
      </c>
      <c r="L84" s="108" t="str">
        <f t="shared" si="8"/>
        <v/>
      </c>
      <c r="M84" s="108">
        <f t="shared" si="9"/>
        <v>14</v>
      </c>
      <c r="N84" s="108" t="e">
        <f t="shared" si="10"/>
        <v>#VALUE!</v>
      </c>
      <c r="O84" s="108" t="e">
        <f t="shared" si="11"/>
        <v>#VALUE!</v>
      </c>
      <c r="P84" s="108" t="e">
        <f t="shared" si="12"/>
        <v>#VALUE!</v>
      </c>
    </row>
    <row r="85" spans="10:16" x14ac:dyDescent="0.25">
      <c r="J85" s="181"/>
      <c r="K85" s="177">
        <f t="shared" ca="1" si="7"/>
        <v>43963.604166666737</v>
      </c>
      <c r="L85" s="108" t="str">
        <f t="shared" si="8"/>
        <v/>
      </c>
      <c r="M85" s="108">
        <f t="shared" si="9"/>
        <v>14.5</v>
      </c>
      <c r="N85" s="108" t="e">
        <f t="shared" si="10"/>
        <v>#VALUE!</v>
      </c>
      <c r="O85" s="108" t="e">
        <f t="shared" si="11"/>
        <v>#VALUE!</v>
      </c>
      <c r="P85" s="108" t="e">
        <f t="shared" si="12"/>
        <v>#VALUE!</v>
      </c>
    </row>
    <row r="86" spans="10:16" x14ac:dyDescent="0.25">
      <c r="J86" s="181"/>
      <c r="K86" s="177">
        <f t="shared" ca="1" si="7"/>
        <v>43964.625000000073</v>
      </c>
      <c r="L86" s="108" t="str">
        <f t="shared" si="8"/>
        <v/>
      </c>
      <c r="M86" s="108">
        <f t="shared" si="9"/>
        <v>15</v>
      </c>
      <c r="N86" s="108" t="e">
        <f t="shared" si="10"/>
        <v>#VALUE!</v>
      </c>
      <c r="O86" s="108" t="e">
        <f t="shared" si="11"/>
        <v>#VALUE!</v>
      </c>
      <c r="P86" s="108" t="e">
        <f t="shared" si="12"/>
        <v>#VALUE!</v>
      </c>
    </row>
    <row r="87" spans="10:16" x14ac:dyDescent="0.25">
      <c r="J87" s="181"/>
      <c r="K87" s="177">
        <f t="shared" ca="1" si="7"/>
        <v>43965.645833333409</v>
      </c>
      <c r="L87" s="108" t="str">
        <f t="shared" si="8"/>
        <v/>
      </c>
      <c r="M87" s="108">
        <f t="shared" si="9"/>
        <v>15.5</v>
      </c>
      <c r="N87" s="108" t="e">
        <f t="shared" si="10"/>
        <v>#VALUE!</v>
      </c>
      <c r="O87" s="108" t="e">
        <f t="shared" si="11"/>
        <v>#VALUE!</v>
      </c>
      <c r="P87" s="108" t="e">
        <f t="shared" si="12"/>
        <v>#VALUE!</v>
      </c>
    </row>
    <row r="88" spans="10:16" x14ac:dyDescent="0.25">
      <c r="J88" s="181"/>
      <c r="K88" s="177">
        <f t="shared" ca="1" si="7"/>
        <v>43966.666666666744</v>
      </c>
      <c r="L88" s="108" t="str">
        <f t="shared" si="8"/>
        <v/>
      </c>
      <c r="M88" s="108">
        <f t="shared" si="9"/>
        <v>16</v>
      </c>
      <c r="N88" s="108" t="e">
        <f t="shared" si="10"/>
        <v>#VALUE!</v>
      </c>
      <c r="O88" s="108" t="e">
        <f t="shared" si="11"/>
        <v>#VALUE!</v>
      </c>
      <c r="P88" s="108" t="e">
        <f t="shared" si="12"/>
        <v>#VALUE!</v>
      </c>
    </row>
    <row r="89" spans="10:16" x14ac:dyDescent="0.25">
      <c r="J89" s="181"/>
      <c r="K89" s="177">
        <f t="shared" ca="1" si="7"/>
        <v>43967.68750000008</v>
      </c>
      <c r="L89" s="108" t="str">
        <f t="shared" si="8"/>
        <v/>
      </c>
      <c r="M89" s="108">
        <f t="shared" si="9"/>
        <v>16.5</v>
      </c>
      <c r="N89" s="108" t="e">
        <f t="shared" si="10"/>
        <v>#VALUE!</v>
      </c>
      <c r="O89" s="108" t="e">
        <f t="shared" si="11"/>
        <v>#VALUE!</v>
      </c>
      <c r="P89" s="108" t="e">
        <f t="shared" si="12"/>
        <v>#VALUE!</v>
      </c>
    </row>
    <row r="90" spans="10:16" x14ac:dyDescent="0.25">
      <c r="J90" s="181"/>
      <c r="K90" s="181"/>
      <c r="L90" s="181"/>
      <c r="M90" s="181"/>
      <c r="N90" s="181"/>
      <c r="O90" s="181"/>
      <c r="P90" s="181"/>
    </row>
    <row r="91" spans="10:16" x14ac:dyDescent="0.25">
      <c r="J91" s="172"/>
      <c r="K91" s="172"/>
      <c r="L91" s="172"/>
      <c r="M91" s="172"/>
      <c r="N91" s="172"/>
      <c r="O91" s="172"/>
      <c r="P91" s="172"/>
    </row>
    <row r="92" spans="10:16" x14ac:dyDescent="0.25">
      <c r="J92" s="172"/>
      <c r="K92" s="172"/>
      <c r="L92" s="172"/>
      <c r="M92" s="172"/>
      <c r="N92" s="172"/>
      <c r="O92" s="172"/>
      <c r="P92" s="172"/>
    </row>
    <row r="93" spans="10:16" x14ac:dyDescent="0.25">
      <c r="J93" s="172"/>
      <c r="K93" s="172"/>
      <c r="L93" s="172"/>
      <c r="M93" s="172"/>
      <c r="N93" s="172"/>
      <c r="O93" s="172"/>
      <c r="P93" s="172"/>
    </row>
    <row r="94" spans="10:16" x14ac:dyDescent="0.25">
      <c r="J94" s="172"/>
      <c r="K94" s="172"/>
      <c r="L94" s="172"/>
      <c r="M94" s="172"/>
      <c r="N94" s="172"/>
      <c r="O94" s="172"/>
      <c r="P94" s="172"/>
    </row>
    <row r="95" spans="10:16" x14ac:dyDescent="0.25">
      <c r="J95" s="172"/>
      <c r="K95" s="172"/>
      <c r="L95" s="172"/>
      <c r="M95" s="172"/>
      <c r="N95" s="172"/>
      <c r="O95" s="172"/>
      <c r="P95" s="172"/>
    </row>
    <row r="96" spans="10:16" x14ac:dyDescent="0.25">
      <c r="J96" s="172"/>
      <c r="K96" s="172"/>
      <c r="L96" s="172"/>
      <c r="M96" s="172"/>
      <c r="N96" s="172"/>
      <c r="O96" s="172"/>
      <c r="P96" s="172"/>
    </row>
    <row r="97" spans="10:16" x14ac:dyDescent="0.25">
      <c r="J97" s="172"/>
      <c r="K97" s="172"/>
      <c r="L97" s="172"/>
      <c r="M97" s="172"/>
      <c r="N97" s="172"/>
      <c r="O97" s="172"/>
      <c r="P97" s="172"/>
    </row>
    <row r="98" spans="10:16" x14ac:dyDescent="0.25">
      <c r="J98" s="172"/>
      <c r="K98" s="172"/>
      <c r="L98" s="172"/>
      <c r="M98" s="172"/>
      <c r="N98" s="172"/>
      <c r="O98" s="172"/>
      <c r="P98" s="172"/>
    </row>
    <row r="99" spans="10:16" x14ac:dyDescent="0.25">
      <c r="J99" s="21"/>
      <c r="K99" s="21"/>
      <c r="L99" s="21"/>
      <c r="M99" s="21"/>
      <c r="N99" s="21"/>
      <c r="O99" s="21"/>
      <c r="P99" s="21"/>
    </row>
    <row r="100" spans="10:16" x14ac:dyDescent="0.25">
      <c r="J100" s="27"/>
      <c r="K100" s="27"/>
      <c r="L100" s="27"/>
      <c r="M100" s="27"/>
      <c r="N100" s="27"/>
      <c r="O100" s="27"/>
      <c r="P100" s="27"/>
    </row>
    <row r="101" spans="10:16" x14ac:dyDescent="0.25">
      <c r="J101" s="27"/>
      <c r="K101" s="27"/>
      <c r="L101" s="27"/>
      <c r="M101" s="27"/>
      <c r="N101" s="27"/>
      <c r="O101" s="27"/>
      <c r="P101" s="27"/>
    </row>
    <row r="102" spans="10:16" x14ac:dyDescent="0.25">
      <c r="J102" s="27"/>
      <c r="K102" s="27"/>
      <c r="L102" s="27"/>
      <c r="M102" s="27"/>
      <c r="N102" s="27"/>
      <c r="O102" s="27"/>
      <c r="P102" s="27"/>
    </row>
    <row r="103" spans="10:16" x14ac:dyDescent="0.25">
      <c r="J103" s="27"/>
      <c r="K103" s="27"/>
      <c r="L103" s="27"/>
      <c r="M103" s="27"/>
      <c r="N103" s="27"/>
      <c r="O103" s="27"/>
      <c r="P103" s="27"/>
    </row>
    <row r="104" spans="10:16" x14ac:dyDescent="0.25">
      <c r="J104" s="27"/>
      <c r="K104" s="27"/>
      <c r="L104" s="27"/>
      <c r="M104" s="27"/>
      <c r="N104" s="27"/>
      <c r="O104" s="27"/>
      <c r="P104" s="27"/>
    </row>
    <row r="105" spans="10:16" x14ac:dyDescent="0.25">
      <c r="J105" s="27"/>
      <c r="K105" s="27"/>
      <c r="L105" s="27"/>
      <c r="M105" s="27"/>
      <c r="N105" s="27"/>
      <c r="O105" s="27"/>
      <c r="P105" s="27"/>
    </row>
    <row r="106" spans="10:16" x14ac:dyDescent="0.25">
      <c r="K106" s="27"/>
      <c r="L106" s="27"/>
      <c r="M106" s="27"/>
      <c r="N106" s="27"/>
    </row>
    <row r="107" spans="10:16" x14ac:dyDescent="0.25">
      <c r="K107" s="27"/>
      <c r="L107" s="27"/>
      <c r="M107" s="27"/>
      <c r="N107" s="27"/>
    </row>
    <row r="108" spans="10:16" x14ac:dyDescent="0.25">
      <c r="K108" s="27"/>
      <c r="L108" s="27"/>
      <c r="M108" s="27"/>
    </row>
    <row r="109" spans="10:16" x14ac:dyDescent="0.25">
      <c r="K109" s="27"/>
      <c r="L109" s="27"/>
      <c r="M109" s="27"/>
    </row>
  </sheetData>
  <sheetProtection sheet="1" selectLockedCells="1"/>
  <protectedRanges>
    <protectedRange sqref="C6:C13 C33:C35 C23:C31 D31" name="Dosing by Levels Variables"/>
  </protectedRanges>
  <mergeCells count="7">
    <mergeCell ref="I1:J1"/>
    <mergeCell ref="A1:D1"/>
    <mergeCell ref="A15:D15"/>
    <mergeCell ref="A32:D32"/>
    <mergeCell ref="A24:A27"/>
    <mergeCell ref="A28:A30"/>
    <mergeCell ref="A22:I22"/>
  </mergeCells>
  <phoneticPr fontId="6" type="noConversion"/>
  <dataValidations count="1">
    <dataValidation type="list" allowBlank="1" showInputMessage="1" showErrorMessage="1" sqref="C2">
      <formula1>$C$3:$C$5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3" r:id="rId4" name="CommandButton5">
          <controlPr defaultSize="0" autoLine="0" r:id="rId5">
            <anchor moveWithCells="1">
              <from>
                <xdr:col>8</xdr:col>
                <xdr:colOff>9525</xdr:colOff>
                <xdr:row>9</xdr:row>
                <xdr:rowOff>219075</xdr:rowOff>
              </from>
              <to>
                <xdr:col>8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33803" r:id="rId4" name="CommandButton5"/>
      </mc:Fallback>
    </mc:AlternateContent>
    <mc:AlternateContent xmlns:mc="http://schemas.openxmlformats.org/markup-compatibility/2006">
      <mc:Choice Requires="x14">
        <control shapeId="33802" r:id="rId6" name="CommandButton4">
          <controlPr defaultSize="0" autoLine="0" r:id="rId7">
            <anchor moveWithCells="1">
              <from>
                <xdr:col>8</xdr:col>
                <xdr:colOff>9525</xdr:colOff>
                <xdr:row>7</xdr:row>
                <xdr:rowOff>0</xdr:rowOff>
              </from>
              <to>
                <xdr:col>8</xdr:col>
                <xdr:colOff>581025</xdr:colOff>
                <xdr:row>8</xdr:row>
                <xdr:rowOff>19050</xdr:rowOff>
              </to>
            </anchor>
          </controlPr>
        </control>
      </mc:Choice>
      <mc:Fallback>
        <control shapeId="33802" r:id="rId6" name="CommandButton4"/>
      </mc:Fallback>
    </mc:AlternateContent>
    <mc:AlternateContent xmlns:mc="http://schemas.openxmlformats.org/markup-compatibility/2006">
      <mc:Choice Requires="x14">
        <control shapeId="33796" r:id="rId8" name="CommandButton3">
          <controlPr defaultSize="0" autoLine="0" r:id="rId9">
            <anchor moveWithCells="1">
              <from>
                <xdr:col>8</xdr:col>
                <xdr:colOff>647700</xdr:colOff>
                <xdr:row>1</xdr:row>
                <xdr:rowOff>9525</xdr:rowOff>
              </from>
              <to>
                <xdr:col>9</xdr:col>
                <xdr:colOff>1485900</xdr:colOff>
                <xdr:row>6</xdr:row>
                <xdr:rowOff>38100</xdr:rowOff>
              </to>
            </anchor>
          </controlPr>
        </control>
      </mc:Choice>
      <mc:Fallback>
        <control shapeId="33796" r:id="rId8" name="CommandButton3"/>
      </mc:Fallback>
    </mc:AlternateContent>
    <mc:AlternateContent xmlns:mc="http://schemas.openxmlformats.org/markup-compatibility/2006">
      <mc:Choice Requires="x14">
        <control shapeId="33795" r:id="rId10" name="CommandButton2">
          <controlPr defaultSize="0" autoLine="0" r:id="rId11">
            <anchor moveWithCells="1">
              <from>
                <xdr:col>9</xdr:col>
                <xdr:colOff>95250</xdr:colOff>
                <xdr:row>6</xdr:row>
                <xdr:rowOff>66675</xdr:rowOff>
              </from>
              <to>
                <xdr:col>9</xdr:col>
                <xdr:colOff>1485900</xdr:colOff>
                <xdr:row>8</xdr:row>
                <xdr:rowOff>95250</xdr:rowOff>
              </to>
            </anchor>
          </controlPr>
        </control>
      </mc:Choice>
      <mc:Fallback>
        <control shapeId="33795" r:id="rId10" name="CommandButton2"/>
      </mc:Fallback>
    </mc:AlternateContent>
    <mc:AlternateContent xmlns:mc="http://schemas.openxmlformats.org/markup-compatibility/2006">
      <mc:Choice Requires="x14">
        <control shapeId="33794" r:id="rId12" name="CommandButton1">
          <controlPr defaultSize="0" autoLine="0" r:id="rId13">
            <anchor moveWithCells="1">
              <from>
                <xdr:col>8</xdr:col>
                <xdr:colOff>647700</xdr:colOff>
                <xdr:row>6</xdr:row>
                <xdr:rowOff>66675</xdr:rowOff>
              </from>
              <to>
                <xdr:col>9</xdr:col>
                <xdr:colOff>9525</xdr:colOff>
                <xdr:row>8</xdr:row>
                <xdr:rowOff>95250</xdr:rowOff>
              </to>
            </anchor>
          </controlPr>
        </control>
      </mc:Choice>
      <mc:Fallback>
        <control shapeId="33794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126"/>
  <sheetViews>
    <sheetView showRowColHeaders="0" zoomScale="90" workbookViewId="0">
      <selection activeCell="C5" sqref="C5"/>
    </sheetView>
  </sheetViews>
  <sheetFormatPr defaultColWidth="8.85546875" defaultRowHeight="18" x14ac:dyDescent="0.25"/>
  <cols>
    <col min="1" max="1" width="5.7109375" style="23" customWidth="1"/>
    <col min="2" max="2" width="36.5703125" style="23" customWidth="1"/>
    <col min="3" max="3" width="22.7109375" style="37" bestFit="1" customWidth="1"/>
    <col min="4" max="4" width="27.7109375" style="23" bestFit="1" customWidth="1"/>
    <col min="5" max="5" width="14.5703125" style="23" hidden="1" customWidth="1"/>
    <col min="6" max="6" width="68.42578125" style="23" bestFit="1" customWidth="1"/>
    <col min="7" max="7" width="8.42578125" style="23" customWidth="1"/>
    <col min="8" max="8" width="9.42578125" style="23" bestFit="1" customWidth="1"/>
    <col min="9" max="9" width="12.85546875" style="23" bestFit="1" customWidth="1"/>
    <col min="10" max="16384" width="8.85546875" style="23"/>
  </cols>
  <sheetData>
    <row r="1" spans="1:18" x14ac:dyDescent="0.25">
      <c r="A1" s="288" t="s">
        <v>25</v>
      </c>
      <c r="B1" s="288"/>
      <c r="C1" s="288"/>
      <c r="D1" s="288"/>
      <c r="F1" s="21"/>
      <c r="G1" s="21"/>
      <c r="H1" s="21" t="s">
        <v>78</v>
      </c>
      <c r="I1" s="21" t="s">
        <v>79</v>
      </c>
      <c r="J1" s="21"/>
      <c r="K1" s="21"/>
      <c r="L1" s="21"/>
      <c r="M1" s="21"/>
      <c r="N1" s="21"/>
      <c r="O1" s="21"/>
      <c r="P1" s="21"/>
      <c r="Q1" s="21"/>
      <c r="R1" s="21"/>
    </row>
    <row r="2" spans="1:18" s="83" customFormat="1" ht="15" x14ac:dyDescent="0.2">
      <c r="A2" s="80"/>
      <c r="B2" s="81" t="s">
        <v>83</v>
      </c>
      <c r="C2" s="82" t="s">
        <v>85</v>
      </c>
      <c r="D2" s="150" t="s">
        <v>146</v>
      </c>
      <c r="F2" s="84"/>
      <c r="G2" s="127">
        <v>1.0416666666666667</v>
      </c>
      <c r="H2" s="86">
        <f>C7</f>
        <v>0</v>
      </c>
      <c r="I2" s="87">
        <f>IF(C2="Steady state",C18,0)</f>
        <v>0</v>
      </c>
      <c r="J2" s="84"/>
      <c r="K2" s="84"/>
      <c r="L2" s="84"/>
      <c r="M2" s="84"/>
      <c r="N2" s="84"/>
      <c r="O2" s="84"/>
      <c r="P2" s="84"/>
      <c r="Q2" s="84"/>
      <c r="R2" s="84"/>
    </row>
    <row r="3" spans="1:18" s="83" customFormat="1" ht="15" hidden="1" x14ac:dyDescent="0.2">
      <c r="A3" s="80"/>
      <c r="B3" s="81"/>
      <c r="C3" s="154" t="s">
        <v>85</v>
      </c>
      <c r="D3" s="81"/>
      <c r="F3" s="84"/>
      <c r="G3" s="84"/>
      <c r="H3" s="86">
        <f>H2+$G$2</f>
        <v>1.0416666666666667</v>
      </c>
      <c r="I3" s="88" t="str">
        <f>C17</f>
        <v/>
      </c>
      <c r="J3" s="84"/>
      <c r="K3" s="84"/>
      <c r="L3" s="84"/>
      <c r="M3" s="84"/>
      <c r="N3" s="84"/>
      <c r="O3" s="84"/>
      <c r="P3" s="84"/>
      <c r="Q3" s="84"/>
      <c r="R3" s="84"/>
    </row>
    <row r="4" spans="1:18" s="83" customFormat="1" ht="15" hidden="1" x14ac:dyDescent="0.2">
      <c r="A4" s="80"/>
      <c r="B4" s="81"/>
      <c r="C4" s="154" t="s">
        <v>84</v>
      </c>
      <c r="D4" s="81"/>
      <c r="F4" s="84"/>
      <c r="G4" s="84">
        <v>1</v>
      </c>
      <c r="H4" s="86">
        <f>H3+$G$2</f>
        <v>2.0833333333333335</v>
      </c>
      <c r="I4" s="88" t="e">
        <f t="shared" ref="I4:I26" si="0">$I$3*EXP(-$C$15*G4)</f>
        <v>#VALUE!</v>
      </c>
      <c r="J4" s="89"/>
      <c r="K4" s="84"/>
      <c r="L4" s="84"/>
      <c r="M4" s="84"/>
      <c r="N4" s="84"/>
      <c r="O4" s="84"/>
      <c r="P4" s="84"/>
      <c r="Q4" s="84"/>
      <c r="R4" s="84"/>
    </row>
    <row r="5" spans="1:18" s="83" customFormat="1" ht="15" x14ac:dyDescent="0.2">
      <c r="A5" s="84"/>
      <c r="B5" s="90" t="s">
        <v>38</v>
      </c>
      <c r="C5" s="82"/>
      <c r="D5" s="91" t="s">
        <v>4</v>
      </c>
      <c r="F5" s="89"/>
      <c r="G5" s="84"/>
      <c r="H5" s="86">
        <f>H2+$G$2</f>
        <v>1.0416666666666667</v>
      </c>
      <c r="I5" s="88" t="e">
        <f t="shared" si="0"/>
        <v>#VALUE!</v>
      </c>
      <c r="J5" s="89"/>
      <c r="K5" s="84"/>
      <c r="L5" s="84"/>
      <c r="M5" s="84"/>
      <c r="N5" s="84"/>
      <c r="O5" s="84"/>
      <c r="P5" s="84"/>
      <c r="Q5" s="84"/>
      <c r="R5" s="84"/>
    </row>
    <row r="6" spans="1:18" s="83" customFormat="1" ht="15" x14ac:dyDescent="0.2">
      <c r="A6" s="84"/>
      <c r="B6" s="90" t="s">
        <v>130</v>
      </c>
      <c r="C6" s="82"/>
      <c r="D6" s="91" t="s">
        <v>82</v>
      </c>
      <c r="F6" s="89"/>
      <c r="G6" s="84">
        <v>1</v>
      </c>
      <c r="H6" s="86">
        <f>H3+$G$2</f>
        <v>2.0833333333333335</v>
      </c>
      <c r="I6" s="88" t="e">
        <f t="shared" si="0"/>
        <v>#VALUE!</v>
      </c>
      <c r="J6" s="89"/>
      <c r="K6" s="84"/>
      <c r="L6" s="84"/>
      <c r="M6" s="84"/>
      <c r="N6" s="84"/>
      <c r="O6" s="84"/>
      <c r="P6" s="84"/>
      <c r="Q6" s="84"/>
      <c r="R6" s="84"/>
    </row>
    <row r="7" spans="1:18" s="83" customFormat="1" ht="15" x14ac:dyDescent="0.2">
      <c r="A7" s="84"/>
      <c r="B7" s="90" t="s">
        <v>75</v>
      </c>
      <c r="C7" s="92"/>
      <c r="D7" s="91" t="s">
        <v>76</v>
      </c>
      <c r="E7" s="93"/>
      <c r="F7" s="89"/>
      <c r="G7" s="84">
        <v>2</v>
      </c>
      <c r="H7" s="86">
        <f>H4+$G$2</f>
        <v>3.125</v>
      </c>
      <c r="I7" s="88" t="e">
        <f t="shared" si="0"/>
        <v>#VALUE!</v>
      </c>
      <c r="J7" s="84"/>
      <c r="K7" s="84"/>
      <c r="L7" s="84"/>
      <c r="M7" s="84"/>
      <c r="N7" s="84"/>
      <c r="O7" s="84"/>
      <c r="P7" s="84"/>
      <c r="Q7" s="84"/>
      <c r="R7" s="84"/>
    </row>
    <row r="8" spans="1:18" s="83" customFormat="1" ht="15" x14ac:dyDescent="0.2">
      <c r="A8" s="84"/>
      <c r="B8" s="90" t="s">
        <v>15</v>
      </c>
      <c r="C8" s="94">
        <v>0.5</v>
      </c>
      <c r="D8" s="91" t="s">
        <v>77</v>
      </c>
      <c r="E8" s="95">
        <f>C8/24</f>
        <v>2.0833333333333332E-2</v>
      </c>
      <c r="F8" s="89"/>
      <c r="G8" s="84">
        <v>3</v>
      </c>
      <c r="H8" s="86">
        <f t="shared" ref="H8:H25" si="1">H7+$G$2</f>
        <v>4.166666666666667</v>
      </c>
      <c r="I8" s="88" t="e">
        <f t="shared" si="0"/>
        <v>#VALUE!</v>
      </c>
      <c r="J8" s="84"/>
      <c r="K8" s="84"/>
      <c r="L8" s="84"/>
      <c r="M8" s="84"/>
      <c r="N8" s="84"/>
      <c r="O8" s="84"/>
      <c r="P8" s="84"/>
      <c r="Q8" s="84"/>
      <c r="R8" s="84"/>
    </row>
    <row r="9" spans="1:18" s="83" customFormat="1" ht="15" x14ac:dyDescent="0.2">
      <c r="A9" s="84"/>
      <c r="B9" s="90" t="s">
        <v>135</v>
      </c>
      <c r="C9" s="94"/>
      <c r="D9" s="91" t="s">
        <v>8</v>
      </c>
      <c r="E9" s="96" t="str">
        <f>TEXT(C10,"h:mm")</f>
        <v>0:00</v>
      </c>
      <c r="F9" s="97"/>
      <c r="G9" s="84">
        <v>4</v>
      </c>
      <c r="H9" s="86">
        <f t="shared" si="1"/>
        <v>5.2083333333333339</v>
      </c>
      <c r="I9" s="88" t="e">
        <f t="shared" si="0"/>
        <v>#VALUE!</v>
      </c>
      <c r="J9" s="84"/>
      <c r="K9" s="84"/>
      <c r="L9" s="84"/>
      <c r="M9" s="84"/>
      <c r="N9" s="84"/>
      <c r="O9" s="84"/>
      <c r="P9" s="84"/>
      <c r="Q9" s="84"/>
      <c r="R9" s="84"/>
    </row>
    <row r="10" spans="1:18" s="83" customFormat="1" ht="15" x14ac:dyDescent="0.2">
      <c r="A10" s="84"/>
      <c r="B10" s="90" t="s">
        <v>134</v>
      </c>
      <c r="C10" s="98"/>
      <c r="D10" s="91" t="s">
        <v>76</v>
      </c>
      <c r="E10" s="99">
        <f>(C10-(C7+E8))*24</f>
        <v>-0.5</v>
      </c>
      <c r="F10" s="100"/>
      <c r="G10" s="84">
        <v>5</v>
      </c>
      <c r="H10" s="86">
        <f t="shared" si="1"/>
        <v>6.2500000000000009</v>
      </c>
      <c r="I10" s="88" t="e">
        <f t="shared" si="0"/>
        <v>#VALUE!</v>
      </c>
      <c r="J10" s="84"/>
      <c r="K10" s="84"/>
      <c r="L10" s="84"/>
      <c r="M10" s="84"/>
      <c r="N10" s="84"/>
      <c r="O10" s="84"/>
      <c r="P10" s="84"/>
      <c r="Q10" s="84"/>
      <c r="R10" s="84"/>
    </row>
    <row r="11" spans="1:18" s="83" customFormat="1" x14ac:dyDescent="0.3">
      <c r="A11" s="84"/>
      <c r="B11" s="90" t="s">
        <v>129</v>
      </c>
      <c r="C11" s="82">
        <v>0.3</v>
      </c>
      <c r="D11" s="91" t="s">
        <v>2</v>
      </c>
      <c r="E11" s="96"/>
      <c r="F11" s="89" t="s">
        <v>149</v>
      </c>
      <c r="G11" s="84">
        <v>6</v>
      </c>
      <c r="H11" s="86">
        <f t="shared" si="1"/>
        <v>7.2916666666666679</v>
      </c>
      <c r="I11" s="88" t="e">
        <f t="shared" si="0"/>
        <v>#VALUE!</v>
      </c>
      <c r="J11" s="84"/>
      <c r="K11" s="84"/>
      <c r="L11" s="84"/>
      <c r="M11" s="84"/>
      <c r="N11" s="84"/>
      <c r="O11" s="84"/>
      <c r="P11" s="84"/>
      <c r="Q11" s="84"/>
      <c r="R11" s="84"/>
    </row>
    <row r="12" spans="1:18" s="101" customFormat="1" ht="15" x14ac:dyDescent="0.2">
      <c r="A12" s="84"/>
      <c r="B12" s="90" t="s">
        <v>139</v>
      </c>
      <c r="C12" s="94"/>
      <c r="D12" s="91" t="s">
        <v>0</v>
      </c>
      <c r="E12" s="99">
        <f>C11*C12</f>
        <v>0</v>
      </c>
      <c r="F12" s="100"/>
      <c r="G12" s="84">
        <v>7</v>
      </c>
      <c r="H12" s="86">
        <f t="shared" si="1"/>
        <v>8.3333333333333339</v>
      </c>
      <c r="I12" s="88" t="e">
        <f t="shared" si="0"/>
        <v>#VALUE!</v>
      </c>
      <c r="J12" s="84"/>
      <c r="K12" s="84"/>
      <c r="L12" s="84"/>
      <c r="M12" s="84"/>
      <c r="N12" s="84"/>
      <c r="O12" s="84"/>
      <c r="P12" s="84"/>
      <c r="Q12" s="84"/>
      <c r="R12" s="84"/>
    </row>
    <row r="13" spans="1:18" s="27" customFormat="1" x14ac:dyDescent="0.25">
      <c r="A13" s="21"/>
      <c r="B13" s="21"/>
      <c r="C13" s="22"/>
      <c r="D13" s="21"/>
      <c r="E13" s="28"/>
      <c r="F13" s="21"/>
      <c r="G13" s="21">
        <v>8</v>
      </c>
      <c r="H13" s="24">
        <f t="shared" si="1"/>
        <v>9.375</v>
      </c>
      <c r="I13" s="25" t="e">
        <f t="shared" si="0"/>
        <v>#VALUE!</v>
      </c>
      <c r="J13" s="21"/>
      <c r="K13" s="21"/>
      <c r="L13" s="21"/>
      <c r="M13" s="21"/>
      <c r="N13" s="21"/>
      <c r="O13" s="21"/>
      <c r="P13" s="21"/>
      <c r="Q13" s="21"/>
      <c r="R13" s="21"/>
    </row>
    <row r="14" spans="1:18" x14ac:dyDescent="0.25">
      <c r="A14" s="289" t="s">
        <v>106</v>
      </c>
      <c r="B14" s="289"/>
      <c r="C14" s="289"/>
      <c r="D14" s="289"/>
      <c r="E14" s="38"/>
      <c r="F14" s="18"/>
      <c r="G14" s="21">
        <v>9</v>
      </c>
      <c r="H14" s="24">
        <f t="shared" si="1"/>
        <v>10.416666666666666</v>
      </c>
      <c r="I14" s="25" t="e">
        <f t="shared" si="0"/>
        <v>#VALUE!</v>
      </c>
      <c r="J14" s="21"/>
      <c r="K14" s="21"/>
      <c r="L14" s="21"/>
      <c r="M14" s="21"/>
      <c r="N14" s="21"/>
      <c r="O14" s="21"/>
      <c r="P14" s="21"/>
      <c r="Q14" s="21"/>
      <c r="R14" s="21"/>
    </row>
    <row r="15" spans="1:18" x14ac:dyDescent="0.25">
      <c r="A15" s="18"/>
      <c r="B15" s="71" t="s">
        <v>6</v>
      </c>
      <c r="C15" s="73" t="str">
        <f>IF(C12="","",IF(C2="First dose",E16,E15))</f>
        <v/>
      </c>
      <c r="D15" s="72" t="s">
        <v>3</v>
      </c>
      <c r="E15" s="38" t="e">
        <f>VLOOKUP(C9,C47:D93,2)</f>
        <v>#N/A</v>
      </c>
      <c r="F15" s="134" t="s">
        <v>137</v>
      </c>
      <c r="G15" s="21">
        <v>10</v>
      </c>
      <c r="H15" s="24">
        <f t="shared" si="1"/>
        <v>11.458333333333332</v>
      </c>
      <c r="I15" s="25" t="e">
        <f t="shared" si="0"/>
        <v>#VALUE!</v>
      </c>
      <c r="J15" s="21"/>
      <c r="K15" s="21"/>
      <c r="L15" s="21"/>
      <c r="M15" s="21"/>
      <c r="N15" s="21"/>
      <c r="O15" s="21"/>
      <c r="P15" s="21"/>
      <c r="Q15" s="21"/>
      <c r="R15" s="21"/>
    </row>
    <row r="16" spans="1:18" ht="14.25" customHeight="1" x14ac:dyDescent="0.25">
      <c r="A16" s="18"/>
      <c r="B16" s="71" t="s">
        <v>89</v>
      </c>
      <c r="C16" s="41" t="str">
        <f>IF(C15="","",LN(2)/C15)</f>
        <v/>
      </c>
      <c r="D16" s="72" t="s">
        <v>7</v>
      </c>
      <c r="E16" s="38" t="e">
        <f>LN((C5/E12)/C9)/E10</f>
        <v>#DIV/0!</v>
      </c>
      <c r="F16" s="66" t="s">
        <v>98</v>
      </c>
      <c r="G16" s="21">
        <v>11</v>
      </c>
      <c r="H16" s="24">
        <f t="shared" si="1"/>
        <v>12.499999999999998</v>
      </c>
      <c r="I16" s="25" t="e">
        <f t="shared" si="0"/>
        <v>#VALUE!</v>
      </c>
      <c r="J16" s="21"/>
      <c r="K16" s="21"/>
      <c r="L16" s="21"/>
      <c r="M16" s="21"/>
      <c r="N16" s="21"/>
      <c r="O16" s="21"/>
      <c r="P16" s="21"/>
      <c r="Q16" s="21"/>
      <c r="R16" s="21"/>
    </row>
    <row r="17" spans="1:18" ht="14.25" customHeight="1" x14ac:dyDescent="0.25">
      <c r="A17" s="18"/>
      <c r="B17" s="71" t="str">
        <f>IF(C2="First dose","Cmax with first dose","Cmax steady state")</f>
        <v>Cmax with first dose</v>
      </c>
      <c r="C17" s="41" t="str">
        <f>IF(C12="","",IF(C2="First dose",E17,E18))</f>
        <v/>
      </c>
      <c r="D17" s="72" t="s">
        <v>8</v>
      </c>
      <c r="E17" s="38" t="e">
        <f>C5/E12</f>
        <v>#DIV/0!</v>
      </c>
      <c r="F17" s="134" t="s">
        <v>138</v>
      </c>
      <c r="G17" s="21">
        <v>12</v>
      </c>
      <c r="H17" s="24">
        <f t="shared" si="1"/>
        <v>13.541666666666664</v>
      </c>
      <c r="I17" s="25" t="e">
        <f t="shared" si="0"/>
        <v>#VALUE!</v>
      </c>
      <c r="J17" s="21"/>
      <c r="K17" s="21"/>
      <c r="L17" s="21"/>
      <c r="M17" s="21"/>
      <c r="N17" s="21"/>
      <c r="O17" s="21"/>
      <c r="P17" s="21"/>
      <c r="Q17" s="21"/>
      <c r="R17" s="21"/>
    </row>
    <row r="18" spans="1:18" ht="14.25" customHeight="1" x14ac:dyDescent="0.25">
      <c r="A18" s="18"/>
      <c r="B18" s="71" t="str">
        <f>IF(C2="First dose","Cmin with first dose","Cmin steady state")</f>
        <v>Cmin with first dose</v>
      </c>
      <c r="C18" s="41" t="str">
        <f>IF(C17="","",C17*EXP(-C15*(C6-C8)))</f>
        <v/>
      </c>
      <c r="D18" s="72" t="s">
        <v>8</v>
      </c>
      <c r="E18" s="38" t="e">
        <f>C5/E12/(1-EXP(-C15*C6))</f>
        <v>#DIV/0!</v>
      </c>
      <c r="F18" s="66" t="s">
        <v>100</v>
      </c>
      <c r="G18" s="21">
        <v>13</v>
      </c>
      <c r="H18" s="24">
        <f t="shared" si="1"/>
        <v>14.58333333333333</v>
      </c>
      <c r="I18" s="25" t="e">
        <f t="shared" si="0"/>
        <v>#VALUE!</v>
      </c>
      <c r="J18" s="21"/>
      <c r="K18" s="21"/>
      <c r="L18" s="21"/>
      <c r="M18" s="21"/>
      <c r="N18" s="21"/>
      <c r="O18" s="21"/>
      <c r="P18" s="21"/>
      <c r="Q18" s="21"/>
      <c r="R18" s="21"/>
    </row>
    <row r="19" spans="1:18" ht="14.25" customHeight="1" x14ac:dyDescent="0.25">
      <c r="A19" s="18"/>
      <c r="B19" s="71" t="s">
        <v>87</v>
      </c>
      <c r="C19" s="41" t="str">
        <f>IF(C12="","",E12)</f>
        <v/>
      </c>
      <c r="D19" s="72" t="s">
        <v>5</v>
      </c>
      <c r="E19" s="39"/>
      <c r="F19" s="66" t="s">
        <v>140</v>
      </c>
      <c r="G19" s="21">
        <v>14</v>
      </c>
      <c r="H19" s="24">
        <f t="shared" si="1"/>
        <v>15.624999999999996</v>
      </c>
      <c r="I19" s="25" t="e">
        <f t="shared" si="0"/>
        <v>#VALUE!</v>
      </c>
      <c r="J19" s="21"/>
      <c r="K19" s="21"/>
      <c r="L19" s="21"/>
      <c r="M19" s="21"/>
      <c r="N19" s="21"/>
      <c r="O19" s="21"/>
      <c r="P19" s="21"/>
      <c r="Q19" s="21"/>
      <c r="R19" s="21"/>
    </row>
    <row r="20" spans="1:18" ht="14.25" customHeight="1" x14ac:dyDescent="0.25">
      <c r="A20" s="18"/>
      <c r="B20" s="71" t="s">
        <v>88</v>
      </c>
      <c r="C20" s="41" t="str">
        <f>IF(C12="","",IF(C2="First dose",C15*E12*1000/60,IF(C2="Steady state",C15*E12*1000/60,"")))</f>
        <v/>
      </c>
      <c r="D20" s="72" t="s">
        <v>1</v>
      </c>
      <c r="E20" s="38"/>
      <c r="F20" s="66" t="s">
        <v>102</v>
      </c>
      <c r="G20" s="21">
        <v>15</v>
      </c>
      <c r="H20" s="24">
        <f t="shared" si="1"/>
        <v>16.666666666666664</v>
      </c>
      <c r="I20" s="25" t="e">
        <f t="shared" si="0"/>
        <v>#VALUE!</v>
      </c>
      <c r="J20" s="21"/>
      <c r="K20" s="21"/>
      <c r="L20" s="21"/>
      <c r="M20" s="21"/>
      <c r="N20" s="21"/>
      <c r="O20" s="21"/>
      <c r="P20" s="21"/>
      <c r="Q20" s="21"/>
      <c r="R20" s="21"/>
    </row>
    <row r="21" spans="1:18" ht="14.25" customHeight="1" x14ac:dyDescent="0.25">
      <c r="A21" s="21"/>
      <c r="B21" s="21"/>
      <c r="C21" s="22"/>
      <c r="D21" s="21"/>
      <c r="E21" s="28"/>
      <c r="F21" s="67"/>
      <c r="G21" s="21">
        <v>17</v>
      </c>
      <c r="H21" s="24" t="e">
        <f>#REF!+$G$2</f>
        <v>#REF!</v>
      </c>
      <c r="I21" s="25" t="e">
        <f t="shared" si="0"/>
        <v>#VALUE!</v>
      </c>
      <c r="J21" s="21"/>
      <c r="K21" s="21"/>
      <c r="L21" s="21"/>
      <c r="M21" s="21"/>
      <c r="N21" s="21"/>
      <c r="O21" s="21"/>
      <c r="P21" s="21"/>
      <c r="Q21" s="21"/>
      <c r="R21" s="21"/>
    </row>
    <row r="22" spans="1:18" x14ac:dyDescent="0.25">
      <c r="A22" s="289" t="s">
        <v>26</v>
      </c>
      <c r="B22" s="289"/>
      <c r="C22" s="289"/>
      <c r="D22" s="289"/>
      <c r="E22" s="28"/>
      <c r="F22" s="67"/>
      <c r="G22" s="21">
        <v>18</v>
      </c>
      <c r="H22" s="24" t="e">
        <f t="shared" si="1"/>
        <v>#REF!</v>
      </c>
      <c r="I22" s="25" t="e">
        <f t="shared" si="0"/>
        <v>#VALUE!</v>
      </c>
      <c r="J22" s="21"/>
      <c r="K22" s="21"/>
      <c r="L22" s="21"/>
      <c r="M22" s="21"/>
      <c r="N22" s="21"/>
      <c r="O22" s="21"/>
      <c r="P22" s="21"/>
      <c r="Q22" s="21"/>
      <c r="R22" s="21"/>
    </row>
    <row r="23" spans="1:18" s="83" customFormat="1" ht="15" x14ac:dyDescent="0.2">
      <c r="A23" s="84"/>
      <c r="B23" s="90" t="s">
        <v>13</v>
      </c>
      <c r="C23" s="102"/>
      <c r="D23" s="91" t="s">
        <v>8</v>
      </c>
      <c r="E23" s="104"/>
      <c r="F23" s="68"/>
      <c r="G23" s="84">
        <v>20</v>
      </c>
      <c r="H23" s="86" t="e">
        <f>#REF!+$G$2</f>
        <v>#REF!</v>
      </c>
      <c r="I23" s="88" t="e">
        <f t="shared" si="0"/>
        <v>#VALUE!</v>
      </c>
      <c r="J23" s="84"/>
      <c r="K23" s="84"/>
      <c r="L23" s="84"/>
      <c r="M23" s="84"/>
      <c r="N23" s="84"/>
      <c r="O23" s="84"/>
      <c r="P23" s="84"/>
      <c r="Q23" s="84"/>
      <c r="R23" s="84"/>
    </row>
    <row r="24" spans="1:18" s="83" customFormat="1" ht="15" x14ac:dyDescent="0.2">
      <c r="A24" s="84"/>
      <c r="B24" s="90" t="s">
        <v>14</v>
      </c>
      <c r="C24" s="102">
        <v>0.25</v>
      </c>
      <c r="D24" s="91" t="s">
        <v>8</v>
      </c>
      <c r="E24" s="104"/>
      <c r="F24" s="68"/>
      <c r="G24" s="84">
        <v>21</v>
      </c>
      <c r="H24" s="86" t="e">
        <f t="shared" si="1"/>
        <v>#REF!</v>
      </c>
      <c r="I24" s="88" t="e">
        <f t="shared" si="0"/>
        <v>#VALUE!</v>
      </c>
      <c r="J24" s="84"/>
      <c r="K24" s="84"/>
      <c r="L24" s="84"/>
      <c r="M24" s="84"/>
      <c r="N24" s="84"/>
      <c r="O24" s="84"/>
      <c r="P24" s="84"/>
      <c r="Q24" s="84"/>
      <c r="R24" s="84"/>
    </row>
    <row r="25" spans="1:18" s="83" customFormat="1" ht="15" x14ac:dyDescent="0.2">
      <c r="A25" s="84"/>
      <c r="B25" s="90" t="s">
        <v>10</v>
      </c>
      <c r="C25" s="102">
        <v>0.5</v>
      </c>
      <c r="D25" s="91" t="s">
        <v>7</v>
      </c>
      <c r="E25" s="104"/>
      <c r="F25" s="68" t="s">
        <v>39</v>
      </c>
      <c r="G25" s="84">
        <v>22</v>
      </c>
      <c r="H25" s="86" t="e">
        <f t="shared" si="1"/>
        <v>#REF!</v>
      </c>
      <c r="I25" s="88" t="e">
        <f t="shared" si="0"/>
        <v>#VALUE!</v>
      </c>
      <c r="J25" s="84"/>
      <c r="K25" s="84"/>
      <c r="L25" s="84"/>
      <c r="M25" s="84"/>
      <c r="N25" s="84"/>
      <c r="O25" s="84"/>
      <c r="P25" s="84"/>
      <c r="Q25" s="84"/>
      <c r="R25" s="84"/>
    </row>
    <row r="26" spans="1:18" s="83" customFormat="1" ht="18.75" x14ac:dyDescent="0.3">
      <c r="A26" s="84"/>
      <c r="B26" s="74" t="s">
        <v>71</v>
      </c>
      <c r="C26" s="106" t="e">
        <f>IF(C16&gt;4.5,E26,C23*C19)</f>
        <v>#VALUE!</v>
      </c>
      <c r="D26" s="91" t="s">
        <v>4</v>
      </c>
      <c r="E26" s="104" t="e">
        <f>C23/2*C19</f>
        <v>#VALUE!</v>
      </c>
      <c r="F26" s="69" t="s">
        <v>104</v>
      </c>
      <c r="G26" s="107"/>
      <c r="H26" s="107"/>
      <c r="I26" s="108" t="e">
        <f t="shared" si="0"/>
        <v>#VALUE!</v>
      </c>
      <c r="J26" s="84"/>
      <c r="K26" s="84"/>
      <c r="L26" s="84"/>
      <c r="M26" s="84"/>
      <c r="N26" s="84"/>
      <c r="O26" s="84"/>
      <c r="P26" s="84"/>
      <c r="Q26" s="84"/>
      <c r="R26" s="84"/>
    </row>
    <row r="27" spans="1:18" s="83" customFormat="1" x14ac:dyDescent="0.3">
      <c r="A27" s="84"/>
      <c r="B27" s="74" t="s">
        <v>80</v>
      </c>
      <c r="C27" s="106" t="e">
        <f>IF(C16&gt;4.5,E27,LN(C24/C23)/-C15+C25)</f>
        <v>#DIV/0!</v>
      </c>
      <c r="D27" s="91" t="s">
        <v>7</v>
      </c>
      <c r="E27" s="104" t="e">
        <f>LN(C24/(C23/2))/-C15+C25</f>
        <v>#DIV/0!</v>
      </c>
      <c r="F27" s="69" t="s">
        <v>105</v>
      </c>
      <c r="G27" s="107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</row>
    <row r="28" spans="1:18" x14ac:dyDescent="0.25">
      <c r="A28" s="21"/>
      <c r="B28" s="21"/>
      <c r="C28" s="22"/>
      <c r="D28" s="21"/>
      <c r="E28" s="29"/>
      <c r="F28" s="21"/>
      <c r="H28" s="21"/>
      <c r="I28" s="21"/>
      <c r="J28" s="116"/>
      <c r="K28" s="116"/>
      <c r="L28" s="116"/>
      <c r="M28" s="116"/>
      <c r="N28" s="116"/>
      <c r="O28" s="116"/>
      <c r="P28" s="116"/>
      <c r="Q28" s="21"/>
      <c r="R28" s="21"/>
    </row>
    <row r="29" spans="1:18" x14ac:dyDescent="0.25">
      <c r="A29" s="289" t="s">
        <v>27</v>
      </c>
      <c r="B29" s="289"/>
      <c r="C29" s="289"/>
      <c r="D29" s="289"/>
      <c r="E29" s="29"/>
      <c r="F29" s="21"/>
      <c r="G29" s="307" t="s">
        <v>72</v>
      </c>
      <c r="H29" s="308"/>
      <c r="I29" s="308"/>
      <c r="J29" s="308"/>
      <c r="K29" s="308"/>
      <c r="L29" s="308"/>
      <c r="M29" s="308"/>
      <c r="N29" s="308"/>
      <c r="O29" s="308"/>
      <c r="P29" s="309"/>
      <c r="Q29" s="21"/>
      <c r="R29" s="21"/>
    </row>
    <row r="30" spans="1:18" s="83" customFormat="1" ht="18" customHeight="1" x14ac:dyDescent="0.2">
      <c r="A30" s="84"/>
      <c r="B30" s="90" t="s">
        <v>20</v>
      </c>
      <c r="C30" s="109"/>
      <c r="D30" s="91" t="s">
        <v>4</v>
      </c>
      <c r="E30" s="104" t="e">
        <f>IF(C16&gt;4.5,10*ROUND(E26/10,0),10*ROUND(C26/10,0))</f>
        <v>#VALUE!</v>
      </c>
      <c r="F30" s="111" t="e">
        <f>IF(C16&gt;4.5,CONCATENATE("Consder ",E30,"mg (trad dosing targets used d/t long t1/2)"),CONCATENATE("Consider ",E30," mg"))</f>
        <v>#VALUE!</v>
      </c>
      <c r="G30" s="306" t="e">
        <f>A71</f>
        <v>#VALUE!</v>
      </c>
      <c r="H30" s="306"/>
      <c r="I30" s="306"/>
      <c r="J30" s="306"/>
      <c r="K30" s="306"/>
      <c r="L30" s="306"/>
      <c r="M30" s="306"/>
      <c r="N30" s="306"/>
      <c r="O30" s="306"/>
      <c r="P30" s="306"/>
      <c r="Q30" s="84"/>
      <c r="R30" s="84"/>
    </row>
    <row r="31" spans="1:18" s="83" customFormat="1" ht="15" x14ac:dyDescent="0.2">
      <c r="A31" s="84"/>
      <c r="B31" s="90" t="s">
        <v>81</v>
      </c>
      <c r="C31" s="109"/>
      <c r="D31" s="91" t="s">
        <v>7</v>
      </c>
      <c r="E31" s="104" t="e">
        <f>IF(C27&lt;8.5,8,IF(C27&lt;15,12,24))</f>
        <v>#DIV/0!</v>
      </c>
      <c r="F31" s="111" t="e">
        <f>CONCATENATE("Consider every ",E31," hours")</f>
        <v>#DIV/0!</v>
      </c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84"/>
      <c r="R31" s="84"/>
    </row>
    <row r="32" spans="1:18" s="83" customFormat="1" ht="15" x14ac:dyDescent="0.2">
      <c r="A32" s="84"/>
      <c r="B32" s="90" t="s">
        <v>21</v>
      </c>
      <c r="C32" s="115">
        <v>0.5</v>
      </c>
      <c r="D32" s="91" t="s">
        <v>7</v>
      </c>
      <c r="E32" s="104"/>
      <c r="F32" s="84"/>
      <c r="G32" s="306"/>
      <c r="H32" s="306"/>
      <c r="I32" s="306"/>
      <c r="J32" s="306"/>
      <c r="K32" s="306"/>
      <c r="L32" s="306"/>
      <c r="M32" s="306"/>
      <c r="N32" s="306"/>
      <c r="O32" s="306"/>
      <c r="P32" s="306"/>
      <c r="Q32" s="84"/>
      <c r="R32" s="84"/>
    </row>
    <row r="33" spans="1:18" s="83" customFormat="1" ht="15" x14ac:dyDescent="0.2">
      <c r="A33" s="84"/>
      <c r="B33" s="74" t="s">
        <v>24</v>
      </c>
      <c r="C33" s="106" t="e">
        <f>(C30/C32*(1-EXP(-C15*C32)))/(C15*C19*(1-EXP(-C15*C31)))</f>
        <v>#VALUE!</v>
      </c>
      <c r="D33" s="91" t="s">
        <v>8</v>
      </c>
      <c r="E33" s="104"/>
      <c r="F33" s="84"/>
      <c r="G33" s="306"/>
      <c r="H33" s="306"/>
      <c r="I33" s="306"/>
      <c r="J33" s="306"/>
      <c r="K33" s="306"/>
      <c r="L33" s="306"/>
      <c r="M33" s="306"/>
      <c r="N33" s="306"/>
      <c r="O33" s="306"/>
      <c r="P33" s="306"/>
      <c r="Q33" s="84"/>
      <c r="R33" s="84"/>
    </row>
    <row r="34" spans="1:18" s="83" customFormat="1" ht="15" x14ac:dyDescent="0.2">
      <c r="A34" s="84"/>
      <c r="B34" s="74" t="s">
        <v>23</v>
      </c>
      <c r="C34" s="106" t="e">
        <f>C33*EXP(-C15*(C31-C32))</f>
        <v>#VALUE!</v>
      </c>
      <c r="D34" s="91" t="s">
        <v>8</v>
      </c>
      <c r="E34" s="104"/>
      <c r="F34" s="84"/>
      <c r="G34" s="306"/>
      <c r="H34" s="306"/>
      <c r="I34" s="306"/>
      <c r="J34" s="306"/>
      <c r="K34" s="306"/>
      <c r="L34" s="306"/>
      <c r="M34" s="306"/>
      <c r="N34" s="306"/>
      <c r="O34" s="306"/>
      <c r="P34" s="306"/>
      <c r="Q34" s="84"/>
      <c r="R34" s="84"/>
    </row>
    <row r="35" spans="1:18" ht="18" hidden="1" customHeight="1" x14ac:dyDescent="0.25">
      <c r="A35" s="21"/>
      <c r="B35" s="31" t="s">
        <v>16</v>
      </c>
      <c r="C35" s="32" t="e">
        <f>((C33+C34)/2)*C32</f>
        <v>#VALUE!</v>
      </c>
      <c r="D35" s="33"/>
      <c r="F35" s="21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21"/>
      <c r="R35" s="21"/>
    </row>
    <row r="36" spans="1:18" ht="18" hidden="1" customHeight="1" x14ac:dyDescent="0.25">
      <c r="A36" s="21"/>
      <c r="B36" s="34" t="s">
        <v>17</v>
      </c>
      <c r="C36" s="35" t="e">
        <f>((C33-C34)/C15)</f>
        <v>#VALUE!</v>
      </c>
      <c r="D36" s="36"/>
      <c r="F36" s="21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21"/>
      <c r="R36" s="21"/>
    </row>
    <row r="37" spans="1:18" x14ac:dyDescent="0.25">
      <c r="A37" s="21"/>
      <c r="B37" s="21"/>
      <c r="C37" s="22"/>
      <c r="D37" s="21"/>
      <c r="E37" s="21"/>
      <c r="F37" s="21"/>
      <c r="G37" s="306"/>
      <c r="H37" s="306"/>
      <c r="I37" s="306"/>
      <c r="J37" s="306"/>
      <c r="K37" s="306"/>
      <c r="L37" s="306"/>
      <c r="M37" s="306"/>
      <c r="N37" s="306"/>
      <c r="O37" s="306"/>
      <c r="P37" s="306"/>
      <c r="Q37" s="21"/>
      <c r="R37" s="21"/>
    </row>
    <row r="38" spans="1:18" ht="18" hidden="1" customHeight="1" x14ac:dyDescent="0.25">
      <c r="A38" s="21"/>
      <c r="B38" s="21"/>
      <c r="C38" s="22"/>
      <c r="D38" s="21"/>
      <c r="E38" s="21"/>
      <c r="F38" s="21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21"/>
      <c r="R38" s="21"/>
    </row>
    <row r="39" spans="1:18" ht="18" hidden="1" customHeight="1" x14ac:dyDescent="0.25">
      <c r="A39" s="21"/>
      <c r="B39" s="21"/>
      <c r="C39" s="22"/>
      <c r="D39" s="21"/>
      <c r="E39" s="21"/>
      <c r="F39" s="21"/>
      <c r="G39" s="306"/>
      <c r="H39" s="306"/>
      <c r="I39" s="306"/>
      <c r="J39" s="306"/>
      <c r="K39" s="306"/>
      <c r="L39" s="306"/>
      <c r="M39" s="306"/>
      <c r="N39" s="306"/>
      <c r="O39" s="306"/>
      <c r="P39" s="306"/>
      <c r="Q39" s="21"/>
      <c r="R39" s="21"/>
    </row>
    <row r="40" spans="1:18" x14ac:dyDescent="0.25">
      <c r="A40" s="21" t="s">
        <v>148</v>
      </c>
      <c r="B40" s="21"/>
      <c r="C40" s="22"/>
      <c r="D40" s="21"/>
      <c r="E40" s="21"/>
      <c r="F40" s="21"/>
      <c r="G40" s="306"/>
      <c r="H40" s="306"/>
      <c r="I40" s="306"/>
      <c r="J40" s="306"/>
      <c r="K40" s="306"/>
      <c r="L40" s="306"/>
      <c r="M40" s="306"/>
      <c r="N40" s="306"/>
      <c r="O40" s="306"/>
      <c r="P40" s="306"/>
      <c r="Q40" s="21"/>
      <c r="R40" s="21"/>
    </row>
    <row r="41" spans="1:18" ht="18" customHeight="1" x14ac:dyDescent="0.25">
      <c r="A41" s="21"/>
      <c r="B41" s="135"/>
      <c r="C41" s="135"/>
      <c r="D41" s="135"/>
      <c r="E41" s="135"/>
      <c r="F41" s="135"/>
      <c r="G41" s="306"/>
      <c r="H41" s="306"/>
      <c r="I41" s="306"/>
      <c r="J41" s="306"/>
      <c r="K41" s="306"/>
      <c r="L41" s="306"/>
      <c r="M41" s="306"/>
      <c r="N41" s="306"/>
      <c r="O41" s="306"/>
      <c r="P41" s="306"/>
      <c r="Q41" s="21"/>
      <c r="R41" s="21"/>
    </row>
    <row r="42" spans="1:18" x14ac:dyDescent="0.25">
      <c r="A42" s="135"/>
      <c r="B42" s="135"/>
      <c r="C42" s="135"/>
      <c r="D42" s="135"/>
      <c r="E42" s="135"/>
      <c r="F42" s="135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</row>
    <row r="43" spans="1:18" s="27" customFormat="1" x14ac:dyDescent="0.25">
      <c r="A43" s="305"/>
      <c r="B43" s="305"/>
      <c r="C43" s="305"/>
      <c r="D43" s="305"/>
      <c r="E43" s="305"/>
      <c r="F43" s="305"/>
      <c r="G43" s="305"/>
      <c r="H43" s="305"/>
      <c r="I43" s="305"/>
      <c r="J43" s="305"/>
      <c r="K43" s="305"/>
      <c r="L43" s="305"/>
      <c r="M43" s="305"/>
      <c r="N43" s="305"/>
      <c r="O43" s="305"/>
      <c r="P43" s="305"/>
      <c r="Q43" s="305"/>
      <c r="R43" s="305"/>
    </row>
    <row r="44" spans="1:18" s="27" customFormat="1" x14ac:dyDescent="0.25">
      <c r="A44" s="304" t="s">
        <v>150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8" s="27" customFormat="1" x14ac:dyDescent="0.25">
      <c r="A45" s="304"/>
      <c r="B45" s="304"/>
      <c r="C45" s="304"/>
      <c r="D45" s="304"/>
      <c r="E45" s="304"/>
      <c r="F45" s="304"/>
      <c r="G45" s="304"/>
      <c r="H45" s="304"/>
      <c r="I45" s="304"/>
      <c r="J45" s="304"/>
    </row>
    <row r="46" spans="1:18" s="27" customFormat="1" x14ac:dyDescent="0.25">
      <c r="B46" s="132" t="s">
        <v>131</v>
      </c>
      <c r="C46" s="133" t="s">
        <v>133</v>
      </c>
      <c r="D46" s="133" t="s">
        <v>132</v>
      </c>
    </row>
    <row r="47" spans="1:18" s="27" customFormat="1" x14ac:dyDescent="0.25">
      <c r="B47" s="132">
        <f t="shared" ref="B47:B78" si="2">(D47-0.0044)/0.00083</f>
        <v>235.66265060240966</v>
      </c>
      <c r="C47" s="132" t="e">
        <f t="shared" ref="C47:C78" si="3">((($C$5/$E$12*EXP(-D47*$C$6)+$C$5/$E$12)*EXP(-D47*$C$6)+$C$5/$E$12)*EXP(-D47*$C$6)+$C$5/$E$12)*EXP(-D47*$E$10)</f>
        <v>#DIV/0!</v>
      </c>
      <c r="D47" s="133">
        <v>0.2</v>
      </c>
    </row>
    <row r="48" spans="1:18" s="27" customFormat="1" x14ac:dyDescent="0.25">
      <c r="B48" s="132">
        <f t="shared" si="2"/>
        <v>232.65060240963857</v>
      </c>
      <c r="C48" s="132" t="e">
        <f t="shared" si="3"/>
        <v>#DIV/0!</v>
      </c>
      <c r="D48" s="133">
        <f t="shared" ref="D48:D79" si="4">D47-0.0025</f>
        <v>0.19750000000000001</v>
      </c>
    </row>
    <row r="49" spans="2:9" s="27" customFormat="1" x14ac:dyDescent="0.25">
      <c r="B49" s="132">
        <f t="shared" si="2"/>
        <v>229.6385542168675</v>
      </c>
      <c r="C49" s="132" t="e">
        <f t="shared" si="3"/>
        <v>#DIV/0!</v>
      </c>
      <c r="D49" s="133">
        <f t="shared" si="4"/>
        <v>0.19500000000000001</v>
      </c>
    </row>
    <row r="50" spans="2:9" x14ac:dyDescent="0.25">
      <c r="B50" s="132">
        <f t="shared" si="2"/>
        <v>226.62650602409641</v>
      </c>
      <c r="C50" s="132" t="e">
        <f t="shared" si="3"/>
        <v>#DIV/0!</v>
      </c>
      <c r="D50" s="133">
        <f t="shared" si="4"/>
        <v>0.1925</v>
      </c>
      <c r="G50" s="27"/>
      <c r="H50" s="27"/>
      <c r="I50" s="27"/>
    </row>
    <row r="51" spans="2:9" x14ac:dyDescent="0.25">
      <c r="B51" s="132">
        <f t="shared" si="2"/>
        <v>223.61445783132532</v>
      </c>
      <c r="C51" s="132" t="e">
        <f t="shared" si="3"/>
        <v>#DIV/0!</v>
      </c>
      <c r="D51" s="133">
        <f t="shared" si="4"/>
        <v>0.19</v>
      </c>
      <c r="G51" s="27"/>
      <c r="H51" s="27"/>
      <c r="I51" s="27"/>
    </row>
    <row r="52" spans="2:9" x14ac:dyDescent="0.25">
      <c r="B52" s="132">
        <f t="shared" si="2"/>
        <v>220.60240963855424</v>
      </c>
      <c r="C52" s="132" t="e">
        <f t="shared" si="3"/>
        <v>#DIV/0!</v>
      </c>
      <c r="D52" s="133">
        <f t="shared" si="4"/>
        <v>0.1875</v>
      </c>
      <c r="G52" s="27"/>
      <c r="H52" s="27"/>
    </row>
    <row r="53" spans="2:9" x14ac:dyDescent="0.25">
      <c r="B53" s="132">
        <f t="shared" si="2"/>
        <v>217.59036144578315</v>
      </c>
      <c r="C53" s="132" t="e">
        <f t="shared" si="3"/>
        <v>#DIV/0!</v>
      </c>
      <c r="D53" s="133">
        <f t="shared" si="4"/>
        <v>0.185</v>
      </c>
      <c r="G53" s="27"/>
      <c r="H53" s="27"/>
    </row>
    <row r="54" spans="2:9" x14ac:dyDescent="0.25">
      <c r="B54" s="132">
        <f t="shared" si="2"/>
        <v>214.57831325301206</v>
      </c>
      <c r="C54" s="132" t="e">
        <f t="shared" si="3"/>
        <v>#DIV/0!</v>
      </c>
      <c r="D54" s="133">
        <f t="shared" si="4"/>
        <v>0.1825</v>
      </c>
    </row>
    <row r="55" spans="2:9" x14ac:dyDescent="0.25">
      <c r="B55" s="132">
        <f t="shared" si="2"/>
        <v>211.56626506024097</v>
      </c>
      <c r="C55" s="132" t="e">
        <f t="shared" si="3"/>
        <v>#DIV/0!</v>
      </c>
      <c r="D55" s="133">
        <f t="shared" si="4"/>
        <v>0.18</v>
      </c>
    </row>
    <row r="56" spans="2:9" x14ac:dyDescent="0.25">
      <c r="B56" s="132">
        <f t="shared" si="2"/>
        <v>208.55421686746988</v>
      </c>
      <c r="C56" s="132" t="e">
        <f t="shared" si="3"/>
        <v>#DIV/0!</v>
      </c>
      <c r="D56" s="133">
        <f t="shared" si="4"/>
        <v>0.17749999999999999</v>
      </c>
    </row>
    <row r="57" spans="2:9" x14ac:dyDescent="0.25">
      <c r="B57" s="132">
        <f t="shared" si="2"/>
        <v>205.54216867469879</v>
      </c>
      <c r="C57" s="132" t="e">
        <f t="shared" si="3"/>
        <v>#DIV/0!</v>
      </c>
      <c r="D57" s="133">
        <f t="shared" si="4"/>
        <v>0.17499999999999999</v>
      </c>
    </row>
    <row r="58" spans="2:9" x14ac:dyDescent="0.25">
      <c r="B58" s="132">
        <f t="shared" si="2"/>
        <v>202.5301204819277</v>
      </c>
      <c r="C58" s="132" t="e">
        <f t="shared" si="3"/>
        <v>#DIV/0!</v>
      </c>
      <c r="D58" s="133">
        <f t="shared" si="4"/>
        <v>0.17249999999999999</v>
      </c>
    </row>
    <row r="59" spans="2:9" x14ac:dyDescent="0.25">
      <c r="B59" s="132">
        <f t="shared" si="2"/>
        <v>199.51807228915663</v>
      </c>
      <c r="C59" s="132" t="e">
        <f t="shared" si="3"/>
        <v>#DIV/0!</v>
      </c>
      <c r="D59" s="133">
        <f t="shared" si="4"/>
        <v>0.16999999999999998</v>
      </c>
    </row>
    <row r="60" spans="2:9" x14ac:dyDescent="0.25">
      <c r="B60" s="132">
        <f t="shared" si="2"/>
        <v>196.50602409638554</v>
      </c>
      <c r="C60" s="132" t="e">
        <f t="shared" si="3"/>
        <v>#DIV/0!</v>
      </c>
      <c r="D60" s="133">
        <f t="shared" si="4"/>
        <v>0.16749999999999998</v>
      </c>
    </row>
    <row r="61" spans="2:9" x14ac:dyDescent="0.25">
      <c r="B61" s="132">
        <f t="shared" si="2"/>
        <v>193.49397590361446</v>
      </c>
      <c r="C61" s="132" t="e">
        <f t="shared" si="3"/>
        <v>#DIV/0!</v>
      </c>
      <c r="D61" s="133">
        <f t="shared" si="4"/>
        <v>0.16499999999999998</v>
      </c>
    </row>
    <row r="62" spans="2:9" x14ac:dyDescent="0.25">
      <c r="B62" s="132">
        <f t="shared" si="2"/>
        <v>190.48192771084337</v>
      </c>
      <c r="C62" s="132" t="e">
        <f t="shared" si="3"/>
        <v>#DIV/0!</v>
      </c>
      <c r="D62" s="133">
        <f t="shared" si="4"/>
        <v>0.16249999999999998</v>
      </c>
    </row>
    <row r="63" spans="2:9" x14ac:dyDescent="0.25">
      <c r="B63" s="132">
        <f t="shared" si="2"/>
        <v>187.46987951807228</v>
      </c>
      <c r="C63" s="132" t="e">
        <f t="shared" si="3"/>
        <v>#DIV/0!</v>
      </c>
      <c r="D63" s="133">
        <f t="shared" si="4"/>
        <v>0.15999999999999998</v>
      </c>
    </row>
    <row r="64" spans="2:9" x14ac:dyDescent="0.25">
      <c r="B64" s="132">
        <f t="shared" si="2"/>
        <v>184.45783132530119</v>
      </c>
      <c r="C64" s="132" t="e">
        <f t="shared" si="3"/>
        <v>#DIV/0!</v>
      </c>
      <c r="D64" s="133">
        <f t="shared" si="4"/>
        <v>0.15749999999999997</v>
      </c>
    </row>
    <row r="65" spans="1:4" x14ac:dyDescent="0.25">
      <c r="B65" s="132">
        <f t="shared" si="2"/>
        <v>181.4457831325301</v>
      </c>
      <c r="C65" s="132" t="e">
        <f t="shared" si="3"/>
        <v>#DIV/0!</v>
      </c>
      <c r="D65" s="133">
        <f t="shared" si="4"/>
        <v>0.15499999999999997</v>
      </c>
    </row>
    <row r="66" spans="1:4" x14ac:dyDescent="0.25">
      <c r="B66" s="132">
        <f t="shared" si="2"/>
        <v>178.43373493975901</v>
      </c>
      <c r="C66" s="132" t="e">
        <f t="shared" si="3"/>
        <v>#DIV/0!</v>
      </c>
      <c r="D66" s="133">
        <f t="shared" si="4"/>
        <v>0.15249999999999997</v>
      </c>
    </row>
    <row r="67" spans="1:4" x14ac:dyDescent="0.25">
      <c r="B67" s="132">
        <f t="shared" si="2"/>
        <v>175.42168674698792</v>
      </c>
      <c r="C67" s="132" t="e">
        <f t="shared" si="3"/>
        <v>#DIV/0!</v>
      </c>
      <c r="D67" s="133">
        <f t="shared" si="4"/>
        <v>0.14999999999999997</v>
      </c>
    </row>
    <row r="68" spans="1:4" x14ac:dyDescent="0.25">
      <c r="B68" s="132">
        <f t="shared" si="2"/>
        <v>172.40963855421683</v>
      </c>
      <c r="C68" s="132" t="e">
        <f t="shared" si="3"/>
        <v>#DIV/0!</v>
      </c>
      <c r="D68" s="133">
        <f t="shared" si="4"/>
        <v>0.14749999999999996</v>
      </c>
    </row>
    <row r="69" spans="1:4" x14ac:dyDescent="0.25">
      <c r="B69" s="132">
        <f t="shared" si="2"/>
        <v>169.39759036144576</v>
      </c>
      <c r="C69" s="132" t="e">
        <f t="shared" si="3"/>
        <v>#DIV/0!</v>
      </c>
      <c r="D69" s="133">
        <f t="shared" si="4"/>
        <v>0.14499999999999996</v>
      </c>
    </row>
    <row r="70" spans="1:4" x14ac:dyDescent="0.25">
      <c r="B70" s="132">
        <f t="shared" si="2"/>
        <v>166.38554216867468</v>
      </c>
      <c r="C70" s="132" t="e">
        <f t="shared" si="3"/>
        <v>#DIV/0!</v>
      </c>
      <c r="D70" s="133">
        <f t="shared" si="4"/>
        <v>0.14249999999999996</v>
      </c>
    </row>
    <row r="71" spans="1:4" x14ac:dyDescent="0.25">
      <c r="A71" s="23" t="e">
        <f>CONCATENATE("Patient is currently receiving [insert name of aminoglycoside] ",C5," mg IV every ",C6, " hours for [insert diagnosis]. A single level was drawn demonstrating ",C9," mg/dL at ",E9,". Using a desired Cmax of ",C23, " and Cmin of ",C24," a calculated dose of ",ROUND(C26,1)," mg every ",ROUND(C27,1)," hours is calculated. Will start patient on ",C30," mg every ",C31," hours to conform to traditional dosages and dosing intervals. Predicted Cmax = ",ROUND(C33,1)," Cmin = ",ROUND(C34,1))</f>
        <v>#VALUE!</v>
      </c>
      <c r="B71" s="132">
        <f t="shared" si="2"/>
        <v>163.37349397590359</v>
      </c>
      <c r="C71" s="132" t="e">
        <f t="shared" si="3"/>
        <v>#DIV/0!</v>
      </c>
      <c r="D71" s="133">
        <f t="shared" si="4"/>
        <v>0.13999999999999996</v>
      </c>
    </row>
    <row r="72" spans="1:4" x14ac:dyDescent="0.25">
      <c r="B72" s="132">
        <f t="shared" si="2"/>
        <v>160.3614457831325</v>
      </c>
      <c r="C72" s="132" t="e">
        <f t="shared" si="3"/>
        <v>#DIV/0!</v>
      </c>
      <c r="D72" s="133">
        <f t="shared" si="4"/>
        <v>0.13749999999999996</v>
      </c>
    </row>
    <row r="73" spans="1:4" x14ac:dyDescent="0.25">
      <c r="B73" s="132">
        <f t="shared" si="2"/>
        <v>157.34939759036141</v>
      </c>
      <c r="C73" s="132" t="e">
        <f t="shared" si="3"/>
        <v>#DIV/0!</v>
      </c>
      <c r="D73" s="133">
        <f t="shared" si="4"/>
        <v>0.13499999999999995</v>
      </c>
    </row>
    <row r="74" spans="1:4" x14ac:dyDescent="0.25">
      <c r="B74" s="132">
        <f t="shared" si="2"/>
        <v>154.33734939759032</v>
      </c>
      <c r="C74" s="132" t="e">
        <f t="shared" si="3"/>
        <v>#DIV/0!</v>
      </c>
      <c r="D74" s="133">
        <f t="shared" si="4"/>
        <v>0.13249999999999995</v>
      </c>
    </row>
    <row r="75" spans="1:4" x14ac:dyDescent="0.25">
      <c r="B75" s="132">
        <f t="shared" si="2"/>
        <v>151.32530120481923</v>
      </c>
      <c r="C75" s="132" t="e">
        <f t="shared" si="3"/>
        <v>#DIV/0!</v>
      </c>
      <c r="D75" s="133">
        <f t="shared" si="4"/>
        <v>0.12999999999999995</v>
      </c>
    </row>
    <row r="76" spans="1:4" x14ac:dyDescent="0.25">
      <c r="B76" s="132">
        <f t="shared" si="2"/>
        <v>148.31325301204814</v>
      </c>
      <c r="C76" s="132" t="e">
        <f t="shared" si="3"/>
        <v>#DIV/0!</v>
      </c>
      <c r="D76" s="133">
        <f t="shared" si="4"/>
        <v>0.12749999999999995</v>
      </c>
    </row>
    <row r="77" spans="1:4" x14ac:dyDescent="0.25">
      <c r="B77" s="132">
        <f t="shared" si="2"/>
        <v>145.30120481927705</v>
      </c>
      <c r="C77" s="132" t="e">
        <f t="shared" si="3"/>
        <v>#DIV/0!</v>
      </c>
      <c r="D77" s="133">
        <f t="shared" si="4"/>
        <v>0.12499999999999994</v>
      </c>
    </row>
    <row r="78" spans="1:4" x14ac:dyDescent="0.25">
      <c r="B78" s="132">
        <f t="shared" si="2"/>
        <v>142.28915662650596</v>
      </c>
      <c r="C78" s="132" t="e">
        <f t="shared" si="3"/>
        <v>#DIV/0!</v>
      </c>
      <c r="D78" s="133">
        <f t="shared" si="4"/>
        <v>0.12249999999999994</v>
      </c>
    </row>
    <row r="79" spans="1:4" x14ac:dyDescent="0.25">
      <c r="B79" s="132">
        <f t="shared" ref="B79:B110" si="5">(D79-0.0044)/0.00083</f>
        <v>139.27710843373487</v>
      </c>
      <c r="C79" s="132" t="e">
        <f t="shared" ref="C79:C110" si="6">((($C$5/$E$12*EXP(-D79*$C$6)+$C$5/$E$12)*EXP(-D79*$C$6)+$C$5/$E$12)*EXP(-D79*$C$6)+$C$5/$E$12)*EXP(-D79*$E$10)</f>
        <v>#DIV/0!</v>
      </c>
      <c r="D79" s="133">
        <f t="shared" si="4"/>
        <v>0.11999999999999994</v>
      </c>
    </row>
    <row r="80" spans="1:4" x14ac:dyDescent="0.25">
      <c r="B80" s="132">
        <f t="shared" si="5"/>
        <v>136.26506024096378</v>
      </c>
      <c r="C80" s="132" t="e">
        <f t="shared" si="6"/>
        <v>#DIV/0!</v>
      </c>
      <c r="D80" s="133">
        <f t="shared" ref="D80:D111" si="7">D79-0.0025</f>
        <v>0.11749999999999994</v>
      </c>
    </row>
    <row r="81" spans="2:5" x14ac:dyDescent="0.25">
      <c r="B81" s="132">
        <f t="shared" si="5"/>
        <v>133.25301204819269</v>
      </c>
      <c r="C81" s="132" t="e">
        <f t="shared" si="6"/>
        <v>#DIV/0!</v>
      </c>
      <c r="D81" s="133">
        <f t="shared" si="7"/>
        <v>0.11499999999999994</v>
      </c>
    </row>
    <row r="82" spans="2:5" x14ac:dyDescent="0.25">
      <c r="B82" s="132">
        <f t="shared" si="5"/>
        <v>130.2409638554216</v>
      </c>
      <c r="C82" s="132" t="e">
        <f t="shared" si="6"/>
        <v>#DIV/0!</v>
      </c>
      <c r="D82" s="133">
        <f t="shared" si="7"/>
        <v>0.11249999999999993</v>
      </c>
    </row>
    <row r="83" spans="2:5" x14ac:dyDescent="0.25">
      <c r="B83" s="132">
        <f t="shared" si="5"/>
        <v>127.22891566265052</v>
      </c>
      <c r="C83" s="132" t="e">
        <f t="shared" si="6"/>
        <v>#DIV/0!</v>
      </c>
      <c r="D83" s="133">
        <f t="shared" si="7"/>
        <v>0.10999999999999993</v>
      </c>
    </row>
    <row r="84" spans="2:5" x14ac:dyDescent="0.25">
      <c r="B84" s="132">
        <f t="shared" si="5"/>
        <v>124.21686746987943</v>
      </c>
      <c r="C84" s="132" t="e">
        <f t="shared" si="6"/>
        <v>#DIV/0!</v>
      </c>
      <c r="D84" s="133">
        <f t="shared" si="7"/>
        <v>0.10749999999999993</v>
      </c>
    </row>
    <row r="85" spans="2:5" x14ac:dyDescent="0.25">
      <c r="B85" s="132">
        <f t="shared" si="5"/>
        <v>121.20481927710834</v>
      </c>
      <c r="C85" s="132" t="e">
        <f t="shared" si="6"/>
        <v>#DIV/0!</v>
      </c>
      <c r="D85" s="133">
        <f t="shared" si="7"/>
        <v>0.10499999999999993</v>
      </c>
    </row>
    <row r="86" spans="2:5" x14ac:dyDescent="0.25">
      <c r="B86" s="132">
        <f t="shared" si="5"/>
        <v>118.19277108433725</v>
      </c>
      <c r="C86" s="132" t="e">
        <f t="shared" si="6"/>
        <v>#DIV/0!</v>
      </c>
      <c r="D86" s="133">
        <f t="shared" si="7"/>
        <v>0.10249999999999992</v>
      </c>
    </row>
    <row r="87" spans="2:5" x14ac:dyDescent="0.25">
      <c r="B87" s="132">
        <f t="shared" si="5"/>
        <v>115.18072289156616</v>
      </c>
      <c r="C87" s="132" t="e">
        <f t="shared" si="6"/>
        <v>#DIV/0!</v>
      </c>
      <c r="D87" s="133">
        <f t="shared" si="7"/>
        <v>9.9999999999999922E-2</v>
      </c>
    </row>
    <row r="88" spans="2:5" x14ac:dyDescent="0.25">
      <c r="B88" s="132">
        <f t="shared" si="5"/>
        <v>112.16867469879509</v>
      </c>
      <c r="C88" s="132" t="e">
        <f t="shared" si="6"/>
        <v>#DIV/0!</v>
      </c>
      <c r="D88" s="133">
        <f t="shared" si="7"/>
        <v>9.749999999999992E-2</v>
      </c>
    </row>
    <row r="89" spans="2:5" x14ac:dyDescent="0.25">
      <c r="B89" s="132">
        <f t="shared" si="5"/>
        <v>109.156626506024</v>
      </c>
      <c r="C89" s="132" t="e">
        <f t="shared" si="6"/>
        <v>#DIV/0!</v>
      </c>
      <c r="D89" s="133">
        <f t="shared" si="7"/>
        <v>9.4999999999999918E-2</v>
      </c>
    </row>
    <row r="90" spans="2:5" x14ac:dyDescent="0.25">
      <c r="B90" s="132">
        <f t="shared" si="5"/>
        <v>106.14457831325291</v>
      </c>
      <c r="C90" s="132" t="e">
        <f t="shared" si="6"/>
        <v>#DIV/0!</v>
      </c>
      <c r="D90" s="133">
        <f t="shared" si="7"/>
        <v>9.2499999999999916E-2</v>
      </c>
    </row>
    <row r="91" spans="2:5" x14ac:dyDescent="0.25">
      <c r="B91" s="132">
        <f t="shared" si="5"/>
        <v>103.13253012048182</v>
      </c>
      <c r="C91" s="132" t="e">
        <f t="shared" si="6"/>
        <v>#DIV/0!</v>
      </c>
      <c r="D91" s="133">
        <f t="shared" si="7"/>
        <v>8.9999999999999913E-2</v>
      </c>
    </row>
    <row r="92" spans="2:5" x14ac:dyDescent="0.25">
      <c r="B92" s="132">
        <f t="shared" si="5"/>
        <v>100.12048192771073</v>
      </c>
      <c r="C92" s="132" t="e">
        <f t="shared" si="6"/>
        <v>#DIV/0!</v>
      </c>
      <c r="D92" s="133">
        <f t="shared" si="7"/>
        <v>8.7499999999999911E-2</v>
      </c>
    </row>
    <row r="93" spans="2:5" x14ac:dyDescent="0.25">
      <c r="B93" s="132">
        <f t="shared" si="5"/>
        <v>97.108433734939652</v>
      </c>
      <c r="C93" s="132" t="e">
        <f t="shared" si="6"/>
        <v>#DIV/0!</v>
      </c>
      <c r="D93" s="133">
        <f t="shared" si="7"/>
        <v>8.4999999999999909E-2</v>
      </c>
    </row>
    <row r="94" spans="2:5" x14ac:dyDescent="0.25">
      <c r="B94" s="132">
        <f t="shared" si="5"/>
        <v>94.096385542168562</v>
      </c>
      <c r="C94" s="132" t="e">
        <f t="shared" si="6"/>
        <v>#DIV/0!</v>
      </c>
      <c r="D94" s="133">
        <f t="shared" si="7"/>
        <v>8.2499999999999907E-2</v>
      </c>
      <c r="E94" s="70"/>
    </row>
    <row r="95" spans="2:5" x14ac:dyDescent="0.25">
      <c r="B95" s="132">
        <f t="shared" si="5"/>
        <v>91.084337349397472</v>
      </c>
      <c r="C95" s="132" t="e">
        <f t="shared" si="6"/>
        <v>#DIV/0!</v>
      </c>
      <c r="D95" s="133">
        <f t="shared" si="7"/>
        <v>7.9999999999999905E-2</v>
      </c>
      <c r="E95" s="70"/>
    </row>
    <row r="96" spans="2:5" x14ac:dyDescent="0.25">
      <c r="B96" s="132">
        <f t="shared" si="5"/>
        <v>88.072289156626383</v>
      </c>
      <c r="C96" s="132" t="e">
        <f t="shared" si="6"/>
        <v>#DIV/0!</v>
      </c>
      <c r="D96" s="133">
        <f t="shared" si="7"/>
        <v>7.7499999999999902E-2</v>
      </c>
      <c r="E96" s="70"/>
    </row>
    <row r="97" spans="2:5" x14ac:dyDescent="0.25">
      <c r="B97" s="132">
        <f t="shared" si="5"/>
        <v>85.060240963855293</v>
      </c>
      <c r="C97" s="132" t="e">
        <f t="shared" si="6"/>
        <v>#DIV/0!</v>
      </c>
      <c r="D97" s="133">
        <f t="shared" si="7"/>
        <v>7.49999999999999E-2</v>
      </c>
      <c r="E97" s="70"/>
    </row>
    <row r="98" spans="2:5" x14ac:dyDescent="0.25">
      <c r="B98" s="132">
        <f t="shared" si="5"/>
        <v>82.048192771084217</v>
      </c>
      <c r="C98" s="132" t="e">
        <f t="shared" si="6"/>
        <v>#DIV/0!</v>
      </c>
      <c r="D98" s="133">
        <f t="shared" si="7"/>
        <v>7.2499999999999898E-2</v>
      </c>
      <c r="E98" s="70"/>
    </row>
    <row r="99" spans="2:5" x14ac:dyDescent="0.25">
      <c r="B99" s="132">
        <f t="shared" si="5"/>
        <v>79.036144578313127</v>
      </c>
      <c r="C99" s="132" t="e">
        <f t="shared" si="6"/>
        <v>#DIV/0!</v>
      </c>
      <c r="D99" s="133">
        <f t="shared" si="7"/>
        <v>6.9999999999999896E-2</v>
      </c>
      <c r="E99" s="70"/>
    </row>
    <row r="100" spans="2:5" x14ac:dyDescent="0.25">
      <c r="B100" s="132">
        <f t="shared" si="5"/>
        <v>76.024096385542038</v>
      </c>
      <c r="C100" s="132" t="e">
        <f t="shared" si="6"/>
        <v>#DIV/0!</v>
      </c>
      <c r="D100" s="133">
        <f t="shared" si="7"/>
        <v>6.7499999999999893E-2</v>
      </c>
      <c r="E100" s="70"/>
    </row>
    <row r="101" spans="2:5" x14ac:dyDescent="0.25">
      <c r="B101" s="132">
        <f t="shared" si="5"/>
        <v>73.012048192770948</v>
      </c>
      <c r="C101" s="132" t="e">
        <f t="shared" si="6"/>
        <v>#DIV/0!</v>
      </c>
      <c r="D101" s="133">
        <f t="shared" si="7"/>
        <v>6.4999999999999891E-2</v>
      </c>
      <c r="E101" s="70"/>
    </row>
    <row r="102" spans="2:5" x14ac:dyDescent="0.25">
      <c r="B102" s="132">
        <f t="shared" si="5"/>
        <v>69.999999999999858</v>
      </c>
      <c r="C102" s="132" t="e">
        <f t="shared" si="6"/>
        <v>#DIV/0!</v>
      </c>
      <c r="D102" s="133">
        <f t="shared" si="7"/>
        <v>6.2499999999999889E-2</v>
      </c>
      <c r="E102" s="70"/>
    </row>
    <row r="103" spans="2:5" x14ac:dyDescent="0.25">
      <c r="B103" s="132">
        <f t="shared" si="5"/>
        <v>66.987951807228782</v>
      </c>
      <c r="C103" s="132" t="e">
        <f t="shared" si="6"/>
        <v>#DIV/0!</v>
      </c>
      <c r="D103" s="133">
        <f t="shared" si="7"/>
        <v>5.9999999999999887E-2</v>
      </c>
      <c r="E103" s="70"/>
    </row>
    <row r="104" spans="2:5" x14ac:dyDescent="0.25">
      <c r="B104" s="132">
        <f t="shared" si="5"/>
        <v>63.975903614457692</v>
      </c>
      <c r="C104" s="132" t="e">
        <f t="shared" si="6"/>
        <v>#DIV/0!</v>
      </c>
      <c r="D104" s="133">
        <f t="shared" si="7"/>
        <v>5.7499999999999885E-2</v>
      </c>
      <c r="E104" s="70"/>
    </row>
    <row r="105" spans="2:5" x14ac:dyDescent="0.25">
      <c r="B105" s="132">
        <f t="shared" si="5"/>
        <v>60.963855421686603</v>
      </c>
      <c r="C105" s="132" t="e">
        <f t="shared" si="6"/>
        <v>#DIV/0!</v>
      </c>
      <c r="D105" s="133">
        <f t="shared" si="7"/>
        <v>5.4999999999999882E-2</v>
      </c>
      <c r="E105" s="70"/>
    </row>
    <row r="106" spans="2:5" x14ac:dyDescent="0.25">
      <c r="B106" s="132">
        <f t="shared" si="5"/>
        <v>57.951807228915513</v>
      </c>
      <c r="C106" s="132" t="e">
        <f t="shared" si="6"/>
        <v>#DIV/0!</v>
      </c>
      <c r="D106" s="133">
        <f t="shared" si="7"/>
        <v>5.249999999999988E-2</v>
      </c>
      <c r="E106" s="70"/>
    </row>
    <row r="107" spans="2:5" x14ac:dyDescent="0.25">
      <c r="B107" s="132">
        <f t="shared" si="5"/>
        <v>54.93975903614443</v>
      </c>
      <c r="C107" s="132" t="e">
        <f t="shared" si="6"/>
        <v>#DIV/0!</v>
      </c>
      <c r="D107" s="133">
        <f t="shared" si="7"/>
        <v>4.9999999999999878E-2</v>
      </c>
      <c r="E107" s="70"/>
    </row>
    <row r="108" spans="2:5" x14ac:dyDescent="0.25">
      <c r="B108" s="132">
        <f t="shared" si="5"/>
        <v>51.92771084337334</v>
      </c>
      <c r="C108" s="132" t="e">
        <f t="shared" si="6"/>
        <v>#DIV/0!</v>
      </c>
      <c r="D108" s="133">
        <f t="shared" si="7"/>
        <v>4.7499999999999876E-2</v>
      </c>
      <c r="E108" s="70"/>
    </row>
    <row r="109" spans="2:5" x14ac:dyDescent="0.25">
      <c r="B109" s="132">
        <f t="shared" si="5"/>
        <v>48.915662650602258</v>
      </c>
      <c r="C109" s="132" t="e">
        <f t="shared" si="6"/>
        <v>#DIV/0!</v>
      </c>
      <c r="D109" s="133">
        <f t="shared" si="7"/>
        <v>4.4999999999999873E-2</v>
      </c>
    </row>
    <row r="110" spans="2:5" x14ac:dyDescent="0.25">
      <c r="B110" s="132">
        <f t="shared" si="5"/>
        <v>45.903614457831168</v>
      </c>
      <c r="C110" s="132" t="e">
        <f t="shared" si="6"/>
        <v>#DIV/0!</v>
      </c>
      <c r="D110" s="133">
        <f t="shared" si="7"/>
        <v>4.2499999999999871E-2</v>
      </c>
    </row>
    <row r="111" spans="2:5" x14ac:dyDescent="0.25">
      <c r="B111" s="132">
        <f t="shared" ref="B111:B125" si="8">(D111-0.0044)/0.00083</f>
        <v>42.891566265060078</v>
      </c>
      <c r="C111" s="132" t="e">
        <f t="shared" ref="C111:C125" si="9">((($C$5/$E$12*EXP(-D111*$C$6)+$C$5/$E$12)*EXP(-D111*$C$6)+$C$5/$E$12)*EXP(-D111*$C$6)+$C$5/$E$12)*EXP(-D111*$E$10)</f>
        <v>#DIV/0!</v>
      </c>
      <c r="D111" s="133">
        <f t="shared" si="7"/>
        <v>3.9999999999999869E-2</v>
      </c>
    </row>
    <row r="112" spans="2:5" x14ac:dyDescent="0.25">
      <c r="B112" s="132">
        <f t="shared" si="8"/>
        <v>39.879518072288995</v>
      </c>
      <c r="C112" s="132" t="e">
        <f t="shared" si="9"/>
        <v>#DIV/0!</v>
      </c>
      <c r="D112" s="133">
        <f t="shared" ref="D112:D125" si="10">D111-0.0025</f>
        <v>3.7499999999999867E-2</v>
      </c>
    </row>
    <row r="113" spans="2:4" x14ac:dyDescent="0.25">
      <c r="B113" s="132">
        <f t="shared" si="8"/>
        <v>36.867469879517905</v>
      </c>
      <c r="C113" s="132" t="e">
        <f t="shared" si="9"/>
        <v>#DIV/0!</v>
      </c>
      <c r="D113" s="133">
        <f t="shared" si="10"/>
        <v>3.4999999999999865E-2</v>
      </c>
    </row>
    <row r="114" spans="2:4" x14ac:dyDescent="0.25">
      <c r="B114" s="132">
        <f t="shared" si="8"/>
        <v>33.855421686746823</v>
      </c>
      <c r="C114" s="132" t="e">
        <f t="shared" si="9"/>
        <v>#DIV/0!</v>
      </c>
      <c r="D114" s="133">
        <f t="shared" si="10"/>
        <v>3.2499999999999862E-2</v>
      </c>
    </row>
    <row r="115" spans="2:4" x14ac:dyDescent="0.25">
      <c r="B115" s="132">
        <f t="shared" si="8"/>
        <v>30.843373493975736</v>
      </c>
      <c r="C115" s="132" t="e">
        <f t="shared" si="9"/>
        <v>#DIV/0!</v>
      </c>
      <c r="D115" s="133">
        <f t="shared" si="10"/>
        <v>2.9999999999999864E-2</v>
      </c>
    </row>
    <row r="116" spans="2:4" x14ac:dyDescent="0.25">
      <c r="B116" s="132">
        <f t="shared" si="8"/>
        <v>27.831325301204654</v>
      </c>
      <c r="C116" s="132" t="e">
        <f t="shared" si="9"/>
        <v>#DIV/0!</v>
      </c>
      <c r="D116" s="133">
        <f t="shared" si="10"/>
        <v>2.7499999999999865E-2</v>
      </c>
    </row>
    <row r="117" spans="2:4" x14ac:dyDescent="0.25">
      <c r="B117" s="132">
        <f t="shared" si="8"/>
        <v>24.819277108433571</v>
      </c>
      <c r="C117" s="132" t="e">
        <f t="shared" si="9"/>
        <v>#DIV/0!</v>
      </c>
      <c r="D117" s="133">
        <f t="shared" si="10"/>
        <v>2.4999999999999866E-2</v>
      </c>
    </row>
    <row r="118" spans="2:4" x14ac:dyDescent="0.25">
      <c r="B118" s="132">
        <f t="shared" si="8"/>
        <v>21.807228915662488</v>
      </c>
      <c r="C118" s="132" t="e">
        <f t="shared" si="9"/>
        <v>#DIV/0!</v>
      </c>
      <c r="D118" s="133">
        <f t="shared" si="10"/>
        <v>2.2499999999999867E-2</v>
      </c>
    </row>
    <row r="119" spans="2:4" x14ac:dyDescent="0.25">
      <c r="B119" s="132">
        <f t="shared" si="8"/>
        <v>18.795180722891406</v>
      </c>
      <c r="C119" s="132" t="e">
        <f t="shared" si="9"/>
        <v>#DIV/0!</v>
      </c>
      <c r="D119" s="133">
        <f t="shared" si="10"/>
        <v>1.9999999999999869E-2</v>
      </c>
    </row>
    <row r="120" spans="2:4" x14ac:dyDescent="0.25">
      <c r="B120" s="132">
        <f t="shared" si="8"/>
        <v>15.783132530120323</v>
      </c>
      <c r="C120" s="132" t="e">
        <f t="shared" si="9"/>
        <v>#DIV/0!</v>
      </c>
      <c r="D120" s="133">
        <f t="shared" si="10"/>
        <v>1.749999999999987E-2</v>
      </c>
    </row>
    <row r="121" spans="2:4" x14ac:dyDescent="0.25">
      <c r="B121" s="132">
        <f t="shared" si="8"/>
        <v>12.77108433734924</v>
      </c>
      <c r="C121" s="132" t="e">
        <f t="shared" si="9"/>
        <v>#DIV/0!</v>
      </c>
      <c r="D121" s="133">
        <f t="shared" si="10"/>
        <v>1.4999999999999869E-2</v>
      </c>
    </row>
    <row r="122" spans="2:4" x14ac:dyDescent="0.25">
      <c r="B122" s="132">
        <f t="shared" si="8"/>
        <v>9.7590361445781539</v>
      </c>
      <c r="C122" s="132" t="e">
        <f t="shared" si="9"/>
        <v>#DIV/0!</v>
      </c>
      <c r="D122" s="133">
        <f t="shared" si="10"/>
        <v>1.2499999999999869E-2</v>
      </c>
    </row>
    <row r="123" spans="2:4" x14ac:dyDescent="0.25">
      <c r="B123" s="132">
        <f t="shared" si="8"/>
        <v>6.7469879518070703</v>
      </c>
      <c r="C123" s="132" t="e">
        <f t="shared" si="9"/>
        <v>#DIV/0!</v>
      </c>
      <c r="D123" s="133">
        <f t="shared" si="10"/>
        <v>9.9999999999998684E-3</v>
      </c>
    </row>
    <row r="124" spans="2:4" x14ac:dyDescent="0.25">
      <c r="B124" s="132">
        <f t="shared" si="8"/>
        <v>3.734939759035985</v>
      </c>
      <c r="C124" s="132" t="e">
        <f t="shared" si="9"/>
        <v>#DIV/0!</v>
      </c>
      <c r="D124" s="133">
        <f t="shared" si="10"/>
        <v>7.4999999999998679E-3</v>
      </c>
    </row>
    <row r="125" spans="2:4" x14ac:dyDescent="0.25">
      <c r="B125" s="132">
        <f t="shared" si="8"/>
        <v>0.72289156626490014</v>
      </c>
      <c r="C125" s="132" t="e">
        <f t="shared" si="9"/>
        <v>#DIV/0!</v>
      </c>
      <c r="D125" s="133">
        <f t="shared" si="10"/>
        <v>4.9999999999998674E-3</v>
      </c>
    </row>
    <row r="126" spans="2:4" x14ac:dyDescent="0.25">
      <c r="B126" s="27"/>
      <c r="C126" s="27"/>
      <c r="D126" s="70"/>
    </row>
  </sheetData>
  <sheetProtection sheet="1" selectLockedCells="1"/>
  <protectedRanges>
    <protectedRange sqref="C5:C12 C23:C25 C30:C32" name="Dosing by Levels Variables"/>
  </protectedRanges>
  <mergeCells count="8">
    <mergeCell ref="A44:J45"/>
    <mergeCell ref="A43:R43"/>
    <mergeCell ref="G30:P41"/>
    <mergeCell ref="A1:D1"/>
    <mergeCell ref="A14:D14"/>
    <mergeCell ref="A22:D22"/>
    <mergeCell ref="A29:D29"/>
    <mergeCell ref="G29:P29"/>
  </mergeCells>
  <phoneticPr fontId="6" type="noConversion"/>
  <dataValidations count="4">
    <dataValidation type="decimal" allowBlank="1" showInputMessage="1" showErrorMessage="1" sqref="C23">
      <formula1>15</formula1>
      <formula2>65</formula2>
    </dataValidation>
    <dataValidation type="decimal" allowBlank="1" showInputMessage="1" showErrorMessage="1" sqref="C24">
      <formula1>0.2</formula1>
      <formula2>4</formula2>
    </dataValidation>
    <dataValidation type="list" allowBlank="1" showInputMessage="1" showErrorMessage="1" sqref="C2">
      <formula1>$C$3:$C$4</formula1>
    </dataValidation>
    <dataValidation type="decimal" allowBlank="1" showInputMessage="1" showErrorMessage="1" sqref="C11">
      <formula1>0.2</formula1>
      <formula2>0.5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0" r:id="rId4" name="CommandButton4">
          <controlPr defaultSize="0" autoLine="0" r:id="rId5">
            <anchor moveWithCells="1">
              <from>
                <xdr:col>5</xdr:col>
                <xdr:colOff>219075</xdr:colOff>
                <xdr:row>21</xdr:row>
                <xdr:rowOff>57150</xdr:rowOff>
              </from>
              <to>
                <xdr:col>5</xdr:col>
                <xdr:colOff>1209675</xdr:colOff>
                <xdr:row>23</xdr:row>
                <xdr:rowOff>85725</xdr:rowOff>
              </to>
            </anchor>
          </controlPr>
        </control>
      </mc:Choice>
      <mc:Fallback>
        <control shapeId="31750" r:id="rId4" name="CommandButton4"/>
      </mc:Fallback>
    </mc:AlternateContent>
    <mc:AlternateContent xmlns:mc="http://schemas.openxmlformats.org/markup-compatibility/2006">
      <mc:Choice Requires="x14">
        <control shapeId="31748" r:id="rId6" name="CommandButton3">
          <controlPr defaultSize="0" autoLine="0" r:id="rId7">
            <anchor moveWithCells="1">
              <from>
                <xdr:col>5</xdr:col>
                <xdr:colOff>381000</xdr:colOff>
                <xdr:row>0</xdr:row>
                <xdr:rowOff>0</xdr:rowOff>
              </from>
              <to>
                <xdr:col>5</xdr:col>
                <xdr:colOff>3248025</xdr:colOff>
                <xdr:row>4</xdr:row>
                <xdr:rowOff>66675</xdr:rowOff>
              </to>
            </anchor>
          </controlPr>
        </control>
      </mc:Choice>
      <mc:Fallback>
        <control shapeId="31748" r:id="rId6" name="CommandButton3"/>
      </mc:Fallback>
    </mc:AlternateContent>
    <mc:AlternateContent xmlns:mc="http://schemas.openxmlformats.org/markup-compatibility/2006">
      <mc:Choice Requires="x14">
        <control shapeId="31747" r:id="rId8" name="CommandButton2">
          <controlPr defaultSize="0" autoLine="0" r:id="rId9">
            <anchor moveWithCells="1">
              <from>
                <xdr:col>5</xdr:col>
                <xdr:colOff>1857375</xdr:colOff>
                <xdr:row>4</xdr:row>
                <xdr:rowOff>114300</xdr:rowOff>
              </from>
              <to>
                <xdr:col>5</xdr:col>
                <xdr:colOff>3248025</xdr:colOff>
                <xdr:row>7</xdr:row>
                <xdr:rowOff>28575</xdr:rowOff>
              </to>
            </anchor>
          </controlPr>
        </control>
      </mc:Choice>
      <mc:Fallback>
        <control shapeId="31747" r:id="rId8" name="CommandButton2"/>
      </mc:Fallback>
    </mc:AlternateContent>
    <mc:AlternateContent xmlns:mc="http://schemas.openxmlformats.org/markup-compatibility/2006">
      <mc:Choice Requires="x14">
        <control shapeId="31746" r:id="rId10" name="CommandButton1">
          <controlPr defaultSize="0" autoLine="0" r:id="rId11">
            <anchor moveWithCells="1">
              <from>
                <xdr:col>5</xdr:col>
                <xdr:colOff>381000</xdr:colOff>
                <xdr:row>4</xdr:row>
                <xdr:rowOff>114300</xdr:rowOff>
              </from>
              <to>
                <xdr:col>5</xdr:col>
                <xdr:colOff>1771650</xdr:colOff>
                <xdr:row>7</xdr:row>
                <xdr:rowOff>28575</xdr:rowOff>
              </to>
            </anchor>
          </controlPr>
        </control>
      </mc:Choice>
      <mc:Fallback>
        <control shapeId="31746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41"/>
  <sheetViews>
    <sheetView workbookViewId="0"/>
  </sheetViews>
  <sheetFormatPr defaultRowHeight="12.75" x14ac:dyDescent="0.2"/>
  <cols>
    <col min="1" max="1" width="11.140625" bestFit="1" customWidth="1"/>
    <col min="2" max="2" width="9.85546875" bestFit="1" customWidth="1"/>
    <col min="3" max="3" width="11.140625" bestFit="1" customWidth="1"/>
    <col min="8" max="8" width="13.85546875" bestFit="1" customWidth="1"/>
  </cols>
  <sheetData>
    <row r="1" spans="1:8" x14ac:dyDescent="0.2">
      <c r="A1" t="s">
        <v>111</v>
      </c>
      <c r="B1" t="s">
        <v>112</v>
      </c>
      <c r="C1" t="s">
        <v>113</v>
      </c>
      <c r="D1" t="s">
        <v>35</v>
      </c>
      <c r="E1" t="s">
        <v>41</v>
      </c>
      <c r="F1" t="s">
        <v>0</v>
      </c>
      <c r="G1">
        <v>1</v>
      </c>
      <c r="H1" s="114">
        <f t="shared" ref="H1:H20" ca="1" si="0">H2-4*$H$39+4</f>
        <v>43933.562500000087</v>
      </c>
    </row>
    <row r="2" spans="1:8" x14ac:dyDescent="0.2">
      <c r="A2">
        <v>8</v>
      </c>
      <c r="B2">
        <v>750</v>
      </c>
      <c r="C2" t="s">
        <v>84</v>
      </c>
      <c r="D2" t="s">
        <v>34</v>
      </c>
      <c r="E2" t="s">
        <v>37</v>
      </c>
      <c r="F2" t="s">
        <v>40</v>
      </c>
      <c r="G2">
        <v>1.5</v>
      </c>
      <c r="H2" s="114">
        <f t="shared" ca="1" si="0"/>
        <v>43933.604166666752</v>
      </c>
    </row>
    <row r="3" spans="1:8" x14ac:dyDescent="0.2">
      <c r="A3">
        <v>12</v>
      </c>
      <c r="B3">
        <v>1000</v>
      </c>
      <c r="G3">
        <v>2</v>
      </c>
      <c r="H3" s="114">
        <f t="shared" ca="1" si="0"/>
        <v>43933.645833333416</v>
      </c>
    </row>
    <row r="4" spans="1:8" x14ac:dyDescent="0.2">
      <c r="A4">
        <v>24</v>
      </c>
      <c r="B4">
        <v>1250</v>
      </c>
      <c r="H4" s="114">
        <f t="shared" ca="1" si="0"/>
        <v>43933.68750000008</v>
      </c>
    </row>
    <row r="5" spans="1:8" x14ac:dyDescent="0.2">
      <c r="A5">
        <v>36</v>
      </c>
      <c r="B5">
        <v>1500</v>
      </c>
      <c r="H5" s="114">
        <f t="shared" ca="1" si="0"/>
        <v>43933.729166666744</v>
      </c>
    </row>
    <row r="6" spans="1:8" x14ac:dyDescent="0.2">
      <c r="A6">
        <v>48</v>
      </c>
      <c r="B6">
        <v>1750</v>
      </c>
      <c r="H6" s="114">
        <f t="shared" ca="1" si="0"/>
        <v>43933.770833333409</v>
      </c>
    </row>
    <row r="7" spans="1:8" x14ac:dyDescent="0.2">
      <c r="B7">
        <v>2000</v>
      </c>
      <c r="H7" s="114">
        <f t="shared" ca="1" si="0"/>
        <v>43933.812500000073</v>
      </c>
    </row>
    <row r="8" spans="1:8" x14ac:dyDescent="0.2">
      <c r="B8">
        <v>2250</v>
      </c>
      <c r="H8" s="114">
        <f t="shared" ca="1" si="0"/>
        <v>43933.854166666737</v>
      </c>
    </row>
    <row r="9" spans="1:8" x14ac:dyDescent="0.2">
      <c r="B9">
        <v>2500</v>
      </c>
      <c r="H9" s="114">
        <f t="shared" ca="1" si="0"/>
        <v>43933.895833333401</v>
      </c>
    </row>
    <row r="10" spans="1:8" x14ac:dyDescent="0.2">
      <c r="H10" s="114">
        <f t="shared" ca="1" si="0"/>
        <v>43933.937500000065</v>
      </c>
    </row>
    <row r="11" spans="1:8" x14ac:dyDescent="0.2">
      <c r="H11" s="114">
        <f t="shared" ca="1" si="0"/>
        <v>43933.97916666673</v>
      </c>
    </row>
    <row r="12" spans="1:8" x14ac:dyDescent="0.2">
      <c r="H12" s="114">
        <f t="shared" ca="1" si="0"/>
        <v>43934.020833333394</v>
      </c>
    </row>
    <row r="13" spans="1:8" x14ac:dyDescent="0.2">
      <c r="H13" s="114">
        <f t="shared" ca="1" si="0"/>
        <v>43934.062500000058</v>
      </c>
    </row>
    <row r="14" spans="1:8" x14ac:dyDescent="0.2">
      <c r="H14" s="114">
        <f t="shared" ca="1" si="0"/>
        <v>43934.104166666722</v>
      </c>
    </row>
    <row r="15" spans="1:8" x14ac:dyDescent="0.2">
      <c r="H15" s="114">
        <f t="shared" ca="1" si="0"/>
        <v>43934.145833333387</v>
      </c>
    </row>
    <row r="16" spans="1:8" x14ac:dyDescent="0.2">
      <c r="H16" s="114">
        <f t="shared" ca="1" si="0"/>
        <v>43934.187500000051</v>
      </c>
    </row>
    <row r="17" spans="8:8" x14ac:dyDescent="0.2">
      <c r="H17" s="114">
        <f t="shared" ca="1" si="0"/>
        <v>43934.229166666715</v>
      </c>
    </row>
    <row r="18" spans="8:8" x14ac:dyDescent="0.2">
      <c r="H18" s="114">
        <f t="shared" ca="1" si="0"/>
        <v>43934.270833333379</v>
      </c>
    </row>
    <row r="19" spans="8:8" x14ac:dyDescent="0.2">
      <c r="H19" s="114">
        <f t="shared" ca="1" si="0"/>
        <v>43934.312500000044</v>
      </c>
    </row>
    <row r="20" spans="8:8" x14ac:dyDescent="0.2">
      <c r="H20" s="114">
        <f t="shared" ca="1" si="0"/>
        <v>43934.354166666708</v>
      </c>
    </row>
    <row r="21" spans="8:8" x14ac:dyDescent="0.2">
      <c r="H21" s="114">
        <f t="shared" ref="H21:H36" ca="1" si="1">H22-$H$39+1</f>
        <v>43934.395833333372</v>
      </c>
    </row>
    <row r="22" spans="8:8" x14ac:dyDescent="0.2">
      <c r="H22" s="114">
        <f t="shared" ca="1" si="1"/>
        <v>43934.406250000036</v>
      </c>
    </row>
    <row r="23" spans="8:8" x14ac:dyDescent="0.2">
      <c r="H23" s="114">
        <f t="shared" ca="1" si="1"/>
        <v>43934.416666666701</v>
      </c>
    </row>
    <row r="24" spans="8:8" x14ac:dyDescent="0.2">
      <c r="H24" s="114">
        <f t="shared" ca="1" si="1"/>
        <v>43934.427083333365</v>
      </c>
    </row>
    <row r="25" spans="8:8" x14ac:dyDescent="0.2">
      <c r="H25" s="114">
        <f t="shared" ca="1" si="1"/>
        <v>43934.437500000029</v>
      </c>
    </row>
    <row r="26" spans="8:8" x14ac:dyDescent="0.2">
      <c r="H26" s="114">
        <f t="shared" ca="1" si="1"/>
        <v>43934.447916666693</v>
      </c>
    </row>
    <row r="27" spans="8:8" x14ac:dyDescent="0.2">
      <c r="H27" s="114">
        <f t="shared" ca="1" si="1"/>
        <v>43934.458333333358</v>
      </c>
    </row>
    <row r="28" spans="8:8" x14ac:dyDescent="0.2">
      <c r="H28" s="114">
        <f t="shared" ca="1" si="1"/>
        <v>43934.468750000022</v>
      </c>
    </row>
    <row r="29" spans="8:8" x14ac:dyDescent="0.2">
      <c r="H29" s="114">
        <f t="shared" ca="1" si="1"/>
        <v>43934.479166666686</v>
      </c>
    </row>
    <row r="30" spans="8:8" x14ac:dyDescent="0.2">
      <c r="H30" s="114">
        <f t="shared" ca="1" si="1"/>
        <v>43934.48958333335</v>
      </c>
    </row>
    <row r="31" spans="8:8" x14ac:dyDescent="0.2">
      <c r="H31" s="114">
        <f t="shared" ca="1" si="1"/>
        <v>43934.500000000015</v>
      </c>
    </row>
    <row r="32" spans="8:8" x14ac:dyDescent="0.2">
      <c r="H32" s="114">
        <f t="shared" ca="1" si="1"/>
        <v>43934.510416666679</v>
      </c>
    </row>
    <row r="33" spans="8:8" x14ac:dyDescent="0.2">
      <c r="H33" s="114">
        <f t="shared" ca="1" si="1"/>
        <v>43934.520833333343</v>
      </c>
    </row>
    <row r="34" spans="8:8" x14ac:dyDescent="0.2">
      <c r="H34" s="114">
        <f t="shared" ca="1" si="1"/>
        <v>43934.531250000007</v>
      </c>
    </row>
    <row r="35" spans="8:8" x14ac:dyDescent="0.2">
      <c r="H35" s="114">
        <f t="shared" ca="1" si="1"/>
        <v>43934.541666666672</v>
      </c>
    </row>
    <row r="36" spans="8:8" x14ac:dyDescent="0.2">
      <c r="H36" s="114">
        <f t="shared" ca="1" si="1"/>
        <v>43934.552083333336</v>
      </c>
    </row>
    <row r="37" spans="8:8" x14ac:dyDescent="0.2">
      <c r="H37" s="114">
        <f ca="1">H38+H39</f>
        <v>43934.5625</v>
      </c>
    </row>
    <row r="38" spans="8:8" x14ac:dyDescent="0.2">
      <c r="H38" s="114">
        <f ca="1">H41-H39</f>
        <v>43933.552083333336</v>
      </c>
    </row>
    <row r="39" spans="8:8" x14ac:dyDescent="0.2">
      <c r="H39" s="114">
        <v>1.0104166666666667</v>
      </c>
    </row>
    <row r="40" spans="8:8" x14ac:dyDescent="0.2">
      <c r="H40" s="114">
        <f ca="1">NOW()</f>
        <v>43934.566750115744</v>
      </c>
    </row>
    <row r="41" spans="8:8" x14ac:dyDescent="0.2">
      <c r="H41" s="114">
        <f ca="1">(ROUND((H40*1440)/15,0)*15/1440)</f>
        <v>43934.5625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EmpiricVANCOMYCINdosing</vt:lpstr>
      <vt:lpstr>EmpiricVANCOMYCINtouch</vt:lpstr>
      <vt:lpstr>VANCOMYCINtlk</vt:lpstr>
      <vt:lpstr>VANCOMYCINolk</vt:lpstr>
      <vt:lpstr>AMGEmpiricDosing</vt:lpstr>
      <vt:lpstr>AMGEmpiricTouch</vt:lpstr>
      <vt:lpstr>AMGtlk</vt:lpstr>
      <vt:lpstr>AMG one level kinetics</vt:lpstr>
      <vt:lpstr>Variables</vt:lpstr>
    </vt:vector>
  </TitlesOfParts>
  <Company>DMC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DMC PK Dosing Calculator</dc:title>
  <dc:creator>KPM</dc:creator>
  <cp:lastModifiedBy>Kurt Pessa</cp:lastModifiedBy>
  <dcterms:created xsi:type="dcterms:W3CDTF">2005-12-09T18:49:34Z</dcterms:created>
  <dcterms:modified xsi:type="dcterms:W3CDTF">2020-04-13T17:36:08Z</dcterms:modified>
</cp:coreProperties>
</file>