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SOURCE\Kratika.EXCEL\"/>
    </mc:Choice>
  </mc:AlternateContent>
  <bookViews>
    <workbookView xWindow="0" yWindow="0" windowWidth="15345" windowHeight="4635" tabRatio="897" firstSheet="9" activeTab="16"/>
  </bookViews>
  <sheets>
    <sheet name="Data Type" sheetId="12" r:id="rId1"/>
    <sheet name="Formatting" sheetId="2" r:id="rId2"/>
    <sheet name="Sorting &amp; Filter" sheetId="11" r:id="rId3"/>
    <sheet name="COUNTIFS" sheetId="18" r:id="rId4"/>
    <sheet name="Basic Formulas" sheetId="3" r:id="rId5"/>
    <sheet name="Functions" sheetId="4" r:id="rId6"/>
    <sheet name="Vlookup" sheetId="17" r:id="rId7"/>
    <sheet name="If Function" sheetId="13" r:id="rId8"/>
    <sheet name="Logical operator" sheetId="14" r:id="rId9"/>
    <sheet name="sumif" sheetId="15" r:id="rId10"/>
    <sheet name="Pivot Table" sheetId="19" r:id="rId11"/>
    <sheet name="Sheet2" sheetId="26" r:id="rId12"/>
    <sheet name="Pivot" sheetId="25" r:id="rId13"/>
    <sheet name="Raw data" sheetId="6" r:id="rId14"/>
    <sheet name="Dashboard" sheetId="20" r:id="rId15"/>
    <sheet name="Sheet3" sheetId="27" r:id="rId16"/>
    <sheet name="Analsis" sheetId="22" r:id="rId17"/>
    <sheet name="IFERROR" sheetId="16" r:id="rId18"/>
    <sheet name="Feeder" sheetId="24" r:id="rId19"/>
  </sheets>
  <definedNames>
    <definedName name="_xlnm._FilterDatabase" localSheetId="4" hidden="1">'Basic Formulas'!$B$2:$I$2</definedName>
    <definedName name="_xlnm._FilterDatabase" localSheetId="1" hidden="1">Formatting!$A$1:$G$58</definedName>
    <definedName name="_xlnm._FilterDatabase" localSheetId="5" hidden="1">Functions!$A$2:$H$81</definedName>
    <definedName name="_xlnm._FilterDatabase" localSheetId="13" hidden="1">'Raw data'!$A$1:$G$225</definedName>
    <definedName name="_xlnm._FilterDatabase" localSheetId="2" hidden="1">'Sorting &amp; Filter'!$A$2:$E$2</definedName>
    <definedName name="Category">'Raw data'!$E$2:$E$225</definedName>
    <definedName name="Channel">'Raw data'!$B$2:$B$225</definedName>
    <definedName name="Month">'Raw data'!$A$2:$A$225</definedName>
    <definedName name="Product_Name">'Raw data'!$D$2:$D$225</definedName>
    <definedName name="Qty">'Raw data'!$F$2:$F$225</definedName>
    <definedName name="Sales_Value__in_INR_Lakhs">'Raw data'!$G$2:$G$225</definedName>
    <definedName name="Sub_Channels">'Raw data'!$C$2:$C$225</definedName>
  </definedNames>
  <calcPr calcId="152511" iterate="1"/>
  <pivotCaches>
    <pivotCache cacheId="1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42" i="22" l="1"/>
  <c r="AG142" i="22"/>
  <c r="AF142" i="22"/>
  <c r="AE142" i="22"/>
  <c r="AD142" i="22"/>
  <c r="AC142" i="22"/>
  <c r="AB142" i="22"/>
  <c r="AA142" i="22"/>
  <c r="Z142" i="22"/>
  <c r="AA71" i="22"/>
  <c r="Z71" i="22"/>
  <c r="Y71" i="22"/>
  <c r="X71" i="22"/>
  <c r="Z107" i="22"/>
  <c r="Y107" i="22"/>
  <c r="X107" i="22"/>
  <c r="AH113" i="22" l="1"/>
  <c r="AH114" i="22"/>
  <c r="AH115" i="22"/>
  <c r="AH116" i="22"/>
  <c r="AH117" i="22"/>
  <c r="AH118" i="22"/>
  <c r="AH119" i="22"/>
  <c r="AH120" i="22"/>
  <c r="AH121" i="22"/>
  <c r="AH122" i="22"/>
  <c r="AH123" i="22"/>
  <c r="AH124" i="22"/>
  <c r="AH125" i="22"/>
  <c r="AH126" i="22"/>
  <c r="AH127" i="22"/>
  <c r="AH128" i="22"/>
  <c r="AH129" i="22"/>
  <c r="AH130" i="22"/>
  <c r="AH131" i="22"/>
  <c r="AH132" i="22"/>
  <c r="AH133" i="22"/>
  <c r="AH134" i="22"/>
  <c r="AH135" i="22"/>
  <c r="AH136" i="22"/>
  <c r="AH137" i="22"/>
  <c r="AH138" i="22"/>
  <c r="AH139" i="22"/>
  <c r="AH140" i="22"/>
  <c r="AH141" i="22"/>
  <c r="AG113" i="22"/>
  <c r="AG114" i="22"/>
  <c r="AG115" i="22"/>
  <c r="AG116" i="22"/>
  <c r="AG117" i="22"/>
  <c r="AG118" i="22"/>
  <c r="AG119" i="22"/>
  <c r="AG120" i="22"/>
  <c r="AG121" i="22"/>
  <c r="AG122" i="22"/>
  <c r="AG123" i="22"/>
  <c r="AG124" i="22"/>
  <c r="AG125" i="22"/>
  <c r="AG126" i="22"/>
  <c r="AG127" i="22"/>
  <c r="AG128" i="22"/>
  <c r="AG129" i="22"/>
  <c r="AG130" i="22"/>
  <c r="AG131" i="22"/>
  <c r="AG132" i="22"/>
  <c r="AG133" i="22"/>
  <c r="AG134" i="22"/>
  <c r="AG135" i="22"/>
  <c r="AG136" i="22"/>
  <c r="AG137" i="22"/>
  <c r="AG138" i="22"/>
  <c r="AG139" i="22"/>
  <c r="AG140" i="22"/>
  <c r="AG141" i="22"/>
  <c r="AF113" i="22"/>
  <c r="AF114" i="22"/>
  <c r="AF115" i="22"/>
  <c r="AF116" i="22"/>
  <c r="AF117" i="22"/>
  <c r="AF118" i="22"/>
  <c r="AF119" i="22"/>
  <c r="AF120" i="22"/>
  <c r="AF121" i="22"/>
  <c r="AF122" i="22"/>
  <c r="AF123" i="22"/>
  <c r="AF124" i="22"/>
  <c r="AF125" i="22"/>
  <c r="AF126" i="22"/>
  <c r="AF127" i="22"/>
  <c r="AF128" i="22"/>
  <c r="AF129" i="22"/>
  <c r="AF130" i="22"/>
  <c r="AF131" i="22"/>
  <c r="AF132" i="22"/>
  <c r="AF133" i="22"/>
  <c r="AF134" i="22"/>
  <c r="AF135" i="22"/>
  <c r="AF136" i="22"/>
  <c r="AF137" i="22"/>
  <c r="AF138" i="22"/>
  <c r="AF139" i="22"/>
  <c r="AF140" i="22"/>
  <c r="AF141" i="22"/>
  <c r="AE113" i="22"/>
  <c r="AE114" i="22"/>
  <c r="AE115" i="22"/>
  <c r="AE116" i="22"/>
  <c r="AE117" i="22"/>
  <c r="AE118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37" i="22"/>
  <c r="AE138" i="22"/>
  <c r="AE139" i="22"/>
  <c r="AE140" i="22"/>
  <c r="AE141" i="22"/>
  <c r="AD113" i="22"/>
  <c r="AD114" i="22"/>
  <c r="AD115" i="22"/>
  <c r="AD116" i="22"/>
  <c r="AD117" i="22"/>
  <c r="AD118" i="22"/>
  <c r="AD119" i="22"/>
  <c r="AD120" i="22"/>
  <c r="AD121" i="22"/>
  <c r="AD122" i="22"/>
  <c r="AD123" i="22"/>
  <c r="AD124" i="22"/>
  <c r="AD125" i="22"/>
  <c r="AD126" i="22"/>
  <c r="AD127" i="22"/>
  <c r="AD128" i="22"/>
  <c r="AD129" i="22"/>
  <c r="AD130" i="22"/>
  <c r="AD131" i="22"/>
  <c r="AD132" i="22"/>
  <c r="AD133" i="22"/>
  <c r="AD134" i="22"/>
  <c r="AD135" i="22"/>
  <c r="AD136" i="22"/>
  <c r="AD137" i="22"/>
  <c r="AD138" i="22"/>
  <c r="AD139" i="22"/>
  <c r="AD140" i="22"/>
  <c r="AD141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B113" i="22"/>
  <c r="AB114" i="22"/>
  <c r="AB115" i="22"/>
  <c r="AB116" i="22"/>
  <c r="AB117" i="22"/>
  <c r="AB118" i="22"/>
  <c r="AB119" i="22"/>
  <c r="AB120" i="22"/>
  <c r="AB121" i="22"/>
  <c r="AB122" i="22"/>
  <c r="AB123" i="22"/>
  <c r="AB124" i="22"/>
  <c r="AB125" i="22"/>
  <c r="AB126" i="22"/>
  <c r="AB127" i="22"/>
  <c r="AB128" i="22"/>
  <c r="AB129" i="22"/>
  <c r="AB130" i="22"/>
  <c r="AB131" i="22"/>
  <c r="AB132" i="22"/>
  <c r="AB133" i="22"/>
  <c r="AB134" i="22"/>
  <c r="AB135" i="22"/>
  <c r="AB136" i="22"/>
  <c r="AB137" i="22"/>
  <c r="AB138" i="22"/>
  <c r="AB139" i="22"/>
  <c r="AB140" i="22"/>
  <c r="AB141" i="22"/>
  <c r="AA113" i="22"/>
  <c r="AA114" i="22"/>
  <c r="AA115" i="22"/>
  <c r="AA116" i="22"/>
  <c r="AA117" i="22"/>
  <c r="AA118" i="22"/>
  <c r="AA119" i="22"/>
  <c r="AA120" i="22"/>
  <c r="AA121" i="22"/>
  <c r="AA122" i="22"/>
  <c r="AA123" i="22"/>
  <c r="AA124" i="22"/>
  <c r="AA125" i="22"/>
  <c r="AA126" i="22"/>
  <c r="AA127" i="22"/>
  <c r="AA128" i="22"/>
  <c r="AA129" i="22"/>
  <c r="AA130" i="22"/>
  <c r="AA131" i="22"/>
  <c r="AA132" i="22"/>
  <c r="AA133" i="22"/>
  <c r="AA134" i="22"/>
  <c r="AA135" i="22"/>
  <c r="AA136" i="22"/>
  <c r="AA137" i="22"/>
  <c r="AA138" i="22"/>
  <c r="AA139" i="22"/>
  <c r="AA140" i="22"/>
  <c r="AA141" i="22"/>
  <c r="Z113" i="22"/>
  <c r="Z114" i="22"/>
  <c r="Z115" i="22"/>
  <c r="Z116" i="22"/>
  <c r="Z117" i="22"/>
  <c r="Z118" i="22"/>
  <c r="Z119" i="22"/>
  <c r="Z120" i="22"/>
  <c r="Z121" i="22"/>
  <c r="Z122" i="22"/>
  <c r="Z123" i="22"/>
  <c r="Z124" i="22"/>
  <c r="Z125" i="22"/>
  <c r="Z126" i="22"/>
  <c r="Z127" i="22"/>
  <c r="Z128" i="22"/>
  <c r="Z129" i="22"/>
  <c r="Z130" i="22"/>
  <c r="Z131" i="22"/>
  <c r="Z132" i="22"/>
  <c r="Z133" i="22"/>
  <c r="Z134" i="22"/>
  <c r="Z135" i="22"/>
  <c r="Z136" i="22"/>
  <c r="Z137" i="22"/>
  <c r="Z138" i="22"/>
  <c r="Z139" i="22"/>
  <c r="Z140" i="22"/>
  <c r="Z141" i="22"/>
  <c r="Y113" i="22"/>
  <c r="Y114" i="22"/>
  <c r="Y115" i="22"/>
  <c r="Y116" i="22"/>
  <c r="Y142" i="22" s="1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12" i="22"/>
  <c r="Z112" i="22"/>
  <c r="AA112" i="22"/>
  <c r="AB112" i="22"/>
  <c r="AC112" i="22"/>
  <c r="AD112" i="22"/>
  <c r="AE112" i="22"/>
  <c r="AF112" i="22"/>
  <c r="AG112" i="22"/>
  <c r="AH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12" i="22"/>
  <c r="Z78" i="22"/>
  <c r="Z79" i="22"/>
  <c r="Z80" i="22"/>
  <c r="Z81" i="22"/>
  <c r="Z82" i="22"/>
  <c r="Z83" i="22"/>
  <c r="Z84" i="22"/>
  <c r="Z85" i="22"/>
  <c r="Z86" i="22"/>
  <c r="Z87" i="22"/>
  <c r="Z88" i="22"/>
  <c r="Z89" i="22"/>
  <c r="Z90" i="22"/>
  <c r="Z91" i="22"/>
  <c r="Z92" i="22"/>
  <c r="Z93" i="22"/>
  <c r="Z94" i="22"/>
  <c r="Z95" i="22"/>
  <c r="Z96" i="22"/>
  <c r="Z97" i="22"/>
  <c r="Z98" i="22"/>
  <c r="Z99" i="22"/>
  <c r="Z100" i="22"/>
  <c r="Z101" i="22"/>
  <c r="Z102" i="22"/>
  <c r="Z103" i="22"/>
  <c r="Z104" i="22"/>
  <c r="Z105" i="22"/>
  <c r="Z106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77" i="22"/>
  <c r="Z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77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41" i="22"/>
  <c r="Z41" i="22"/>
  <c r="AA41" i="22"/>
  <c r="X42" i="22"/>
  <c r="X43" i="22"/>
  <c r="X44" i="22"/>
  <c r="X45" i="22"/>
  <c r="X46" i="22"/>
  <c r="X47" i="22"/>
  <c r="X48" i="22"/>
  <c r="X49" i="22"/>
  <c r="X50" i="22"/>
  <c r="X51" i="22"/>
  <c r="X52" i="22"/>
  <c r="X53" i="22"/>
  <c r="X54" i="22"/>
  <c r="X55" i="22"/>
  <c r="X56" i="22"/>
  <c r="X57" i="22"/>
  <c r="X58" i="22"/>
  <c r="X59" i="22"/>
  <c r="X60" i="22"/>
  <c r="X61" i="22"/>
  <c r="X62" i="22"/>
  <c r="X63" i="22"/>
  <c r="X64" i="22"/>
  <c r="X65" i="22"/>
  <c r="X66" i="22"/>
  <c r="X67" i="22"/>
  <c r="X68" i="22"/>
  <c r="X69" i="22"/>
  <c r="X70" i="22"/>
  <c r="X41" i="22"/>
  <c r="S61" i="22"/>
  <c r="R61" i="22"/>
  <c r="Q61" i="22"/>
  <c r="S51" i="22"/>
  <c r="S52" i="22"/>
  <c r="S53" i="22"/>
  <c r="S54" i="22"/>
  <c r="S55" i="22"/>
  <c r="S56" i="22"/>
  <c r="S57" i="22"/>
  <c r="S58" i="22"/>
  <c r="S59" i="22"/>
  <c r="S60" i="22"/>
  <c r="R51" i="22"/>
  <c r="R52" i="22"/>
  <c r="R53" i="22"/>
  <c r="R54" i="22"/>
  <c r="R55" i="22"/>
  <c r="R56" i="22"/>
  <c r="R57" i="22"/>
  <c r="R58" i="22"/>
  <c r="R59" i="22"/>
  <c r="R60" i="22"/>
  <c r="R50" i="22"/>
  <c r="S50" i="22"/>
  <c r="Q51" i="22"/>
  <c r="Q52" i="22"/>
  <c r="Q53" i="22"/>
  <c r="Q54" i="22"/>
  <c r="Q55" i="22"/>
  <c r="Q56" i="22"/>
  <c r="Q57" i="22"/>
  <c r="Q58" i="22"/>
  <c r="Q59" i="22"/>
  <c r="Q60" i="22"/>
  <c r="Q50" i="22"/>
  <c r="S45" i="22"/>
  <c r="R45" i="22"/>
  <c r="Q45" i="22"/>
  <c r="S35" i="22"/>
  <c r="S36" i="22"/>
  <c r="S37" i="22"/>
  <c r="S38" i="22"/>
  <c r="S39" i="22"/>
  <c r="S40" i="22"/>
  <c r="S41" i="22"/>
  <c r="S42" i="22"/>
  <c r="S43" i="22"/>
  <c r="S44" i="22"/>
  <c r="R35" i="22"/>
  <c r="R36" i="22"/>
  <c r="R37" i="22"/>
  <c r="R38" i="22"/>
  <c r="R39" i="22"/>
  <c r="R40" i="22"/>
  <c r="R41" i="22"/>
  <c r="R42" i="22"/>
  <c r="R43" i="22"/>
  <c r="R44" i="22"/>
  <c r="S34" i="22"/>
  <c r="R34" i="22"/>
  <c r="Q35" i="22"/>
  <c r="Q36" i="22"/>
  <c r="Q37" i="22"/>
  <c r="Q38" i="22"/>
  <c r="Q39" i="22"/>
  <c r="Q40" i="22"/>
  <c r="Q41" i="22"/>
  <c r="Q42" i="22"/>
  <c r="Q43" i="22"/>
  <c r="Q44" i="22"/>
  <c r="Q34" i="22"/>
  <c r="K36" i="22"/>
  <c r="K37" i="22"/>
  <c r="K38" i="22"/>
  <c r="K35" i="22"/>
  <c r="J36" i="22"/>
  <c r="J37" i="22"/>
  <c r="J38" i="22"/>
  <c r="J35" i="22"/>
  <c r="I36" i="22"/>
  <c r="I37" i="22"/>
  <c r="I38" i="22"/>
  <c r="I35" i="22"/>
  <c r="I39" i="22" s="1"/>
  <c r="C2" i="16"/>
  <c r="K31" i="22"/>
  <c r="J31" i="22"/>
  <c r="I31" i="22"/>
  <c r="K28" i="22"/>
  <c r="K29" i="22"/>
  <c r="K30" i="22"/>
  <c r="J28" i="22"/>
  <c r="J29" i="22"/>
  <c r="J30" i="22"/>
  <c r="I28" i="22"/>
  <c r="I29" i="22"/>
  <c r="I30" i="22"/>
  <c r="K27" i="22"/>
  <c r="J27" i="22"/>
  <c r="I27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6" i="22"/>
  <c r="Y36" i="22" s="1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6" i="22"/>
  <c r="S26" i="22"/>
  <c r="S27" i="22"/>
  <c r="S28" i="22" s="1"/>
  <c r="S25" i="22"/>
  <c r="R26" i="22"/>
  <c r="R27" i="22"/>
  <c r="R25" i="22"/>
  <c r="R28" i="22" s="1"/>
  <c r="Q26" i="22"/>
  <c r="Q27" i="22"/>
  <c r="T27" i="22" s="1"/>
  <c r="Q25" i="22"/>
  <c r="Q28" i="22" s="1"/>
  <c r="Q9" i="22"/>
  <c r="Q10" i="22"/>
  <c r="Q11" i="22"/>
  <c r="Q12" i="22"/>
  <c r="Q13" i="22"/>
  <c r="Q14" i="22"/>
  <c r="Q15" i="22"/>
  <c r="Q16" i="22"/>
  <c r="Q17" i="22"/>
  <c r="Q18" i="22"/>
  <c r="S9" i="22"/>
  <c r="S10" i="22"/>
  <c r="S11" i="22"/>
  <c r="S12" i="22"/>
  <c r="S13" i="22"/>
  <c r="S14" i="22"/>
  <c r="S15" i="22"/>
  <c r="S16" i="22"/>
  <c r="S17" i="22"/>
  <c r="S18" i="22"/>
  <c r="S8" i="22"/>
  <c r="S19" i="22" s="1"/>
  <c r="R9" i="22"/>
  <c r="R10" i="22"/>
  <c r="R11" i="22"/>
  <c r="R12" i="22"/>
  <c r="R13" i="22"/>
  <c r="R14" i="22"/>
  <c r="R15" i="22"/>
  <c r="R16" i="22"/>
  <c r="R17" i="22"/>
  <c r="R18" i="22"/>
  <c r="R8" i="22"/>
  <c r="R19" i="22" s="1"/>
  <c r="Q8" i="22"/>
  <c r="J20" i="22"/>
  <c r="J21" i="22"/>
  <c r="J19" i="22"/>
  <c r="I20" i="22"/>
  <c r="I21" i="22"/>
  <c r="I19" i="22"/>
  <c r="O3" i="17"/>
  <c r="X142" i="22" l="1"/>
  <c r="Z36" i="22"/>
  <c r="K39" i="22"/>
  <c r="J39" i="22"/>
  <c r="AA9" i="22"/>
  <c r="AA13" i="22"/>
  <c r="AA17" i="22"/>
  <c r="AA21" i="22"/>
  <c r="AA25" i="22"/>
  <c r="AA29" i="22"/>
  <c r="AA33" i="22"/>
  <c r="AA28" i="22"/>
  <c r="AA20" i="22"/>
  <c r="AA12" i="22"/>
  <c r="AA35" i="22"/>
  <c r="AA31" i="22"/>
  <c r="AA27" i="22"/>
  <c r="AA23" i="22"/>
  <c r="AA19" i="22"/>
  <c r="AA15" i="22"/>
  <c r="AA11" i="22"/>
  <c r="AA7" i="22"/>
  <c r="AA32" i="22"/>
  <c r="AA16" i="22"/>
  <c r="AA8" i="22"/>
  <c r="AA34" i="22"/>
  <c r="AA30" i="22"/>
  <c r="AA26" i="22"/>
  <c r="AA22" i="22"/>
  <c r="AA18" i="22"/>
  <c r="AA14" i="22"/>
  <c r="AA10" i="22"/>
  <c r="AA24" i="22"/>
  <c r="T26" i="22"/>
  <c r="T25" i="22"/>
  <c r="AA6" i="22"/>
  <c r="Q19" i="22"/>
  <c r="K21" i="22"/>
  <c r="K20" i="22"/>
  <c r="K19" i="22"/>
  <c r="K22" i="22" s="1"/>
  <c r="K9" i="22"/>
  <c r="K10" i="22"/>
  <c r="K11" i="22"/>
  <c r="K8" i="22"/>
  <c r="I9" i="22"/>
  <c r="I10" i="22"/>
  <c r="I11" i="22"/>
  <c r="J9" i="22"/>
  <c r="J10" i="22"/>
  <c r="J11" i="22"/>
  <c r="J8" i="22"/>
  <c r="I8" i="22"/>
  <c r="B9" i="22"/>
  <c r="B8" i="22"/>
  <c r="B7" i="22"/>
  <c r="B6" i="22"/>
  <c r="B5" i="22"/>
  <c r="B4" i="22"/>
  <c r="B3" i="22"/>
  <c r="AA36" i="22" l="1"/>
  <c r="T28" i="22"/>
  <c r="L11" i="22"/>
  <c r="T8" i="22"/>
  <c r="T9" i="22"/>
  <c r="T13" i="22"/>
  <c r="T17" i="22"/>
  <c r="T12" i="22"/>
  <c r="T16" i="22"/>
  <c r="T14" i="22"/>
  <c r="T18" i="22"/>
  <c r="T11" i="22"/>
  <c r="T10" i="22"/>
  <c r="T15" i="22"/>
  <c r="I12" i="22"/>
  <c r="M11" i="22" s="1"/>
  <c r="J12" i="22"/>
  <c r="K12" i="22"/>
  <c r="J22" i="22"/>
  <c r="L10" i="22"/>
  <c r="I22" i="22"/>
  <c r="L20" i="22" s="1"/>
  <c r="L9" i="22"/>
  <c r="H2" i="6"/>
  <c r="J3" i="15"/>
  <c r="J4" i="15"/>
  <c r="J2" i="15"/>
  <c r="G7" i="18"/>
  <c r="I3" i="18"/>
  <c r="G9" i="18"/>
  <c r="I4" i="18"/>
  <c r="I2" i="18"/>
  <c r="I13" i="3"/>
  <c r="I4" i="3"/>
  <c r="I5" i="3"/>
  <c r="I6" i="3"/>
  <c r="I7" i="3"/>
  <c r="I8" i="3"/>
  <c r="I9" i="3"/>
  <c r="I10" i="3"/>
  <c r="I11" i="3"/>
  <c r="I12" i="3"/>
  <c r="I3" i="3"/>
  <c r="H13" i="3"/>
  <c r="H4" i="3"/>
  <c r="H5" i="3"/>
  <c r="H6" i="3"/>
  <c r="H7" i="3"/>
  <c r="H8" i="3"/>
  <c r="H9" i="3"/>
  <c r="H10" i="3"/>
  <c r="H11" i="3"/>
  <c r="H12" i="3"/>
  <c r="H3" i="3"/>
  <c r="G3" i="3"/>
  <c r="G4" i="3"/>
  <c r="G5" i="3"/>
  <c r="G6" i="3"/>
  <c r="G7" i="3"/>
  <c r="G8" i="3"/>
  <c r="G9" i="3"/>
  <c r="G10" i="3"/>
  <c r="G11" i="3"/>
  <c r="G12" i="3"/>
  <c r="M8" i="22" l="1"/>
  <c r="M10" i="22"/>
  <c r="M9" i="22"/>
  <c r="T19" i="22"/>
  <c r="L19" i="22"/>
  <c r="L12" i="22"/>
  <c r="L21" i="22"/>
  <c r="F4" i="3"/>
  <c r="F5" i="3"/>
  <c r="F6" i="3"/>
  <c r="F7" i="3"/>
  <c r="F8" i="3"/>
  <c r="F9" i="3"/>
  <c r="F10" i="3"/>
  <c r="F11" i="3"/>
  <c r="F12" i="3"/>
  <c r="F3" i="3"/>
  <c r="C12" i="15"/>
  <c r="C10" i="15"/>
  <c r="E2" i="14"/>
  <c r="D2" i="13"/>
  <c r="O11" i="17"/>
  <c r="O12" i="17"/>
  <c r="O13" i="17"/>
  <c r="O14" i="17"/>
  <c r="O15" i="17"/>
  <c r="O10" i="17"/>
  <c r="N11" i="17"/>
  <c r="N12" i="17"/>
  <c r="N13" i="17"/>
  <c r="N14" i="17"/>
  <c r="N15" i="17"/>
  <c r="N10" i="17"/>
  <c r="W6" i="17"/>
  <c r="W3" i="17"/>
  <c r="F3" i="17"/>
  <c r="F4" i="17"/>
  <c r="F5" i="17"/>
  <c r="F2" i="17"/>
  <c r="P4" i="17"/>
  <c r="P5" i="17"/>
  <c r="P6" i="17"/>
  <c r="P7" i="17"/>
  <c r="P8" i="17"/>
  <c r="P3" i="17"/>
  <c r="O4" i="17"/>
  <c r="O5" i="17"/>
  <c r="O6" i="17"/>
  <c r="O7" i="17"/>
  <c r="O8" i="17"/>
  <c r="E2" i="17"/>
  <c r="N3" i="17"/>
  <c r="N5" i="17"/>
  <c r="N6" i="17"/>
  <c r="N7" i="17"/>
  <c r="N8" i="17"/>
  <c r="N4" i="17"/>
  <c r="E3" i="17"/>
  <c r="E4" i="17"/>
  <c r="E5" i="17"/>
  <c r="E1" i="17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3" i="4"/>
  <c r="L10" i="4"/>
  <c r="L11" i="4"/>
  <c r="L12" i="4"/>
  <c r="L9" i="4"/>
  <c r="M12" i="22" l="1"/>
  <c r="L22" i="22"/>
  <c r="M10" i="4" l="1"/>
  <c r="M11" i="4"/>
  <c r="M12" i="4"/>
  <c r="M9" i="4"/>
  <c r="H81" i="4" l="1"/>
  <c r="C3" i="16"/>
  <c r="C4" i="16"/>
  <c r="C5" i="16"/>
  <c r="C6" i="16"/>
  <c r="C13" i="14"/>
  <c r="C11" i="15" l="1"/>
  <c r="C8" i="15"/>
  <c r="G6" i="14" l="1"/>
  <c r="G7" i="14"/>
  <c r="G8" i="14"/>
  <c r="H3" i="14"/>
  <c r="H4" i="14"/>
  <c r="H5" i="14"/>
  <c r="H6" i="14"/>
  <c r="H7" i="14"/>
  <c r="H8" i="14"/>
  <c r="H2" i="14"/>
  <c r="G3" i="14"/>
  <c r="G4" i="14"/>
  <c r="G5" i="14"/>
  <c r="G2" i="14"/>
  <c r="F3" i="14"/>
  <c r="F4" i="14"/>
  <c r="F5" i="14"/>
  <c r="F6" i="14"/>
  <c r="F7" i="14"/>
  <c r="F8" i="14"/>
  <c r="F2" i="14"/>
  <c r="E3" i="14"/>
  <c r="E4" i="14"/>
  <c r="E5" i="14"/>
  <c r="E6" i="14"/>
  <c r="E7" i="14"/>
  <c r="E8" i="14"/>
  <c r="L3" i="4" l="1"/>
  <c r="E2" i="13"/>
  <c r="E4" i="13" l="1"/>
  <c r="E5" i="13"/>
  <c r="E3" i="13"/>
  <c r="D3" i="13"/>
  <c r="D4" i="13"/>
  <c r="D5" i="13"/>
  <c r="C3" i="13"/>
  <c r="C4" i="13"/>
  <c r="C5" i="13"/>
  <c r="C2" i="13"/>
  <c r="L5" i="4"/>
  <c r="C23" i="4" s="1"/>
  <c r="C14" i="4" l="1"/>
  <c r="C10" i="4"/>
  <c r="C6" i="4"/>
  <c r="C20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16" i="4"/>
  <c r="C12" i="4"/>
  <c r="C8" i="4"/>
  <c r="C4" i="4"/>
  <c r="C18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5" i="4"/>
  <c r="C11" i="4"/>
  <c r="C7" i="4"/>
  <c r="C21" i="4"/>
  <c r="C17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3" i="4"/>
  <c r="C13" i="4"/>
  <c r="C9" i="4"/>
  <c r="C5" i="4"/>
  <c r="C19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E7" i="12"/>
  <c r="C7" i="12"/>
  <c r="R4" i="4" l="1"/>
  <c r="R5" i="4"/>
  <c r="R6" i="4"/>
  <c r="R7" i="4"/>
  <c r="R8" i="4"/>
  <c r="R9" i="4"/>
  <c r="H9" i="4" s="1"/>
  <c r="R10" i="4"/>
  <c r="H10" i="4" s="1"/>
  <c r="R11" i="4"/>
  <c r="R12" i="4"/>
  <c r="H12" i="4" s="1"/>
  <c r="R13" i="4"/>
  <c r="R14" i="4"/>
  <c r="R15" i="4"/>
  <c r="R16" i="4"/>
  <c r="R17" i="4"/>
  <c r="R18" i="4"/>
  <c r="H23" i="4" s="1"/>
  <c r="R19" i="4"/>
  <c r="R20" i="4"/>
  <c r="R21" i="4"/>
  <c r="R22" i="4"/>
  <c r="R23" i="4"/>
  <c r="R24" i="4"/>
  <c r="R25" i="4"/>
  <c r="H38" i="4" s="1"/>
  <c r="R26" i="4"/>
  <c r="H39" i="4" s="1"/>
  <c r="R27" i="4"/>
  <c r="R28" i="4"/>
  <c r="R29" i="4"/>
  <c r="R30" i="4"/>
  <c r="R31" i="4"/>
  <c r="H50" i="4" s="1"/>
  <c r="R32" i="4"/>
  <c r="H51" i="4" s="1"/>
  <c r="R33" i="4"/>
  <c r="R34" i="4"/>
  <c r="R35" i="4"/>
  <c r="H60" i="4" s="1"/>
  <c r="R36" i="4"/>
  <c r="R37" i="4"/>
  <c r="H63" i="4" s="1"/>
  <c r="R38" i="4"/>
  <c r="R39" i="4"/>
  <c r="R40" i="4"/>
  <c r="R41" i="4"/>
  <c r="R42" i="4"/>
  <c r="R43" i="4"/>
  <c r="R3" i="4"/>
  <c r="H3" i="4" s="1"/>
  <c r="H71" i="4" l="1"/>
  <c r="H70" i="4"/>
  <c r="H52" i="4"/>
  <c r="H53" i="4"/>
  <c r="H47" i="4"/>
  <c r="H46" i="4"/>
  <c r="H28" i="4"/>
  <c r="H29" i="4"/>
  <c r="H22" i="4"/>
  <c r="H21" i="4"/>
  <c r="H14" i="4"/>
  <c r="H44" i="4"/>
  <c r="H5" i="4"/>
  <c r="H45" i="4"/>
  <c r="H68" i="4"/>
  <c r="H69" i="4"/>
  <c r="H61" i="4"/>
  <c r="H62" i="4"/>
  <c r="H43" i="4"/>
  <c r="H42" i="4"/>
  <c r="H35" i="4"/>
  <c r="H34" i="4"/>
  <c r="H27" i="4"/>
  <c r="H26" i="4"/>
  <c r="H20" i="4"/>
  <c r="H75" i="4"/>
  <c r="H8" i="4"/>
  <c r="H74" i="4"/>
  <c r="H4" i="4"/>
  <c r="H36" i="4"/>
  <c r="H37" i="4"/>
  <c r="H76" i="4"/>
  <c r="H77" i="4"/>
  <c r="H67" i="4"/>
  <c r="H66" i="4"/>
  <c r="H40" i="4"/>
  <c r="H41" i="4"/>
  <c r="H32" i="4"/>
  <c r="H33" i="4"/>
  <c r="H24" i="4"/>
  <c r="H25" i="4"/>
  <c r="H18" i="4"/>
  <c r="H11" i="4"/>
  <c r="H79" i="4"/>
  <c r="H78" i="4"/>
  <c r="H7" i="4"/>
  <c r="H59" i="4"/>
  <c r="H58" i="4"/>
  <c r="H72" i="4"/>
  <c r="H73" i="4"/>
  <c r="H64" i="4"/>
  <c r="H65" i="4"/>
  <c r="H55" i="4"/>
  <c r="H54" i="4"/>
  <c r="H48" i="4"/>
  <c r="H49" i="4"/>
  <c r="H31" i="4"/>
  <c r="H30" i="4"/>
  <c r="H16" i="4"/>
  <c r="H80" i="4"/>
  <c r="H6" i="4"/>
  <c r="H56" i="4"/>
  <c r="H57" i="4"/>
  <c r="H19" i="4" l="1"/>
  <c r="N12" i="4"/>
  <c r="H13" i="4"/>
  <c r="N9" i="4"/>
  <c r="H15" i="4"/>
  <c r="N10" i="4"/>
  <c r="H17" i="4"/>
  <c r="N11" i="4"/>
</calcChain>
</file>

<file path=xl/sharedStrings.xml><?xml version="1.0" encoding="utf-8"?>
<sst xmlns="http://schemas.openxmlformats.org/spreadsheetml/2006/main" count="2833" uniqueCount="382">
  <si>
    <t>x</t>
  </si>
  <si>
    <t>Total</t>
  </si>
  <si>
    <t>Channel</t>
  </si>
  <si>
    <t>Channel Grouping</t>
  </si>
  <si>
    <t>Product Name</t>
  </si>
  <si>
    <t>Combo</t>
  </si>
  <si>
    <t>Category</t>
  </si>
  <si>
    <t>Transaction type</t>
  </si>
  <si>
    <t>Qty</t>
  </si>
  <si>
    <t>Marketplace</t>
  </si>
  <si>
    <t>1 MG</t>
  </si>
  <si>
    <t>Juices</t>
  </si>
  <si>
    <t>Sales</t>
  </si>
  <si>
    <t>Gourmet Nutrition</t>
  </si>
  <si>
    <t>Sales Return</t>
  </si>
  <si>
    <t>Functional nutrition</t>
  </si>
  <si>
    <t>AMAZON</t>
  </si>
  <si>
    <t>ASHWAGANDHA CAPSULES 500 MG</t>
  </si>
  <si>
    <t>Qty Sold</t>
  </si>
  <si>
    <t>Month</t>
  </si>
  <si>
    <t>Big Basket</t>
  </si>
  <si>
    <t>Flipkart</t>
  </si>
  <si>
    <t>GOQII</t>
  </si>
  <si>
    <t>D2C</t>
  </si>
  <si>
    <t>Offline</t>
  </si>
  <si>
    <t>Offline - Central</t>
  </si>
  <si>
    <t>Offline - East</t>
  </si>
  <si>
    <t>Offline - MT</t>
  </si>
  <si>
    <t>Offline -North</t>
  </si>
  <si>
    <t>Offline - South</t>
  </si>
  <si>
    <t>Offline - West</t>
  </si>
  <si>
    <t>1. Total Qty Sold</t>
  </si>
  <si>
    <t>2. Avg qty sold</t>
  </si>
  <si>
    <t>Rate List</t>
  </si>
  <si>
    <t>3. Product wise total qty sold</t>
  </si>
  <si>
    <t>Sub-Channels</t>
  </si>
  <si>
    <t>Cost price</t>
  </si>
  <si>
    <t>Per unit Cost value</t>
  </si>
  <si>
    <t>Total Cost</t>
  </si>
  <si>
    <t>Total Sale</t>
  </si>
  <si>
    <t>Powders</t>
  </si>
  <si>
    <t>Others</t>
  </si>
  <si>
    <t>Tea</t>
  </si>
  <si>
    <t>G+E+C</t>
  </si>
  <si>
    <t>Breakfast Foods</t>
  </si>
  <si>
    <t>Sales Value (INR)</t>
  </si>
  <si>
    <t>- GREEN SUPERFOODS</t>
  </si>
  <si>
    <t>16-IN-1 SMOOTHIE MIX - 400G</t>
  </si>
  <si>
    <t>17-IN-1 SMOOTHIE MIX - 400G</t>
  </si>
  <si>
    <t>A2 DESI GHEE</t>
  </si>
  <si>
    <t>ACNE EASE JUICE 1L</t>
  </si>
  <si>
    <t>AKRTI GREEN TEA - 40GM</t>
  </si>
  <si>
    <t>ALOE + AMLA JUICE 1 L</t>
  </si>
  <si>
    <t>ALOE + GARCINIA JUICE 1 L</t>
  </si>
  <si>
    <t>ALOE + GARCINIA JUICE 1 L_550 + APPLE CIDER VINEGAR500 grams</t>
  </si>
  <si>
    <t>ALOE + GARCINIA JUICE 1 L_550 + GET SLIM JUICE 1 L_420</t>
  </si>
  <si>
    <t>ALOE + MORINGA JUICE 1 L</t>
  </si>
  <si>
    <t>ALOE + SHILAJEET JUICE 1 L</t>
  </si>
  <si>
    <t>ALOE + TURMERIC JUICE 1 L</t>
  </si>
  <si>
    <t>ALOE + WHEAT GRASS JUICE 1 L</t>
  </si>
  <si>
    <t>ALOE VERA JUICE 1 L</t>
  </si>
  <si>
    <t>ALOE VERA JUICE 1 L_265 + ALOE VERA SKIN GEL 500 GM</t>
  </si>
  <si>
    <t>ALOE VERA JUICE 1 L_265 + NEEM JUICE 1 L_320</t>
  </si>
  <si>
    <t>ALOE VERA JUICE 1L + WHEATGRASS JUICE 1L POWER COMBO</t>
  </si>
  <si>
    <t>ALOE VERA SKIN GEL 500 GM</t>
  </si>
  <si>
    <t>AMLA + GILOY JUICE 1 L</t>
  </si>
  <si>
    <t>AMLA JUICE 1 L</t>
  </si>
  <si>
    <t>AMLA JUICE 1 L + ALOE VERA JUICE 1 L_265</t>
  </si>
  <si>
    <t>AMLA JUICE 1 L + TULSI GILOY JUICE 1 L_400</t>
  </si>
  <si>
    <t>ANANDAM GREEN TEA - 40GM</t>
  </si>
  <si>
    <t>APPLE CIDER + GARCINIA 500 ML</t>
  </si>
  <si>
    <t>APPLE CIDER VINEGAR + HONEY500 grams</t>
  </si>
  <si>
    <t>APPLE CIDER VINEGAR GUMMIES 30 PCS</t>
  </si>
  <si>
    <t>APPLE CIDER VINEGAR GUMMIES 60 PCS</t>
  </si>
  <si>
    <t>APPLE CIDER VINEGAR500 grams</t>
  </si>
  <si>
    <t>ARTHO SURE CAPSULES 60 CAPS</t>
  </si>
  <si>
    <t>ARTHO SURE JUICE 1 L</t>
  </si>
  <si>
    <t>ASHWAGANDHA CAPSULES 60 CAPS</t>
  </si>
  <si>
    <t>BIOTIN WITH ALOE VERA GUMMIES 10 PCS</t>
  </si>
  <si>
    <t>BIOTIN WITH ALOE VERA GUMMIES 30 PCS</t>
  </si>
  <si>
    <t>BIOTIN WITH ALOE VERA GUMMIES 60 PCS</t>
  </si>
  <si>
    <t>BOWEL CARE JUICE 1 L</t>
  </si>
  <si>
    <t>BP SURE JUICE 1 L</t>
  </si>
  <si>
    <t>BRAHMI + MEMORY CAPSULES 60 CAPS</t>
  </si>
  <si>
    <t>BRAHMI CAPSULES 60 CAPS</t>
  </si>
  <si>
    <t>CARDIO CARE CAPSULES 60 CAPS</t>
  </si>
  <si>
    <t>CHAYAWANPRASH 500 GM</t>
  </si>
  <si>
    <t>CHOLEST FIT CAPSULES 60 CAPS</t>
  </si>
  <si>
    <t>DIA FREE CAPSULES 60 CAPS</t>
  </si>
  <si>
    <t>DIA FREE JUICE 1 L</t>
  </si>
  <si>
    <t>DIGESTI CARE JUICE 1L</t>
  </si>
  <si>
    <t>EFFERVESCENT POWDER (AMLA + ZINC)</t>
  </si>
  <si>
    <t>EFFERVESCENT POWDER (ASHWAGANDHA)</t>
  </si>
  <si>
    <t>GARCINIA + SLIMMING CAPSULES 60 CAPSULES</t>
  </si>
  <si>
    <t>GET SLIM CAPSULES 60 CAPS</t>
  </si>
  <si>
    <t>GET SLIM GREEN TEA100 grams</t>
  </si>
  <si>
    <t>GET SLIM JUICE 1 L</t>
  </si>
  <si>
    <t>GINGER BURST HONEY 250GM</t>
  </si>
  <si>
    <t>GREEN SUPERFOODS - BERRY 1 KG</t>
  </si>
  <si>
    <t>GREEN SUPERFOODS - CHOCO ORANGE 1 KG</t>
  </si>
  <si>
    <t>HAIR CARE JUICE 1 L</t>
  </si>
  <si>
    <t>HERBAL WEIGHTWISE 150 GM - JALJEERA</t>
  </si>
  <si>
    <t>Homestyle Masala Supergrain Oats - 3 Herbs &amp; 4 Supergrains for Daily Wellness, Pack of 3</t>
  </si>
  <si>
    <t>IMMUNE CARE JUICE 1 L</t>
  </si>
  <si>
    <t>IMMUNE CARE JUICE 1 L + MASALA SUPERGRAIN MIX IMMUNITY 400 GM ( ONLINE)</t>
  </si>
  <si>
    <t>IMMUNE CARE JUICE 500 ML</t>
  </si>
  <si>
    <t>KARELA JAMUN JUICE 1 L</t>
  </si>
  <si>
    <t>KARELA JAMUN JUICE 1 L + AMLA JUICE 1 L COMBO</t>
  </si>
  <si>
    <t>KARELA JAMUN JUICE 1 L_300 + DIA FREE JUICE 1 L_420</t>
  </si>
  <si>
    <t>KASHMIRI KAHWAH TEA 72 GM (36 BAGS)</t>
  </si>
  <si>
    <t>MADHU TULA GREEN TEA - 40GM</t>
  </si>
  <si>
    <t>MASALA SUPERGRAIN MIX 380G | PACK OF 2 | 3 AYURVEDIC HERBS &amp; 4 SUPERGRAINS FOR ENERGY BOOST</t>
  </si>
  <si>
    <t>MASALA SUPERGRAIN MIX 400G | PACK OF 2 | VITAMIN C, A AND ZINC | OATS, RAGI, GREEN GRAM, AMARANTH</t>
  </si>
  <si>
    <t xml:space="preserve">MASALA SUPERGRAIN MIX ENERGY 380 GM </t>
  </si>
  <si>
    <t xml:space="preserve">MASALA SUPERGRAIN MIX IMMUNITY 400 GM </t>
  </si>
  <si>
    <t>MASALA SUPERGRAIN MIX WEIGHT MANAGEMENT</t>
  </si>
  <si>
    <t>MASALA SUPERGRAIN MIX, PACK OF 2, 3 AYURVEDIC HERBS &amp; 4 SUPERGRAINS FOR WEIGHT MANAGEMENT</t>
  </si>
  <si>
    <t xml:space="preserve">Masala Supergrain Oats (Pack of 4) Daily Wellness &amp; Agility Combo </t>
  </si>
  <si>
    <t xml:space="preserve">Masala Supergrain Oats (Pack of 4) Daily Wellness Combo </t>
  </si>
  <si>
    <t>MASALA TEA100 grams</t>
  </si>
  <si>
    <t>MEMORY MAX JUICE 1L</t>
  </si>
  <si>
    <t>MULTIVITAMIN GUMMIES FOR KIDS &amp; ADULTS 30 PCS</t>
  </si>
  <si>
    <t>MULTIVITAMIN GUMMIES FOR KIDS &amp; ADULTS 60 PCS</t>
  </si>
  <si>
    <t>NEEM + SKIN GLOW CAPSULES 60 CAPS</t>
  </si>
  <si>
    <t>NEEM JUICE 1 L</t>
  </si>
  <si>
    <t>NO STRESS CAPSULES 60 CAPS</t>
  </si>
  <si>
    <t>NONI JUICE 1 L</t>
  </si>
  <si>
    <t>NUTRI KIDSURE ( 2- 7 YEARS) 400 GM</t>
  </si>
  <si>
    <t>NUTRI KIDSURE ( 7+ YEARS) 400 GM</t>
  </si>
  <si>
    <t>ORGANIC APPLE CIDER VINEGAR 500 ML</t>
  </si>
  <si>
    <t>ORGANIC CASTOR OIL 250 ML</t>
  </si>
  <si>
    <t>ORGANIC COLD PRESSED MUSTARD OIL 1 L</t>
  </si>
  <si>
    <t>ORGANIC GULKAND 300grams</t>
  </si>
  <si>
    <t>ORGANIC SESAME OIL 500 ML</t>
  </si>
  <si>
    <t>PAACHAKA GREEN TEA - 40GM</t>
  </si>
  <si>
    <t>PAPAYA + ANTI-OXIDANT CAPSULES 60 CAPS</t>
  </si>
  <si>
    <t>PERIOD CARE JUICE 1 L</t>
  </si>
  <si>
    <t>PRABAL GREEN TEA - 40GM</t>
  </si>
  <si>
    <t>PROBIOTICS WITH AMLA GUMMIES 30 PCS</t>
  </si>
  <si>
    <t>PROBIOTICS WITH AMLA GUMMIES 60 PCS</t>
  </si>
  <si>
    <t>PROTEINS WITH HERBS FOR WOMEN 420G- KESAR BADAM</t>
  </si>
  <si>
    <t>PROTEINS WITH HERBS FOR WOMEN ASSORTMENT PACK- 420G</t>
  </si>
  <si>
    <t>RAKSHAN GREEN TEA - 40GM</t>
  </si>
  <si>
    <t>ROSE GREEN TEA 72 GM (36 BAGS)</t>
  </si>
  <si>
    <t>SANDALWOOD OIL 15 ML</t>
  </si>
  <si>
    <t>SHILAJEET + STAMINA CAPSULES 60 CAPS</t>
  </si>
  <si>
    <t>SHILAJEET CAPSULES 60 CAPS</t>
  </si>
  <si>
    <t>SLIM SHAKE - CAFFE LATTE 500 GM</t>
  </si>
  <si>
    <t>SLIM SHAKE - CHOCOLATE 150GM</t>
  </si>
  <si>
    <t>SLIM SHAKE - CHOCOLATE 500 GM</t>
  </si>
  <si>
    <t>SLIM SHAKE - GUAVA 500 GM</t>
  </si>
  <si>
    <t>SLIM SHAKE - MANGO 150GM</t>
  </si>
  <si>
    <t>SLIM SHAKE - MANGO 500 GM</t>
  </si>
  <si>
    <t>SLIM SHAKE ASSORTMENT PACK-300 G</t>
  </si>
  <si>
    <t>SLIM SHAKE COMBO - CHOCOLATE &amp; MANGO FLAVOUR - 500G</t>
  </si>
  <si>
    <t>SLIM SHAKE COMBO - COFFEE &amp; GUAVA FLAVOUR - 500G</t>
  </si>
  <si>
    <t>SOUND SLEEP CAPSULES 60 CAPS</t>
  </si>
  <si>
    <t>SPIRULINA PLUS CAPSULES 60 CAPS</t>
  </si>
  <si>
    <t>STONE GO JUICE 1 L</t>
  </si>
  <si>
    <t>SVASTHA GREEN TEA ASSORTMENT PACK - 40GM</t>
  </si>
  <si>
    <t>TADKA MASALA SUPERGRAIN MIX - PROTEIN ACTIVE 400 GRAM</t>
  </si>
  <si>
    <t>Tangy Masala Supergrain Oats Daily Wellness 380gram</t>
  </si>
  <si>
    <t>TRIPHALA JUICE 1 L</t>
  </si>
  <si>
    <t>TULSI GILOY JUICE 1 L</t>
  </si>
  <si>
    <t>TULSI GILOY JUICE 1 L_400 (PACK OF 2)</t>
  </si>
  <si>
    <t>UNPILE CAPSULES 60 CAPS</t>
  </si>
  <si>
    <t>UNREFINED TULSI ARK 30 ML</t>
  </si>
  <si>
    <t>VEGAN PROTEIN - CHOCOLATE 1 KG</t>
  </si>
  <si>
    <t>VEGAN PROTEIN - COOKIES &amp; CREAM 1 KG</t>
  </si>
  <si>
    <t>VEGAN PROTEIN MALE 850G - BANANA</t>
  </si>
  <si>
    <t>VEGAN PROTEIN MALE 850G - CHOCOLATE</t>
  </si>
  <si>
    <t>VIGOR MAX CAPSULES 60 CAPS</t>
  </si>
  <si>
    <t>VIGOR MAX JUICE 1 L</t>
  </si>
  <si>
    <t>VIRGIN COCONUT OIL 500 ML</t>
  </si>
  <si>
    <t>VITAMIN C GUMMIES FOR KIDS AND ADULTS - 30 GUMMIES</t>
  </si>
  <si>
    <t>VITAMIN C GUMMIES FOR KIDS AND ADULTS - 60 GUMMIES</t>
  </si>
  <si>
    <t>WHEAT GRASS JUICE 1 L</t>
  </si>
  <si>
    <t>WILD GILOY JUICE 1 L</t>
  </si>
  <si>
    <t>WILD HONEY250 GM</t>
  </si>
  <si>
    <t>GINGER BURST HONEY250 GM</t>
  </si>
  <si>
    <t>AMLA + LAUKI JUICE 1 L</t>
  </si>
  <si>
    <t>FESTIVE HAMPER - ANAHATA</t>
  </si>
  <si>
    <t>FESTIVE HAMPER - LAVANYA</t>
  </si>
  <si>
    <t>KARELA JAMUN JUICE 1 L+ DIA FREE JUICE 1 L</t>
  </si>
  <si>
    <t>ALOE VERA SKIN GEL 150 GM</t>
  </si>
  <si>
    <t xml:space="preserve"> AMLA JUICE 1 L + ALOE VERA JUICE 1 L  </t>
  </si>
  <si>
    <t>ALOE + GARCINIA JUICE 1 L_550+APPLE CIDER VINEGAR500 grams</t>
  </si>
  <si>
    <t>ALOE VERA JUICE 1 L (PACK OF 2)</t>
  </si>
  <si>
    <t>ALOE VERA JUICE 1 L_265+ NEEM JUICE 1 L_320</t>
  </si>
  <si>
    <t>ALOE VERA SKIN GEL 500 GM+ALOE VERA JUICE 1 L_265</t>
  </si>
  <si>
    <t>AMLA JUICE 1 L (PACK OF 2)</t>
  </si>
  <si>
    <t>Product Category</t>
  </si>
  <si>
    <t>Selling Price</t>
  </si>
  <si>
    <t>ORGANIC JAGGERY POWDER 500 GRAMS</t>
  </si>
  <si>
    <t>VIRGIN COCONUT OIL 250 ML</t>
  </si>
  <si>
    <t>MASALA SUPERGRAIN MIX ENERGY 380 GM ( OFFLINE)</t>
  </si>
  <si>
    <t>MASALA SUPERGRAIN MIX IMMUNITY 400 GM ( OFFLINE)</t>
  </si>
  <si>
    <t>MASALA SUPERGRAIN MIX IMMUNITY 400 GM</t>
  </si>
  <si>
    <t>RAW HONEY ( MADHU) 500 GRAMS</t>
  </si>
  <si>
    <t>HIMALAYA OIL 20 GRMS</t>
  </si>
  <si>
    <t>Grand Total</t>
  </si>
  <si>
    <t>Profit</t>
  </si>
  <si>
    <t>Toal Qty</t>
  </si>
  <si>
    <t>Per unit Sales Price</t>
  </si>
  <si>
    <t>Total Sales Value</t>
  </si>
  <si>
    <t>Sale Price Per Unit</t>
  </si>
  <si>
    <t>Sales Value (in INR Lakhs)</t>
  </si>
  <si>
    <t>Amount</t>
  </si>
  <si>
    <t>Sales Amount</t>
  </si>
  <si>
    <t>Qty sold</t>
  </si>
  <si>
    <t>Average QTY</t>
  </si>
  <si>
    <t>Average Sales Amount</t>
  </si>
  <si>
    <t>Count of Products</t>
  </si>
  <si>
    <t>Performance</t>
  </si>
  <si>
    <t>Fill these using functions</t>
  </si>
  <si>
    <t>Analysis Table</t>
  </si>
  <si>
    <t>Sales Contribution in %</t>
  </si>
  <si>
    <t>Budgeted</t>
  </si>
  <si>
    <t>Actual</t>
  </si>
  <si>
    <t>Status</t>
  </si>
  <si>
    <t>Amount Over</t>
  </si>
  <si>
    <t>% More Spend</t>
  </si>
  <si>
    <t>Salesperson</t>
  </si>
  <si>
    <t>Seat Cover</t>
  </si>
  <si>
    <t>LED Lamps</t>
  </si>
  <si>
    <t>Alloy Wheels</t>
  </si>
  <si>
    <t>Total Sales</t>
  </si>
  <si>
    <t>Arjun</t>
  </si>
  <si>
    <t>Deepak</t>
  </si>
  <si>
    <t>Anuj</t>
  </si>
  <si>
    <t>Alia</t>
  </si>
  <si>
    <t>Divya</t>
  </si>
  <si>
    <t>Keshav</t>
  </si>
  <si>
    <t>Dhiraj</t>
  </si>
  <si>
    <t>IF sales amount is more than 100000 for each product than 2% commission on Total sales.</t>
  </si>
  <si>
    <t>Commission (IF)</t>
  </si>
  <si>
    <t>Commission (AND)</t>
  </si>
  <si>
    <t>Commission (OR)</t>
  </si>
  <si>
    <t>Day</t>
  </si>
  <si>
    <t>Item</t>
  </si>
  <si>
    <t>Monday</t>
  </si>
  <si>
    <t>Tuesday</t>
  </si>
  <si>
    <t>Wednesday</t>
  </si>
  <si>
    <t>Red T-Shirt,Large</t>
  </si>
  <si>
    <t>Black Hat</t>
  </si>
  <si>
    <t>White Hat</t>
  </si>
  <si>
    <t>Blue T-shirt,Large</t>
  </si>
  <si>
    <t>Red T-shirt,Medium</t>
  </si>
  <si>
    <t>Monday Total</t>
  </si>
  <si>
    <t>White Hat Total</t>
  </si>
  <si>
    <t>T-shirts Total</t>
  </si>
  <si>
    <t>Gourmat Nutrition Total</t>
  </si>
  <si>
    <t>Orders</t>
  </si>
  <si>
    <t>Avg Amt</t>
  </si>
  <si>
    <t>st name</t>
  </si>
  <si>
    <t>Age</t>
  </si>
  <si>
    <t>Contact</t>
  </si>
  <si>
    <t>Kratika</t>
  </si>
  <si>
    <t>Ritika</t>
  </si>
  <si>
    <t>Rani</t>
  </si>
  <si>
    <t>Yash</t>
  </si>
  <si>
    <t>First Name</t>
  </si>
  <si>
    <t>Last name</t>
  </si>
  <si>
    <t>Runs</t>
  </si>
  <si>
    <t>Rahul</t>
  </si>
  <si>
    <t>Sachin</t>
  </si>
  <si>
    <t>MSD</t>
  </si>
  <si>
    <t>Hardik</t>
  </si>
  <si>
    <t>Rishabh</t>
  </si>
  <si>
    <t>Virat</t>
  </si>
  <si>
    <t>Dravid</t>
  </si>
  <si>
    <t>Tendulkar</t>
  </si>
  <si>
    <t>Dhoni</t>
  </si>
  <si>
    <t>Pandya</t>
  </si>
  <si>
    <t>Pant</t>
  </si>
  <si>
    <t>Kohali</t>
  </si>
  <si>
    <t>Data Validation</t>
  </si>
  <si>
    <t>Food</t>
  </si>
  <si>
    <t>Type</t>
  </si>
  <si>
    <t>Sweet Corn</t>
  </si>
  <si>
    <t>Poha</t>
  </si>
  <si>
    <t>veg Lolipop</t>
  </si>
  <si>
    <t>Paneer</t>
  </si>
  <si>
    <t>Gulab jamun</t>
  </si>
  <si>
    <t>Rice</t>
  </si>
  <si>
    <t>Stater</t>
  </si>
  <si>
    <t>Main</t>
  </si>
  <si>
    <t>Dessert</t>
  </si>
  <si>
    <t>Ice-Cream</t>
  </si>
  <si>
    <t>juices</t>
  </si>
  <si>
    <t>Child Name</t>
  </si>
  <si>
    <t>Date Of Birth</t>
  </si>
  <si>
    <t>Birth Day</t>
  </si>
  <si>
    <t>Gender</t>
  </si>
  <si>
    <t>Birth Palce</t>
  </si>
  <si>
    <t>Nidhi</t>
  </si>
  <si>
    <t>Jiya</t>
  </si>
  <si>
    <t>Aayush</t>
  </si>
  <si>
    <t>Om</t>
  </si>
  <si>
    <t>Avi</t>
  </si>
  <si>
    <t>Aarushi</t>
  </si>
  <si>
    <t>Uma</t>
  </si>
  <si>
    <t>Pooja</t>
  </si>
  <si>
    <t>Kalpana</t>
  </si>
  <si>
    <t>12/22/2015</t>
  </si>
  <si>
    <t>1/23/2016</t>
  </si>
  <si>
    <t>12/21/2015</t>
  </si>
  <si>
    <t>Sunday</t>
  </si>
  <si>
    <t>Saturday</t>
  </si>
  <si>
    <t>Female</t>
  </si>
  <si>
    <t>Male</t>
  </si>
  <si>
    <t>Delhi</t>
  </si>
  <si>
    <t>Gurgaon</t>
  </si>
  <si>
    <t>Noida</t>
  </si>
  <si>
    <t>Count</t>
  </si>
  <si>
    <t>(All)</t>
  </si>
  <si>
    <t>Row Labels</t>
  </si>
  <si>
    <t>Sum of Qty</t>
  </si>
  <si>
    <t>Sum of Sales Value (in INR Lakhs)</t>
  </si>
  <si>
    <t>Monthly Profile</t>
  </si>
  <si>
    <t>Sales Lakhs</t>
  </si>
  <si>
    <t>Count Of Product</t>
  </si>
  <si>
    <t>Growth%</t>
  </si>
  <si>
    <t>Sales Contribution</t>
  </si>
  <si>
    <t>Levels</t>
  </si>
  <si>
    <t>Channel Profile</t>
  </si>
  <si>
    <t>KPIs</t>
  </si>
  <si>
    <t>Patterns</t>
  </si>
  <si>
    <t>Problems</t>
  </si>
  <si>
    <t>Prediction</t>
  </si>
  <si>
    <t>Diagnostics Analsis</t>
  </si>
  <si>
    <t>Descriptive Analysis</t>
  </si>
  <si>
    <t>Prescriptive Analysis</t>
  </si>
  <si>
    <t>Predictive Analysis</t>
  </si>
  <si>
    <t>What</t>
  </si>
  <si>
    <t>Why</t>
  </si>
  <si>
    <t>How</t>
  </si>
  <si>
    <t>Will</t>
  </si>
  <si>
    <t>EDA</t>
  </si>
  <si>
    <t>Level2 Analysis</t>
  </si>
  <si>
    <t>Subchannel Profile</t>
  </si>
  <si>
    <t>Category Profile</t>
  </si>
  <si>
    <t>Level3 Analsis</t>
  </si>
  <si>
    <t>Monthly Channel Profile</t>
  </si>
  <si>
    <t>Monthly Qty Profile</t>
  </si>
  <si>
    <t>Month &amp; Product Profile</t>
  </si>
  <si>
    <t>Channel &amp; Product Profile</t>
  </si>
  <si>
    <t>Sub-Channel &amp; Product Profile</t>
  </si>
  <si>
    <t>Limited Functionality</t>
  </si>
  <si>
    <t>Name</t>
  </si>
  <si>
    <t>Difference</t>
  </si>
  <si>
    <t>visualisation</t>
  </si>
  <si>
    <t>comparision</t>
  </si>
  <si>
    <t>composition</t>
  </si>
  <si>
    <t>Trend</t>
  </si>
  <si>
    <t>Distribution</t>
  </si>
  <si>
    <t>Groupism</t>
  </si>
  <si>
    <t>Relationship</t>
  </si>
  <si>
    <t>contribution</t>
  </si>
  <si>
    <t>comparision Charts</t>
  </si>
  <si>
    <t>column</t>
  </si>
  <si>
    <t>Bar Chart</t>
  </si>
  <si>
    <t>5 Values</t>
  </si>
  <si>
    <t>More than 5 Values</t>
  </si>
  <si>
    <t>Stacked</t>
  </si>
  <si>
    <t>Pie Chart</t>
  </si>
  <si>
    <t>6 Slice</t>
  </si>
  <si>
    <t>100% Stacked Bar/Column Chart</t>
  </si>
  <si>
    <t>Line Chart</t>
  </si>
  <si>
    <t>only 4 Lines Color Diff,</t>
  </si>
  <si>
    <t>Show Trend , 4Lines</t>
  </si>
  <si>
    <t>Combo Chart</t>
  </si>
  <si>
    <t>More than 4 Lines</t>
  </si>
  <si>
    <t>Distribution Chart</t>
  </si>
  <si>
    <t>Principle of Visualisation</t>
  </si>
  <si>
    <t>Data Highlight</t>
  </si>
  <si>
    <t>5 Questions</t>
  </si>
  <si>
    <t>Frequency</t>
  </si>
  <si>
    <t>Histagram</t>
  </si>
  <si>
    <t>Level1 Analysis</t>
  </si>
  <si>
    <t>Level 2 Analysis</t>
  </si>
  <si>
    <t>SubChannel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</si>
</sst>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   -&quot;?_);_(@_)"/>
    <numFmt numFmtId="165" formatCode="_ * #,##0_ ;_ * \-#,##0_ ;_ * &quot;-&quot;??_ ;_ @_ "/>
    <numFmt numFmtId="166" formatCode="#,##0\ &quot;bps&quot;\_x000a_%%"/>
    <numFmt numFmtId="167" formatCode="0.0000"/>
    <numFmt numFmtId="168" formatCode="&quot;₹&quot;\ #,##0.00"/>
    <numFmt numFmtId="169" formatCode="[$-F800]dddd\,\ mmmm\ dd\,\ yyyy"/>
    <numFmt numFmtId="170" formatCode="&quot;₹&quot;\ #,##0"/>
    <numFmt numFmtId="171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Alignment="1">
      <alignment horizontal="centerContinuous"/>
    </xf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Continuous"/>
    </xf>
    <xf numFmtId="0" fontId="0" fillId="0" borderId="0" xfId="0" applyFont="1"/>
    <xf numFmtId="0" fontId="2" fillId="0" borderId="1" xfId="0" applyFont="1" applyBorder="1"/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0" fontId="4" fillId="0" borderId="0" xfId="0" quotePrefix="1" applyNumberFormat="1" applyFont="1" applyAlignment="1">
      <alignment horizontal="right"/>
    </xf>
    <xf numFmtId="16" fontId="0" fillId="0" borderId="0" xfId="0" applyNumberFormat="1"/>
    <xf numFmtId="0" fontId="0" fillId="0" borderId="0" xfId="0" quotePrefix="1"/>
    <xf numFmtId="44" fontId="0" fillId="0" borderId="0" xfId="3" applyFont="1"/>
    <xf numFmtId="44" fontId="0" fillId="0" borderId="0" xfId="0" applyNumberFormat="1"/>
    <xf numFmtId="165" fontId="2" fillId="0" borderId="1" xfId="1" applyNumberFormat="1" applyFont="1" applyBorder="1"/>
    <xf numFmtId="0" fontId="9" fillId="0" borderId="0" xfId="0" applyFont="1" applyAlignment="1">
      <alignment horizontal="right"/>
    </xf>
    <xf numFmtId="16" fontId="2" fillId="0" borderId="0" xfId="0" applyNumberFormat="1" applyFont="1"/>
    <xf numFmtId="15" fontId="0" fillId="0" borderId="0" xfId="0" applyNumberFormat="1"/>
    <xf numFmtId="164" fontId="4" fillId="0" borderId="0" xfId="0" applyNumberFormat="1" applyFont="1"/>
    <xf numFmtId="0" fontId="0" fillId="0" borderId="0" xfId="0" applyFill="1"/>
    <xf numFmtId="0" fontId="4" fillId="0" borderId="0" xfId="0" quotePrefix="1" applyNumberFormat="1" applyFont="1"/>
    <xf numFmtId="164" fontId="2" fillId="0" borderId="1" xfId="0" applyNumberFormat="1" applyFont="1" applyBorder="1"/>
    <xf numFmtId="166" fontId="0" fillId="0" borderId="0" xfId="0" applyNumberFormat="1" applyAlignment="1">
      <alignment wrapText="1"/>
    </xf>
    <xf numFmtId="0" fontId="2" fillId="0" borderId="0" xfId="0" applyFont="1" applyBorder="1"/>
    <xf numFmtId="165" fontId="2" fillId="0" borderId="0" xfId="1" applyNumberFormat="1" applyFont="1" applyBorder="1"/>
    <xf numFmtId="0" fontId="0" fillId="0" borderId="0" xfId="0" applyFont="1" applyBorder="1"/>
    <xf numFmtId="0" fontId="0" fillId="0" borderId="0" xfId="0" applyFont="1" applyAlignment="1">
      <alignment horizontal="centerContinuous"/>
    </xf>
    <xf numFmtId="0" fontId="0" fillId="0" borderId="0" xfId="0" applyFont="1" applyAlignment="1">
      <alignment horizontal="center"/>
    </xf>
    <xf numFmtId="165" fontId="1" fillId="0" borderId="0" xfId="1" applyNumberFormat="1" applyFont="1" applyBorder="1"/>
    <xf numFmtId="0" fontId="2" fillId="0" borderId="0" xfId="0" applyFont="1" applyAlignment="1">
      <alignment horizontal="centerContinuous"/>
    </xf>
    <xf numFmtId="14" fontId="0" fillId="0" borderId="0" xfId="0" applyNumberFormat="1"/>
    <xf numFmtId="1" fontId="0" fillId="0" borderId="0" xfId="0" applyNumberFormat="1"/>
    <xf numFmtId="0" fontId="2" fillId="2" borderId="2" xfId="0" applyFont="1" applyFill="1" applyBorder="1"/>
    <xf numFmtId="167" fontId="0" fillId="0" borderId="0" xfId="0" applyNumberFormat="1"/>
    <xf numFmtId="164" fontId="2" fillId="0" borderId="0" xfId="0" applyNumberFormat="1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Continuous"/>
    </xf>
    <xf numFmtId="0" fontId="5" fillId="3" borderId="0" xfId="0" applyFont="1" applyFill="1" applyBorder="1" applyAlignment="1">
      <alignment horizontal="centerContinuous"/>
    </xf>
    <xf numFmtId="0" fontId="0" fillId="3" borderId="0" xfId="0" applyFill="1"/>
    <xf numFmtId="9" fontId="0" fillId="0" borderId="0" xfId="0" applyNumberFormat="1"/>
    <xf numFmtId="0" fontId="0" fillId="5" borderId="0" xfId="0" applyFill="1"/>
    <xf numFmtId="2" fontId="0" fillId="0" borderId="0" xfId="0" applyNumberFormat="1"/>
    <xf numFmtId="0" fontId="10" fillId="4" borderId="0" xfId="0" applyFont="1" applyFill="1"/>
    <xf numFmtId="3" fontId="0" fillId="0" borderId="0" xfId="0" applyNumberFormat="1"/>
    <xf numFmtId="168" fontId="0" fillId="0" borderId="0" xfId="0" applyNumberFormat="1"/>
    <xf numFmtId="0" fontId="0" fillId="6" borderId="0" xfId="0" applyFill="1"/>
    <xf numFmtId="0" fontId="0" fillId="3" borderId="2" xfId="0" applyFill="1" applyBorder="1"/>
    <xf numFmtId="0" fontId="0" fillId="3" borderId="0" xfId="0" applyFill="1" applyBorder="1"/>
    <xf numFmtId="9" fontId="2" fillId="0" borderId="0" xfId="0" applyNumberFormat="1" applyFont="1"/>
    <xf numFmtId="17" fontId="5" fillId="3" borderId="0" xfId="0" applyNumberFormat="1" applyFont="1" applyFill="1" applyAlignment="1">
      <alignment horizontal="centerContinuous"/>
    </xf>
    <xf numFmtId="169" fontId="0" fillId="0" borderId="2" xfId="0" applyNumberFormat="1" applyBorder="1" applyAlignment="1">
      <alignment horizontal="left" indent="1"/>
    </xf>
    <xf numFmtId="14" fontId="0" fillId="0" borderId="2" xfId="0" applyNumberFormat="1" applyBorder="1" applyAlignment="1">
      <alignment horizontal="left" indent="1"/>
    </xf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0" xfId="0" applyFill="1"/>
    <xf numFmtId="0" fontId="0" fillId="8" borderId="0" xfId="0" applyFill="1"/>
    <xf numFmtId="170" fontId="0" fillId="0" borderId="0" xfId="0" applyNumberFormat="1"/>
    <xf numFmtId="0" fontId="2" fillId="9" borderId="2" xfId="0" applyFont="1" applyFill="1" applyBorder="1"/>
    <xf numFmtId="15" fontId="0" fillId="0" borderId="2" xfId="0" applyNumberFormat="1" applyBorder="1"/>
    <xf numFmtId="168" fontId="0" fillId="0" borderId="2" xfId="0" applyNumberFormat="1" applyBorder="1"/>
    <xf numFmtId="171" fontId="0" fillId="0" borderId="2" xfId="0" applyNumberFormat="1" applyBorder="1"/>
    <xf numFmtId="9" fontId="0" fillId="0" borderId="2" xfId="0" applyNumberFormat="1" applyBorder="1"/>
    <xf numFmtId="9" fontId="0" fillId="0" borderId="2" xfId="4" applyFont="1" applyBorder="1"/>
    <xf numFmtId="9" fontId="0" fillId="0" borderId="2" xfId="4" applyNumberFormat="1" applyFont="1" applyBorder="1"/>
    <xf numFmtId="168" fontId="2" fillId="9" borderId="2" xfId="0" applyNumberFormat="1" applyFont="1" applyFill="1" applyBorder="1"/>
    <xf numFmtId="1" fontId="2" fillId="9" borderId="2" xfId="0" applyNumberFormat="1" applyFont="1" applyFill="1" applyBorder="1"/>
    <xf numFmtId="9" fontId="2" fillId="9" borderId="2" xfId="4" applyFont="1" applyFill="1" applyBorder="1"/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2" fillId="9" borderId="0" xfId="0" applyFont="1" applyFill="1" applyBorder="1"/>
    <xf numFmtId="168" fontId="2" fillId="9" borderId="0" xfId="0" applyNumberFormat="1" applyFont="1" applyFill="1"/>
    <xf numFmtId="2" fontId="2" fillId="9" borderId="0" xfId="4" applyNumberFormat="1" applyFont="1" applyFill="1"/>
    <xf numFmtId="1" fontId="2" fillId="9" borderId="0" xfId="0" applyNumberFormat="1" applyFont="1" applyFill="1"/>
    <xf numFmtId="9" fontId="2" fillId="9" borderId="0" xfId="4" applyFont="1" applyFill="1"/>
    <xf numFmtId="0" fontId="2" fillId="3" borderId="0" xfId="0" applyFont="1" applyFill="1"/>
    <xf numFmtId="0" fontId="2" fillId="9" borderId="0" xfId="0" applyFont="1" applyFill="1"/>
    <xf numFmtId="2" fontId="2" fillId="9" borderId="0" xfId="0" applyNumberFormat="1" applyFont="1" applyFill="1"/>
    <xf numFmtId="2" fontId="2" fillId="9" borderId="2" xfId="0" applyNumberFormat="1" applyFont="1" applyFill="1" applyBorder="1"/>
    <xf numFmtId="9" fontId="2" fillId="9" borderId="2" xfId="0" applyNumberFormat="1" applyFont="1" applyFill="1" applyBorder="1"/>
    <xf numFmtId="0" fontId="0" fillId="9" borderId="2" xfId="0" applyFill="1" applyBorder="1"/>
    <xf numFmtId="15" fontId="0" fillId="9" borderId="2" xfId="0" applyNumberFormat="1" applyFill="1" applyBorder="1"/>
    <xf numFmtId="15" fontId="0" fillId="0" borderId="0" xfId="0" applyNumberFormat="1" applyAlignment="1">
      <alignment horizontal="left"/>
    </xf>
    <xf numFmtId="15" fontId="2" fillId="9" borderId="2" xfId="0" applyNumberFormat="1" applyFont="1" applyFill="1" applyBorder="1"/>
    <xf numFmtId="2" fontId="0" fillId="9" borderId="2" xfId="0" applyNumberFormat="1" applyFill="1" applyBorder="1"/>
    <xf numFmtId="0" fontId="0" fillId="9" borderId="0" xfId="0" applyFill="1"/>
  </cellXfs>
  <cellStyles count="5">
    <cellStyle name="Comma" xfId="1" builtinId="3"/>
    <cellStyle name="Currency" xfId="3" builtinId="4"/>
    <cellStyle name="Normal" xfId="0" builtinId="0"/>
    <cellStyle name="Normal 2" xfId="2"/>
    <cellStyle name="Percent" xfId="4" builtinId="5"/>
  </cellStyles>
  <dxfs count="1">
    <dxf>
      <numFmt numFmtId="19" formatCode="dd/mm/yyyy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(Autosaved).xlsx]Pivot!Monthly Profile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</c:f>
              <c:strCache>
                <c:ptCount val="1"/>
                <c:pt idx="0">
                  <c:v>Sum of Sales Value (in INR Lakhs)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Pivot!$A$6:$A$10</c:f>
              <c:strCache>
                <c:ptCount val="4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</c:strCache>
            </c:strRef>
          </c:cat>
          <c:val>
            <c:numRef>
              <c:f>Pivot!$B$6:$B$10</c:f>
              <c:numCache>
                <c:formatCode>General</c:formatCode>
                <c:ptCount val="4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</c:numCache>
            </c:numRef>
          </c:val>
        </c:ser>
        <c:ser>
          <c:idx val="1"/>
          <c:order val="1"/>
          <c:tx>
            <c:strRef>
              <c:f>Pivot!$C$5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Pivot!$A$6:$A$10</c:f>
              <c:strCache>
                <c:ptCount val="4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</c:strCache>
            </c:strRef>
          </c:cat>
          <c:val>
            <c:numRef>
              <c:f>Pivot!$C$6:$C$10</c:f>
              <c:numCache>
                <c:formatCode>General</c:formatCode>
                <c:ptCount val="4"/>
                <c:pt idx="0">
                  <c:v>85427</c:v>
                </c:pt>
                <c:pt idx="1">
                  <c:v>67732</c:v>
                </c:pt>
                <c:pt idx="2">
                  <c:v>76393</c:v>
                </c:pt>
                <c:pt idx="3">
                  <c:v>80229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68488"/>
        <c:axId val="275068880"/>
      </c:barChart>
      <c:catAx>
        <c:axId val="27506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68880"/>
        <c:crosses val="autoZero"/>
        <c:auto val="1"/>
        <c:lblAlgn val="ctr"/>
        <c:lblOffset val="100"/>
        <c:noMultiLvlLbl val="0"/>
      </c:catAx>
      <c:valAx>
        <c:axId val="2750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6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SubChannels</a:t>
            </a:r>
            <a:r>
              <a:rPr lang="en-US" baseline="0"/>
              <a:t> Sales In LKs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Analsis!$Q$7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Analsis!$P$8:$P$18</c:f>
              <c:strCache>
                <c:ptCount val="11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D2C</c:v>
                </c:pt>
                <c:pt idx="4">
                  <c:v>Offline - Central</c:v>
                </c:pt>
                <c:pt idx="5">
                  <c:v>Offline - East</c:v>
                </c:pt>
                <c:pt idx="6">
                  <c:v>Offline - MT</c:v>
                </c:pt>
                <c:pt idx="7">
                  <c:v>Offline -North</c:v>
                </c:pt>
                <c:pt idx="8">
                  <c:v>Offline - South</c:v>
                </c:pt>
                <c:pt idx="9">
                  <c:v>Offline - West</c:v>
                </c:pt>
                <c:pt idx="10">
                  <c:v>GOQII</c:v>
                </c:pt>
              </c:strCache>
            </c:strRef>
          </c:cat>
          <c:val>
            <c:numRef>
              <c:f>Analsis!$Q$8:$Q$18</c:f>
              <c:numCache>
                <c:formatCode>"₹"\ #,##0.00</c:formatCode>
                <c:ptCount val="11"/>
                <c:pt idx="0">
                  <c:v>356.06803710000014</c:v>
                </c:pt>
                <c:pt idx="1">
                  <c:v>12.075230200000002</c:v>
                </c:pt>
                <c:pt idx="2">
                  <c:v>37.704149999999998</c:v>
                </c:pt>
                <c:pt idx="3">
                  <c:v>280.4753813633406</c:v>
                </c:pt>
                <c:pt idx="4">
                  <c:v>3.7533266000000003</c:v>
                </c:pt>
                <c:pt idx="5">
                  <c:v>8.1114578000000019</c:v>
                </c:pt>
                <c:pt idx="6">
                  <c:v>62.579463399999995</c:v>
                </c:pt>
                <c:pt idx="7">
                  <c:v>12.065635500000001</c:v>
                </c:pt>
                <c:pt idx="8">
                  <c:v>34.463965799999997</c:v>
                </c:pt>
                <c:pt idx="9">
                  <c:v>64.414265599999993</c:v>
                </c:pt>
                <c:pt idx="10">
                  <c:v>5.8259999999999996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6714976"/>
        <c:axId val="326711448"/>
      </c:barChart>
      <c:catAx>
        <c:axId val="32671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Sub-Channels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1448"/>
        <c:crosses val="autoZero"/>
        <c:auto val="1"/>
        <c:lblAlgn val="ctr"/>
        <c:lblOffset val="100"/>
        <c:noMultiLvlLbl val="0"/>
      </c:catAx>
      <c:valAx>
        <c:axId val="326711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SubChannels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Subchannels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Analsis!$R$7</c:f>
              <c:strCache>
                <c:ptCount val="1"/>
                <c:pt idx="0">
                  <c:v>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Analsis!$P$8:$P$18</c:f>
              <c:strCache>
                <c:ptCount val="11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D2C</c:v>
                </c:pt>
                <c:pt idx="4">
                  <c:v>Offline - Central</c:v>
                </c:pt>
                <c:pt idx="5">
                  <c:v>Offline - East</c:v>
                </c:pt>
                <c:pt idx="6">
                  <c:v>Offline - MT</c:v>
                </c:pt>
                <c:pt idx="7">
                  <c:v>Offline -North</c:v>
                </c:pt>
                <c:pt idx="8">
                  <c:v>Offline - South</c:v>
                </c:pt>
                <c:pt idx="9">
                  <c:v>Offline - West</c:v>
                </c:pt>
                <c:pt idx="10">
                  <c:v>GOQII</c:v>
                </c:pt>
              </c:strCache>
            </c:strRef>
          </c:cat>
          <c:val>
            <c:numRef>
              <c:f>Analsis!$R$8:$R$18</c:f>
              <c:numCache>
                <c:formatCode>General</c:formatCode>
                <c:ptCount val="11"/>
                <c:pt idx="0">
                  <c:v>98.13</c:v>
                </c:pt>
                <c:pt idx="1">
                  <c:v>7.34</c:v>
                </c:pt>
                <c:pt idx="2">
                  <c:v>11.121</c:v>
                </c:pt>
                <c:pt idx="3">
                  <c:v>42.78</c:v>
                </c:pt>
                <c:pt idx="4">
                  <c:v>6.0960000000000001</c:v>
                </c:pt>
                <c:pt idx="5">
                  <c:v>8.452</c:v>
                </c:pt>
                <c:pt idx="6">
                  <c:v>40.219000000000001</c:v>
                </c:pt>
                <c:pt idx="7">
                  <c:v>11.709</c:v>
                </c:pt>
                <c:pt idx="8">
                  <c:v>30.864000000000001</c:v>
                </c:pt>
                <c:pt idx="9">
                  <c:v>52.098999999999997</c:v>
                </c:pt>
                <c:pt idx="10">
                  <c:v>0.97099999999999997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7147912"/>
        <c:axId val="327147520"/>
      </c:barChart>
      <c:catAx>
        <c:axId val="327147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7520"/>
        <c:crosses val="autoZero"/>
        <c:auto val="1"/>
        <c:lblAlgn val="ctr"/>
        <c:lblOffset val="100"/>
        <c:noMultiLvlLbl val="0"/>
      </c:catAx>
      <c:valAx>
        <c:axId val="3271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Analsis!$I$7</c:f>
              <c:strCache>
                <c:ptCount val="1"/>
                <c:pt idx="0">
                  <c:v>Sales Lakhs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Analsis!$I$8:$I$12</c:f>
              <c:numCache>
                <c:formatCode>"₹"\ #,##0.00</c:formatCode>
                <c:ptCount val="5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  <c:pt idx="4">
                  <c:v>877.53691336334055</c:v>
                </c:pt>
              </c:numCache>
            </c:numRef>
          </c:val>
        </c:ser>
        <c:ser>
          <c:idx val="1"/>
          <c:order val="1"/>
          <c:tx>
            <c:strRef>
              <c:f>Analsis!$J$7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Analsis!$J$8:$J$12</c:f>
              <c:numCache>
                <c:formatCode>0.0</c:formatCode>
                <c:ptCount val="5"/>
                <c:pt idx="0">
                  <c:v>85.427000000000007</c:v>
                </c:pt>
                <c:pt idx="1">
                  <c:v>67.731999999999999</c:v>
                </c:pt>
                <c:pt idx="2">
                  <c:v>76.393000000000001</c:v>
                </c:pt>
                <c:pt idx="3">
                  <c:v>80.228999999999999</c:v>
                </c:pt>
                <c:pt idx="4" formatCode="&quot;₹&quot;\ #,##0.00">
                  <c:v>309.78100000000001</c:v>
                </c:pt>
              </c:numCache>
            </c:numRef>
          </c:val>
        </c:ser>
        <c:ser>
          <c:idx val="2"/>
          <c:order val="2"/>
          <c:tx>
            <c:strRef>
              <c:f>Analsis!$K$7</c:f>
              <c:strCache>
                <c:ptCount val="1"/>
                <c:pt idx="0">
                  <c:v>Count Of Product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Analsis!$K$8:$K$12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21</c:v>
                </c:pt>
                <c:pt idx="3">
                  <c:v>24</c:v>
                </c:pt>
                <c:pt idx="4" formatCode="0">
                  <c:v>92</c:v>
                </c:pt>
              </c:numCache>
            </c:numRef>
          </c:val>
        </c:ser>
        <c:ser>
          <c:idx val="3"/>
          <c:order val="3"/>
          <c:tx>
            <c:strRef>
              <c:f>Analsis!$L$7</c:f>
              <c:strCache>
                <c:ptCount val="1"/>
                <c:pt idx="0">
                  <c:v>Growth%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Analsis!$L$8:$L$12</c:f>
              <c:numCache>
                <c:formatCode>0%</c:formatCode>
                <c:ptCount val="5"/>
                <c:pt idx="0">
                  <c:v>0</c:v>
                </c:pt>
                <c:pt idx="1">
                  <c:v>8.3885681602252751E-2</c:v>
                </c:pt>
                <c:pt idx="2">
                  <c:v>4.5674623745585808E-3</c:v>
                </c:pt>
                <c:pt idx="3">
                  <c:v>0.16915126596939628</c:v>
                </c:pt>
                <c:pt idx="4">
                  <c:v>0.25760440994620759</c:v>
                </c:pt>
              </c:numCache>
            </c:numRef>
          </c:val>
        </c:ser>
        <c:ser>
          <c:idx val="4"/>
          <c:order val="4"/>
          <c:tx>
            <c:strRef>
              <c:f>Analsis!$M$7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Analsis!$H$8:$H$12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Analsis!$M$8:$M$12</c:f>
              <c:numCache>
                <c:formatCode>0%</c:formatCode>
                <c:ptCount val="5"/>
                <c:pt idx="0">
                  <c:v>0.22493461903895107</c:v>
                </c:pt>
                <c:pt idx="1">
                  <c:v>0.24380341287297652</c:v>
                </c:pt>
                <c:pt idx="2">
                  <c:v>0.24491697578806282</c:v>
                </c:pt>
                <c:pt idx="3">
                  <c:v>0.28634499230000965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Analsis!$I$34</c:f>
              <c:strCache>
                <c:ptCount val="1"/>
                <c:pt idx="0">
                  <c:v>Marketplace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Analsis!$H$35:$H$39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Analsis!$I$35:$I$39</c:f>
              <c:numCache>
                <c:formatCode>0.00</c:formatCode>
                <c:ptCount val="5"/>
                <c:pt idx="0">
                  <c:v>21.221</c:v>
                </c:pt>
                <c:pt idx="1">
                  <c:v>32.625</c:v>
                </c:pt>
                <c:pt idx="2">
                  <c:v>29.425000000000001</c:v>
                </c:pt>
                <c:pt idx="3">
                  <c:v>34.290999999999997</c:v>
                </c:pt>
                <c:pt idx="4">
                  <c:v>117.562</c:v>
                </c:pt>
              </c:numCache>
            </c:numRef>
          </c:val>
        </c:ser>
        <c:ser>
          <c:idx val="1"/>
          <c:order val="1"/>
          <c:tx>
            <c:strRef>
              <c:f>Analsis!$J$34</c:f>
              <c:strCache>
                <c:ptCount val="1"/>
                <c:pt idx="0">
                  <c:v>D2C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Analsis!$H$35:$H$39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Analsis!$J$35:$J$39</c:f>
              <c:numCache>
                <c:formatCode>0.00</c:formatCode>
                <c:ptCount val="5"/>
                <c:pt idx="0">
                  <c:v>6.548</c:v>
                </c:pt>
                <c:pt idx="1">
                  <c:v>7.98</c:v>
                </c:pt>
                <c:pt idx="2">
                  <c:v>12.695</c:v>
                </c:pt>
                <c:pt idx="3">
                  <c:v>15.557</c:v>
                </c:pt>
                <c:pt idx="4">
                  <c:v>42.78</c:v>
                </c:pt>
              </c:numCache>
            </c:numRef>
          </c:val>
        </c:ser>
        <c:ser>
          <c:idx val="2"/>
          <c:order val="2"/>
          <c:tx>
            <c:strRef>
              <c:f>Analsis!$K$34</c:f>
              <c:strCache>
                <c:ptCount val="1"/>
                <c:pt idx="0">
                  <c:v>Offline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Analsis!$H$35:$H$39</c:f>
              <c:strCache>
                <c:ptCount val="5"/>
                <c:pt idx="0">
                  <c:v>01-Dec-20</c:v>
                </c:pt>
                <c:pt idx="1">
                  <c:v>01-Jan-21</c:v>
                </c:pt>
                <c:pt idx="2">
                  <c:v>01-Feb-21</c:v>
                </c:pt>
                <c:pt idx="3">
                  <c:v>01-Mar-21</c:v>
                </c:pt>
                <c:pt idx="4">
                  <c:v>Total</c:v>
                </c:pt>
              </c:strCache>
            </c:strRef>
          </c:cat>
          <c:val>
            <c:numRef>
              <c:f>Analsis!$K$35:$K$39</c:f>
              <c:numCache>
                <c:formatCode>0.00</c:formatCode>
                <c:ptCount val="5"/>
                <c:pt idx="0">
                  <c:v>57.658000000000001</c:v>
                </c:pt>
                <c:pt idx="1">
                  <c:v>27.126999999999999</c:v>
                </c:pt>
                <c:pt idx="2">
                  <c:v>34.273000000000003</c:v>
                </c:pt>
                <c:pt idx="3">
                  <c:v>30.381</c:v>
                </c:pt>
                <c:pt idx="4">
                  <c:v>149.43899999999999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148304"/>
        <c:axId val="327141248"/>
      </c:barChart>
      <c:catAx>
        <c:axId val="3271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1248"/>
        <c:crosses val="autoZero"/>
        <c:auto val="1"/>
        <c:lblAlgn val="ctr"/>
        <c:lblOffset val="100"/>
        <c:noMultiLvlLbl val="0"/>
      </c:catAx>
      <c:valAx>
        <c:axId val="3271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1692913385827"/>
          <c:y val="0.19486111111111112"/>
          <c:w val="0.8402386264216973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Analsis!$I$7</c:f>
              <c:strCache>
                <c:ptCount val="1"/>
                <c:pt idx="0">
                  <c:v>Sales Lakhs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Analsis!$I$8:$I$11</c:f>
              <c:numCache>
                <c:formatCode>"₹"\ #,##0.00</c:formatCode>
                <c:ptCount val="4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45168"/>
        <c:axId val="327144384"/>
      </c:lineChart>
      <c:dateAx>
        <c:axId val="3271451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4384"/>
        <c:crosses val="autoZero"/>
        <c:auto val="1"/>
        <c:lblOffset val="100"/>
        <c:baseTimeUnit val="months"/>
      </c:dateAx>
      <c:valAx>
        <c:axId val="327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Analsis!$M$7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Analsis!$M$8:$M$11</c:f>
              <c:numCache>
                <c:formatCode>0%</c:formatCode>
                <c:ptCount val="4"/>
                <c:pt idx="0">
                  <c:v>0.22493461903895107</c:v>
                </c:pt>
                <c:pt idx="1">
                  <c:v>0.24380341287297652</c:v>
                </c:pt>
                <c:pt idx="2">
                  <c:v>0.24491697578806282</c:v>
                </c:pt>
                <c:pt idx="3">
                  <c:v>0.28634499230000965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Analsis!$I$18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Analsis!$H$19:$H$21</c:f>
              <c:strCache>
                <c:ptCount val="3"/>
                <c:pt idx="0">
                  <c:v>Marketplace</c:v>
                </c:pt>
                <c:pt idx="1">
                  <c:v>D2C</c:v>
                </c:pt>
                <c:pt idx="2">
                  <c:v>Offline</c:v>
                </c:pt>
              </c:strCache>
            </c:strRef>
          </c:cat>
          <c:val>
            <c:numRef>
              <c:f>Analsis!$I$19:$I$21</c:f>
              <c:numCache>
                <c:formatCode>"₹"\ #,##0.00</c:formatCode>
                <c:ptCount val="3"/>
                <c:pt idx="0">
                  <c:v>411.67341729999998</c:v>
                </c:pt>
                <c:pt idx="1">
                  <c:v>280.4753813633406</c:v>
                </c:pt>
                <c:pt idx="2">
                  <c:v>185.38811469999993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6344"/>
        <c:axId val="327141640"/>
      </c:barChart>
      <c:catAx>
        <c:axId val="32714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1640"/>
        <c:crosses val="autoZero"/>
        <c:auto val="1"/>
        <c:lblAlgn val="ctr"/>
        <c:lblOffset val="100"/>
        <c:noMultiLvlLbl val="0"/>
      </c:catAx>
      <c:valAx>
        <c:axId val="3271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(Autosaved).xlsx]Pivot Table!PivotTable2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Table'!$G$4:$G$7</c:f>
              <c:strCache>
                <c:ptCount val="3"/>
                <c:pt idx="0">
                  <c:v>Functional nutrition</c:v>
                </c:pt>
                <c:pt idx="1">
                  <c:v>Gourmet Nutrition</c:v>
                </c:pt>
                <c:pt idx="2">
                  <c:v>Juices</c:v>
                </c:pt>
              </c:strCache>
            </c:strRef>
          </c:cat>
          <c:val>
            <c:numRef>
              <c:f>'Pivot Table'!$H$4:$H$7</c:f>
              <c:numCache>
                <c:formatCode>General</c:formatCode>
                <c:ptCount val="3"/>
                <c:pt idx="0">
                  <c:v>42354</c:v>
                </c:pt>
                <c:pt idx="1">
                  <c:v>89279</c:v>
                </c:pt>
                <c:pt idx="2">
                  <c:v>178148</c:v>
                </c:pt>
              </c:numCache>
            </c:numRef>
          </c:val>
        </c:ser>
        <c:ser>
          <c:idx val="1"/>
          <c:order val="1"/>
          <c:tx>
            <c:strRef>
              <c:f>'Pivot Table'!$I$3</c:f>
              <c:strCache>
                <c:ptCount val="1"/>
                <c:pt idx="0">
                  <c:v>Sum of Sales Value (in INR Lakhs)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Table'!$G$4:$G$7</c:f>
              <c:strCache>
                <c:ptCount val="3"/>
                <c:pt idx="0">
                  <c:v>Functional nutrition</c:v>
                </c:pt>
                <c:pt idx="1">
                  <c:v>Gourmet Nutrition</c:v>
                </c:pt>
                <c:pt idx="2">
                  <c:v>Juices</c:v>
                </c:pt>
              </c:strCache>
            </c:strRef>
          </c:cat>
          <c:val>
            <c:numRef>
              <c:f>'Pivot Table'!$I$4:$I$7</c:f>
              <c:numCache>
                <c:formatCode>General</c:formatCode>
                <c:ptCount val="3"/>
                <c:pt idx="0">
                  <c:v>216.10785831430067</c:v>
                </c:pt>
                <c:pt idx="1">
                  <c:v>98.365157699999983</c:v>
                </c:pt>
                <c:pt idx="2">
                  <c:v>563.06389734903985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89272"/>
        <c:axId val="210090056"/>
      </c:barChart>
      <c:catAx>
        <c:axId val="21008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0056"/>
        <c:crosses val="autoZero"/>
        <c:auto val="1"/>
        <c:lblAlgn val="ctr"/>
        <c:lblOffset val="100"/>
        <c:noMultiLvlLbl val="0"/>
      </c:catAx>
      <c:valAx>
        <c:axId val="210090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Product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Analsis!$I$7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Analsis!$I$8:$I$11</c:f>
              <c:numCache>
                <c:formatCode>"₹"\ #,##0.00</c:formatCode>
                <c:ptCount val="4"/>
                <c:pt idx="0">
                  <c:v>197.38843130000001</c:v>
                </c:pt>
                <c:pt idx="1">
                  <c:v>213.94649439999995</c:v>
                </c:pt>
                <c:pt idx="2">
                  <c:v>214.92368696334066</c:v>
                </c:pt>
                <c:pt idx="3">
                  <c:v>251.27830069999996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15760"/>
        <c:axId val="326716152"/>
      </c:barChart>
      <c:dateAx>
        <c:axId val="32671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6152"/>
        <c:crosses val="autoZero"/>
        <c:auto val="1"/>
        <c:lblOffset val="100"/>
        <c:baseTimeUnit val="months"/>
      </c:dateAx>
      <c:valAx>
        <c:axId val="326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in LKs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Product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Analsis!$J$7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Analsis!$J$8:$J$11</c:f>
              <c:numCache>
                <c:formatCode>0.0</c:formatCode>
                <c:ptCount val="4"/>
                <c:pt idx="0">
                  <c:v>85.427000000000007</c:v>
                </c:pt>
                <c:pt idx="1">
                  <c:v>67.731999999999999</c:v>
                </c:pt>
                <c:pt idx="2">
                  <c:v>76.393000000000001</c:v>
                </c:pt>
                <c:pt idx="3">
                  <c:v>80.228999999999999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15368"/>
        <c:axId val="326710664"/>
      </c:barChart>
      <c:dateAx>
        <c:axId val="32671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0664"/>
        <c:crosses val="autoZero"/>
        <c:auto val="1"/>
        <c:lblOffset val="100"/>
        <c:baseTimeUnit val="months"/>
      </c:dateAx>
      <c:valAx>
        <c:axId val="3267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Analsis!$L$7</c:f>
              <c:strCache>
                <c:ptCount val="1"/>
                <c:pt idx="0">
                  <c:v>Growth%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Analsis!$L$8:$L$11</c:f>
              <c:numCache>
                <c:formatCode>0%</c:formatCode>
                <c:ptCount val="4"/>
                <c:pt idx="0">
                  <c:v>0</c:v>
                </c:pt>
                <c:pt idx="1">
                  <c:v>8.3885681602252751E-2</c:v>
                </c:pt>
                <c:pt idx="2">
                  <c:v>4.5674623745585808E-3</c:v>
                </c:pt>
                <c:pt idx="3">
                  <c:v>0.16915126596939628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709880"/>
        <c:axId val="326716544"/>
      </c:lineChart>
      <c:dateAx>
        <c:axId val="32670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6544"/>
        <c:crosses val="autoZero"/>
        <c:auto val="1"/>
        <c:lblOffset val="100"/>
        <c:baseTimeUnit val="months"/>
      </c:dateAx>
      <c:valAx>
        <c:axId val="3267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Percentage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0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Sales Contribution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Analsis!$M$7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Analsis!$H$8:$H$11</c:f>
              <c:numCache>
                <c:formatCode>d\-mmm\-yy</c:formatCode>
                <c:ptCount val="4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</c:numCache>
            </c:numRef>
          </c:cat>
          <c:val>
            <c:numRef>
              <c:f>Analsis!$M$8:$M$11</c:f>
              <c:numCache>
                <c:formatCode>0%</c:formatCode>
                <c:ptCount val="4"/>
                <c:pt idx="0">
                  <c:v>0.22493461903895107</c:v>
                </c:pt>
                <c:pt idx="1">
                  <c:v>0.24380341287297652</c:v>
                </c:pt>
                <c:pt idx="2">
                  <c:v>0.24491697578806282</c:v>
                </c:pt>
                <c:pt idx="3">
                  <c:v>0.28634499230000965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Sales in Lks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Analsis!$I$18</c:f>
              <c:strCache>
                <c:ptCount val="1"/>
                <c:pt idx="0">
                  <c:v>Sales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Analsis!$H$19:$H$21</c:f>
              <c:strCache>
                <c:ptCount val="3"/>
                <c:pt idx="0">
                  <c:v>Marketplace</c:v>
                </c:pt>
                <c:pt idx="1">
                  <c:v>D2C</c:v>
                </c:pt>
                <c:pt idx="2">
                  <c:v>Offline</c:v>
                </c:pt>
              </c:strCache>
            </c:strRef>
          </c:cat>
          <c:val>
            <c:numRef>
              <c:f>Analsis!$I$19:$I$21</c:f>
              <c:numCache>
                <c:formatCode>"₹"\ #,##0.00</c:formatCode>
                <c:ptCount val="3"/>
                <c:pt idx="0">
                  <c:v>411.67341729999998</c:v>
                </c:pt>
                <c:pt idx="1">
                  <c:v>280.4753813633406</c:v>
                </c:pt>
                <c:pt idx="2">
                  <c:v>185.38811469999993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11840"/>
        <c:axId val="326713016"/>
      </c:barChart>
      <c:catAx>
        <c:axId val="32671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3016"/>
        <c:crosses val="autoZero"/>
        <c:auto val="1"/>
        <c:lblAlgn val="ctr"/>
        <c:lblOffset val="100"/>
        <c:noMultiLvlLbl val="0"/>
      </c:catAx>
      <c:valAx>
        <c:axId val="3267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Channel</a:t>
                </a:r>
                <a:r>
                  <a:rPr lang="en-IN" baseline="0"/>
                  <a:t> Sales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Analsis!$J$18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Analsis!$H$19:$H$21</c:f>
              <c:strCache>
                <c:ptCount val="3"/>
                <c:pt idx="0">
                  <c:v>Marketplace</c:v>
                </c:pt>
                <c:pt idx="1">
                  <c:v>D2C</c:v>
                </c:pt>
                <c:pt idx="2">
                  <c:v>Offline</c:v>
                </c:pt>
              </c:strCache>
            </c:strRef>
          </c:cat>
          <c:val>
            <c:numRef>
              <c:f>Analsis!$J$19:$J$21</c:f>
              <c:numCache>
                <c:formatCode>0.00</c:formatCode>
                <c:ptCount val="3"/>
                <c:pt idx="0">
                  <c:v>117.562</c:v>
                </c:pt>
                <c:pt idx="1">
                  <c:v>42.78</c:v>
                </c:pt>
                <c:pt idx="2">
                  <c:v>149.43899999999999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6712232"/>
        <c:axId val="326713408"/>
      </c:barChart>
      <c:catAx>
        <c:axId val="32671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3408"/>
        <c:crosses val="autoZero"/>
        <c:auto val="1"/>
        <c:lblAlgn val="ctr"/>
        <c:lblOffset val="100"/>
        <c:noMultiLvlLbl val="0"/>
      </c:catAx>
      <c:valAx>
        <c:axId val="326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Sales 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Analsis!$L$18</c:f>
              <c:strCache>
                <c:ptCount val="1"/>
                <c:pt idx="0">
                  <c:v>Sales Contribution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Analsis!$H$19:$H$21</c:f>
              <c:strCache>
                <c:ptCount val="3"/>
                <c:pt idx="0">
                  <c:v>Marketplace</c:v>
                </c:pt>
                <c:pt idx="1">
                  <c:v>D2C</c:v>
                </c:pt>
                <c:pt idx="2">
                  <c:v>Offline</c:v>
                </c:pt>
              </c:strCache>
            </c:strRef>
          </c:cat>
          <c:val>
            <c:numRef>
              <c:f>Analsis!$L$19:$L$21</c:f>
              <c:numCache>
                <c:formatCode>0%</c:formatCode>
                <c:ptCount val="3"/>
                <c:pt idx="0">
                  <c:v>0.46912376109875198</c:v>
                </c:pt>
                <c:pt idx="1">
                  <c:v>0.31961661907572764</c:v>
                </c:pt>
                <c:pt idx="2">
                  <c:v>0.21125961982552038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61912</xdr:rowOff>
    </xdr:from>
    <xdr:to>
      <xdr:col>10</xdr:col>
      <xdr:colOff>171450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123826</xdr:colOff>
      <xdr:row>5</xdr:row>
      <xdr:rowOff>171450</xdr:rowOff>
    </xdr:from>
    <xdr:to>
      <xdr:col>12</xdr:col>
      <xdr:colOff>85726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5</xdr:col>
      <xdr:colOff>1171574</xdr:colOff>
      <xdr:row>23</xdr:row>
      <xdr:rowOff>42240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19050</xdr:rowOff>
    </xdr:from>
    <xdr:to>
      <xdr:col>5</xdr:col>
      <xdr:colOff>1095375</xdr:colOff>
      <xdr:row>40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1162050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5</xdr:col>
      <xdr:colOff>1162050</xdr:colOff>
      <xdr:row>73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3</xdr:row>
      <xdr:rowOff>114300</xdr:rowOff>
    </xdr:from>
    <xdr:to>
      <xdr:col>14</xdr:col>
      <xdr:colOff>542925</xdr:colOff>
      <xdr:row>18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19</xdr:row>
      <xdr:rowOff>171450</xdr:rowOff>
    </xdr:from>
    <xdr:to>
      <xdr:col>15</xdr:col>
      <xdr:colOff>28575</xdr:colOff>
      <xdr:row>34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36</xdr:row>
      <xdr:rowOff>0</xdr:rowOff>
    </xdr:from>
    <xdr:to>
      <xdr:col>15</xdr:col>
      <xdr:colOff>9524</xdr:colOff>
      <xdr:row>50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23</xdr:col>
      <xdr:colOff>304800</xdr:colOff>
      <xdr:row>18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23</xdr:col>
      <xdr:colOff>304800</xdr:colOff>
      <xdr:row>34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828259</xdr:colOff>
      <xdr:row>0</xdr:row>
      <xdr:rowOff>156540</xdr:rowOff>
    </xdr:from>
    <xdr:to>
      <xdr:col>6</xdr:col>
      <xdr:colOff>356150</xdr:colOff>
      <xdr:row>15</xdr:row>
      <xdr:rowOff>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596349</xdr:colOff>
      <xdr:row>40</xdr:row>
      <xdr:rowOff>24018</xdr:rowOff>
    </xdr:from>
    <xdr:to>
      <xdr:col>11</xdr:col>
      <xdr:colOff>273327</xdr:colOff>
      <xdr:row>54</xdr:row>
      <xdr:rowOff>100218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455544</xdr:colOff>
      <xdr:row>55</xdr:row>
      <xdr:rowOff>48869</xdr:rowOff>
    </xdr:from>
    <xdr:to>
      <xdr:col>11</xdr:col>
      <xdr:colOff>132522</xdr:colOff>
      <xdr:row>69</xdr:row>
      <xdr:rowOff>125069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231914</xdr:colOff>
      <xdr:row>21</xdr:row>
      <xdr:rowOff>24020</xdr:rowOff>
    </xdr:from>
    <xdr:to>
      <xdr:col>5</xdr:col>
      <xdr:colOff>372718</xdr:colOff>
      <xdr:row>35</xdr:row>
      <xdr:rowOff>100220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8282</xdr:colOff>
      <xdr:row>0</xdr:row>
      <xdr:rowOff>8282</xdr:rowOff>
    </xdr:from>
    <xdr:to>
      <xdr:col>13</xdr:col>
      <xdr:colOff>563216</xdr:colOff>
      <xdr:row>10</xdr:row>
      <xdr:rowOff>8283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12.927749074071" createdVersion="5" refreshedVersion="5" minRefreshableVersion="3" recordCount="224">
  <cacheSource type="worksheet">
    <worksheetSource ref="A1:G225" sheet="Raw data"/>
  </cacheSource>
  <cacheFields count="7">
    <cacheField name="Month" numFmtId="15">
      <sharedItems containsSemiMixedTypes="0" containsNonDate="0" containsDate="1" containsString="0" minDate="2020-12-01T00:00:00" maxDate="2021-03-02T00:00:00" count="4">
        <d v="2020-12-01T00:00:00"/>
        <d v="2021-01-01T00:00:00"/>
        <d v="2021-02-01T00:00:00"/>
        <d v="2021-03-01T00:00:00"/>
      </sharedItems>
    </cacheField>
    <cacheField name="Channel" numFmtId="0">
      <sharedItems count="3">
        <s v="Marketplace"/>
        <s v="D2C"/>
        <s v="Offline"/>
      </sharedItems>
    </cacheField>
    <cacheField name="Sub-Channels" numFmtId="0">
      <sharedItems/>
    </cacheField>
    <cacheField name="Product Name" numFmtId="0">
      <sharedItems count="30">
        <s v="ALOE + AMLA JUICE 1 L"/>
        <s v="ALOE + GARCINIA JUICE 1 L"/>
        <s v="ALOE VERA JUICE 1 L"/>
        <s v="ALOE VERA SKIN GEL 500 GM"/>
        <s v="NEEM JUICE 1 L"/>
        <s v="NONI JUICE 1 L"/>
        <s v="SLIM SHAKE - CHOCOLATE 500 GM"/>
        <s v="SLIM SHAKE - MANGO 500 GM"/>
        <s v="TRIPHALA JUICE 1 L"/>
        <s v="TULSI GILOY JUICE 1 L"/>
        <s v="WHEAT GRASS JUICE 1 L"/>
        <s v="AMLA JUICE 1 L"/>
        <s v="GET SLIM JUICE 1 L"/>
        <s v="HIMALAYA OIL 20 GRMS"/>
        <s v="VIGOR MAX JUICE 1 L"/>
        <s v="ORGANIC JAGGERY POWDER 500 GRAMS"/>
        <s v="ALOE VERA SKIN GEL 150 GM"/>
        <s v="APPLE CIDER VINEGAR500 grams"/>
        <s v="VIRGIN COCONUT OIL 250 ML"/>
        <s v="KARELA JAMUN JUICE 1 L"/>
        <s v="MASALA SUPERGRAIN MIX ENERGY 380 GM ( OFFLINE)"/>
        <s v="MASALA SUPERGRAIN MIX IMMUNITY 400 GM ( OFFLINE)"/>
        <s v="AMLA + GILOY JUICE 1 L"/>
        <s v="DIA FREE JUICE 1 L"/>
        <s v="IMMUNE CARE JUICE 1 L"/>
        <s v="MASALA SUPERGRAIN MIX IMMUNITY 400 GM"/>
        <s v="ORGANIC GULKAND 300grams"/>
        <s v="VEGAN PROTEIN - CHOCOLATE 1 KG"/>
        <s v="GET SLIM CAPSULES 60 CAPS"/>
        <s v="RAW HONEY ( MADHU) 500 GRAMS"/>
      </sharedItems>
    </cacheField>
    <cacheField name="Category" numFmtId="0">
      <sharedItems count="3">
        <s v="Juices"/>
        <s v="Gourmet Nutrition"/>
        <s v="Functional nutrition"/>
      </sharedItems>
    </cacheField>
    <cacheField name="Qty" numFmtId="0">
      <sharedItems containsSemiMixedTypes="0" containsString="0" containsNumber="1" containsInteger="1" minValue="502" maxValue="6257"/>
    </cacheField>
    <cacheField name="Sales Value (in INR Lakhs)" numFmtId="0">
      <sharedItems containsSemiMixedTypes="0" containsString="0" containsNumber="1" minValue="0.23566332043999988" maxValue="43.905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x v="0"/>
    <s v="AMAZON"/>
    <x v="0"/>
    <x v="0"/>
    <n v="1116"/>
    <n v="4.2869963999999952"/>
  </r>
  <r>
    <x v="0"/>
    <x v="0"/>
    <s v="AMAZON"/>
    <x v="1"/>
    <x v="0"/>
    <n v="3003"/>
    <n v="13.748312199999997"/>
  </r>
  <r>
    <x v="0"/>
    <x v="0"/>
    <s v="AMAZON"/>
    <x v="2"/>
    <x v="0"/>
    <n v="2962"/>
    <n v="7.3216708000000006"/>
  </r>
  <r>
    <x v="0"/>
    <x v="0"/>
    <s v="AMAZON"/>
    <x v="3"/>
    <x v="1"/>
    <n v="1004"/>
    <n v="3.7710001000000002"/>
  </r>
  <r>
    <x v="0"/>
    <x v="0"/>
    <s v="AMAZON"/>
    <x v="4"/>
    <x v="0"/>
    <n v="555"/>
    <n v="1.5228668000000003"/>
  </r>
  <r>
    <x v="0"/>
    <x v="0"/>
    <s v="AMAZON"/>
    <x v="5"/>
    <x v="0"/>
    <n v="874"/>
    <n v="4.0263055999999997"/>
  </r>
  <r>
    <x v="0"/>
    <x v="0"/>
    <s v="AMAZON"/>
    <x v="6"/>
    <x v="2"/>
    <n v="658"/>
    <n v="7.5823352000000002"/>
  </r>
  <r>
    <x v="0"/>
    <x v="0"/>
    <s v="AMAZON"/>
    <x v="7"/>
    <x v="2"/>
    <n v="649"/>
    <n v="7.1512099999999998"/>
  </r>
  <r>
    <x v="0"/>
    <x v="0"/>
    <s v="AMAZON"/>
    <x v="8"/>
    <x v="0"/>
    <n v="910"/>
    <n v="2.2141665999999995"/>
  </r>
  <r>
    <x v="0"/>
    <x v="0"/>
    <s v="AMAZON"/>
    <x v="9"/>
    <x v="0"/>
    <n v="3410"/>
    <n v="11.062033099999999"/>
  </r>
  <r>
    <x v="0"/>
    <x v="0"/>
    <s v="AMAZON"/>
    <x v="10"/>
    <x v="0"/>
    <n v="1890"/>
    <n v="7.6658187000000035"/>
  </r>
  <r>
    <x v="0"/>
    <x v="0"/>
    <s v="Big Basket"/>
    <x v="2"/>
    <x v="0"/>
    <n v="896"/>
    <n v="1.5434134000000008"/>
  </r>
  <r>
    <x v="0"/>
    <x v="0"/>
    <s v="Big Basket"/>
    <x v="11"/>
    <x v="0"/>
    <n v="732"/>
    <n v="1.0467713999999999"/>
  </r>
  <r>
    <x v="0"/>
    <x v="0"/>
    <s v="Flipkart"/>
    <x v="1"/>
    <x v="0"/>
    <n v="828"/>
    <n v="3.6831399999999999"/>
  </r>
  <r>
    <x v="0"/>
    <x v="0"/>
    <s v="Flipkart"/>
    <x v="11"/>
    <x v="0"/>
    <n v="532"/>
    <n v="1.09846"/>
  </r>
  <r>
    <x v="0"/>
    <x v="0"/>
    <s v="Flipkart"/>
    <x v="12"/>
    <x v="0"/>
    <n v="1202"/>
    <n v="4.1987300000000003"/>
  </r>
  <r>
    <x v="0"/>
    <x v="1"/>
    <s v="D2C"/>
    <x v="1"/>
    <x v="0"/>
    <n v="2887"/>
    <n v="15.878500000000001"/>
  </r>
  <r>
    <x v="0"/>
    <x v="1"/>
    <s v="D2C"/>
    <x v="12"/>
    <x v="0"/>
    <n v="1798"/>
    <n v="7.5515999999999996"/>
  </r>
  <r>
    <x v="0"/>
    <x v="1"/>
    <s v="D2C"/>
    <x v="13"/>
    <x v="2"/>
    <n v="1175"/>
    <n v="17.625"/>
  </r>
  <r>
    <x v="0"/>
    <x v="1"/>
    <s v="D2C"/>
    <x v="14"/>
    <x v="0"/>
    <n v="688"/>
    <n v="3.44"/>
  </r>
  <r>
    <x v="0"/>
    <x v="2"/>
    <s v="Offline - Central"/>
    <x v="15"/>
    <x v="1"/>
    <n v="5472"/>
    <n v="3.2979744000000002"/>
  </r>
  <r>
    <x v="0"/>
    <x v="2"/>
    <s v="Offline - East"/>
    <x v="16"/>
    <x v="1"/>
    <n v="1444"/>
    <n v="1.0538228000000001"/>
  </r>
  <r>
    <x v="0"/>
    <x v="2"/>
    <s v="Offline - East"/>
    <x v="17"/>
    <x v="2"/>
    <n v="624"/>
    <n v="1.1007984000000002"/>
  </r>
  <r>
    <x v="0"/>
    <x v="2"/>
    <s v="Offline - East"/>
    <x v="15"/>
    <x v="1"/>
    <n v="2256"/>
    <n v="1.3596911999999999"/>
  </r>
  <r>
    <x v="0"/>
    <x v="2"/>
    <s v="Offline - East"/>
    <x v="18"/>
    <x v="1"/>
    <n v="528"/>
    <n v="0.78747"/>
  </r>
  <r>
    <x v="0"/>
    <x v="2"/>
    <s v="Offline - MT"/>
    <x v="2"/>
    <x v="0"/>
    <n v="2369"/>
    <n v="3.6862483999999998"/>
  </r>
  <r>
    <x v="0"/>
    <x v="2"/>
    <s v="Offline - MT"/>
    <x v="16"/>
    <x v="1"/>
    <n v="1548"/>
    <n v="1.0829657000000001"/>
  </r>
  <r>
    <x v="0"/>
    <x v="2"/>
    <s v="Offline - MT"/>
    <x v="11"/>
    <x v="0"/>
    <n v="3150"/>
    <n v="4.099221899999999"/>
  </r>
  <r>
    <x v="0"/>
    <x v="2"/>
    <s v="Offline - MT"/>
    <x v="17"/>
    <x v="2"/>
    <n v="1152"/>
    <n v="1.9942838000000003"/>
  </r>
  <r>
    <x v="0"/>
    <x v="2"/>
    <s v="Offline - MT"/>
    <x v="19"/>
    <x v="0"/>
    <n v="1500"/>
    <n v="2.7036700999999996"/>
  </r>
  <r>
    <x v="0"/>
    <x v="2"/>
    <s v="Offline - MT"/>
    <x v="15"/>
    <x v="1"/>
    <n v="918"/>
    <n v="0.55580399999999996"/>
  </r>
  <r>
    <x v="0"/>
    <x v="2"/>
    <s v="Offline - MT"/>
    <x v="9"/>
    <x v="0"/>
    <n v="1314"/>
    <n v="3.0137012999999993"/>
  </r>
  <r>
    <x v="0"/>
    <x v="2"/>
    <s v="Offline - MT"/>
    <x v="10"/>
    <x v="0"/>
    <n v="1680"/>
    <n v="4.8198662000000008"/>
  </r>
  <r>
    <x v="0"/>
    <x v="2"/>
    <s v="Offline -North"/>
    <x v="16"/>
    <x v="1"/>
    <n v="864"/>
    <n v="0.63081639999999994"/>
  </r>
  <r>
    <x v="0"/>
    <x v="2"/>
    <s v="Offline -North"/>
    <x v="15"/>
    <x v="1"/>
    <n v="912"/>
    <n v="0.54966240000000011"/>
  </r>
  <r>
    <x v="0"/>
    <x v="2"/>
    <s v="Offline - South"/>
    <x v="2"/>
    <x v="0"/>
    <n v="852"/>
    <n v="1.3295760000000001"/>
  </r>
  <r>
    <x v="0"/>
    <x v="2"/>
    <s v="Offline - South"/>
    <x v="16"/>
    <x v="1"/>
    <n v="3871"/>
    <n v="2.8352446999999996"/>
  </r>
  <r>
    <x v="0"/>
    <x v="2"/>
    <s v="Offline - South"/>
    <x v="11"/>
    <x v="0"/>
    <n v="636"/>
    <n v="0.82346629999999987"/>
  </r>
  <r>
    <x v="0"/>
    <x v="2"/>
    <s v="Offline - South"/>
    <x v="19"/>
    <x v="0"/>
    <n v="672"/>
    <n v="1.1865937999999998"/>
  </r>
  <r>
    <x v="0"/>
    <x v="2"/>
    <s v="Offline - South"/>
    <x v="20"/>
    <x v="2"/>
    <n v="864"/>
    <n v="1.5234743999999998"/>
  </r>
  <r>
    <x v="0"/>
    <x v="2"/>
    <s v="Offline - South"/>
    <x v="21"/>
    <x v="2"/>
    <n v="840"/>
    <n v="1.4811642999999999"/>
  </r>
  <r>
    <x v="0"/>
    <x v="2"/>
    <s v="Offline - South"/>
    <x v="15"/>
    <x v="1"/>
    <n v="2816"/>
    <n v="1.6972032000000001"/>
  </r>
  <r>
    <x v="0"/>
    <x v="2"/>
    <s v="Offline - South"/>
    <x v="18"/>
    <x v="1"/>
    <n v="1260"/>
    <n v="1.8760315999999997"/>
  </r>
  <r>
    <x v="0"/>
    <x v="2"/>
    <s v="Offline - West"/>
    <x v="1"/>
    <x v="0"/>
    <n v="648"/>
    <n v="2.1028172000000005"/>
  </r>
  <r>
    <x v="0"/>
    <x v="2"/>
    <s v="Offline - West"/>
    <x v="2"/>
    <x v="0"/>
    <n v="887"/>
    <n v="1.3868418999999996"/>
  </r>
  <r>
    <x v="0"/>
    <x v="2"/>
    <s v="Offline - West"/>
    <x v="16"/>
    <x v="1"/>
    <n v="4656"/>
    <n v="3.399713999999999"/>
  </r>
  <r>
    <x v="0"/>
    <x v="2"/>
    <s v="Offline - West"/>
    <x v="3"/>
    <x v="1"/>
    <n v="612"/>
    <n v="1.9537211000000001"/>
  </r>
  <r>
    <x v="0"/>
    <x v="2"/>
    <s v="Offline - West"/>
    <x v="11"/>
    <x v="0"/>
    <n v="1428"/>
    <n v="1.8536584999999999"/>
  </r>
  <r>
    <x v="0"/>
    <x v="2"/>
    <s v="Offline - West"/>
    <x v="17"/>
    <x v="2"/>
    <n v="2424"/>
    <n v="4.2760368"/>
  </r>
  <r>
    <x v="0"/>
    <x v="2"/>
    <s v="Offline - West"/>
    <x v="12"/>
    <x v="0"/>
    <n v="516"/>
    <n v="1.2643747999999999"/>
  </r>
  <r>
    <x v="0"/>
    <x v="2"/>
    <s v="Offline - West"/>
    <x v="19"/>
    <x v="0"/>
    <n v="797"/>
    <n v="1.4107290999999995"/>
  </r>
  <r>
    <x v="0"/>
    <x v="2"/>
    <s v="Offline - West"/>
    <x v="20"/>
    <x v="2"/>
    <n v="696"/>
    <n v="1.2269920999999999"/>
  </r>
  <r>
    <x v="0"/>
    <x v="2"/>
    <s v="Offline - West"/>
    <x v="21"/>
    <x v="2"/>
    <n v="696"/>
    <n v="1.2269920999999999"/>
  </r>
  <r>
    <x v="0"/>
    <x v="2"/>
    <s v="Offline - West"/>
    <x v="15"/>
    <x v="1"/>
    <n v="3696"/>
    <n v="2.2275791999999996"/>
  </r>
  <r>
    <x v="0"/>
    <x v="2"/>
    <s v="Offline - West"/>
    <x v="9"/>
    <x v="0"/>
    <n v="684"/>
    <n v="1.6142131000000002"/>
  </r>
  <r>
    <x v="0"/>
    <x v="2"/>
    <s v="Offline - West"/>
    <x v="18"/>
    <x v="1"/>
    <n v="2376"/>
    <n v="3.5376797999999994"/>
  </r>
  <r>
    <x v="1"/>
    <x v="0"/>
    <s v="AMAZON"/>
    <x v="0"/>
    <x v="0"/>
    <n v="1224"/>
    <n v="4.7308795999999971"/>
  </r>
  <r>
    <x v="1"/>
    <x v="0"/>
    <s v="AMAZON"/>
    <x v="1"/>
    <x v="0"/>
    <n v="2556"/>
    <n v="12.247513600000003"/>
  </r>
  <r>
    <x v="1"/>
    <x v="0"/>
    <s v="AMAZON"/>
    <x v="2"/>
    <x v="0"/>
    <n v="2756"/>
    <n v="6.8252963000000015"/>
  </r>
  <r>
    <x v="1"/>
    <x v="0"/>
    <s v="AMAZON"/>
    <x v="3"/>
    <x v="1"/>
    <n v="738"/>
    <n v="2.8525878999999992"/>
  </r>
  <r>
    <x v="1"/>
    <x v="0"/>
    <s v="AMAZON"/>
    <x v="22"/>
    <x v="0"/>
    <n v="502"/>
    <n v="2.1702926000000002"/>
  </r>
  <r>
    <x v="1"/>
    <x v="0"/>
    <s v="AMAZON"/>
    <x v="11"/>
    <x v="0"/>
    <n v="3933"/>
    <n v="8.0337064000000069"/>
  </r>
  <r>
    <x v="1"/>
    <x v="0"/>
    <s v="AMAZON"/>
    <x v="17"/>
    <x v="2"/>
    <n v="1030"/>
    <n v="2.6105756999999987"/>
  </r>
  <r>
    <x v="1"/>
    <x v="0"/>
    <s v="AMAZON"/>
    <x v="23"/>
    <x v="0"/>
    <n v="1250"/>
    <n v="4.8415293000000013"/>
  </r>
  <r>
    <x v="1"/>
    <x v="0"/>
    <s v="AMAZON"/>
    <x v="12"/>
    <x v="0"/>
    <n v="3317"/>
    <n v="12.350071400000004"/>
  </r>
  <r>
    <x v="1"/>
    <x v="0"/>
    <s v="AMAZON"/>
    <x v="24"/>
    <x v="0"/>
    <n v="879"/>
    <n v="3.4980072999999994"/>
  </r>
  <r>
    <x v="1"/>
    <x v="0"/>
    <s v="AMAZON"/>
    <x v="19"/>
    <x v="0"/>
    <n v="1459"/>
    <n v="4.0786020999999995"/>
  </r>
  <r>
    <x v="1"/>
    <x v="0"/>
    <s v="AMAZON"/>
    <x v="25"/>
    <x v="2"/>
    <n v="710"/>
    <n v="1.5949620000000002"/>
  </r>
  <r>
    <x v="1"/>
    <x v="0"/>
    <s v="AMAZON"/>
    <x v="4"/>
    <x v="0"/>
    <n v="713"/>
    <n v="1.8486950999999998"/>
  </r>
  <r>
    <x v="1"/>
    <x v="0"/>
    <s v="AMAZON"/>
    <x v="5"/>
    <x v="0"/>
    <n v="770"/>
    <n v="4.1842671000000005"/>
  </r>
  <r>
    <x v="1"/>
    <x v="0"/>
    <s v="AMAZON"/>
    <x v="26"/>
    <x v="1"/>
    <n v="613"/>
    <n v="2.1394697000000003"/>
  </r>
  <r>
    <x v="1"/>
    <x v="0"/>
    <s v="AMAZON"/>
    <x v="6"/>
    <x v="2"/>
    <n v="680"/>
    <n v="7.7617717999999991"/>
  </r>
  <r>
    <x v="1"/>
    <x v="0"/>
    <s v="AMAZON"/>
    <x v="7"/>
    <x v="2"/>
    <n v="530"/>
    <n v="6.0220566999999994"/>
  </r>
  <r>
    <x v="1"/>
    <x v="0"/>
    <s v="AMAZON"/>
    <x v="8"/>
    <x v="0"/>
    <n v="746"/>
    <n v="1.9332606000000003"/>
  </r>
  <r>
    <x v="1"/>
    <x v="0"/>
    <s v="AMAZON"/>
    <x v="9"/>
    <x v="0"/>
    <n v="2493"/>
    <n v="8.037561099999996"/>
  </r>
  <r>
    <x v="1"/>
    <x v="0"/>
    <s v="AMAZON"/>
    <x v="27"/>
    <x v="2"/>
    <n v="551"/>
    <n v="8.5182164"/>
  </r>
  <r>
    <x v="1"/>
    <x v="0"/>
    <s v="AMAZON"/>
    <x v="10"/>
    <x v="0"/>
    <n v="1823"/>
    <n v="7.7051571999999995"/>
  </r>
  <r>
    <x v="1"/>
    <x v="0"/>
    <s v="Big Basket"/>
    <x v="2"/>
    <x v="0"/>
    <n v="565"/>
    <n v="0.97324639999999996"/>
  </r>
  <r>
    <x v="1"/>
    <x v="0"/>
    <s v="Flipkart"/>
    <x v="1"/>
    <x v="0"/>
    <n v="662"/>
    <n v="3.1734300000000002"/>
  </r>
  <r>
    <x v="1"/>
    <x v="0"/>
    <s v="Flipkart"/>
    <x v="11"/>
    <x v="0"/>
    <n v="850"/>
    <n v="1.7959000000000001"/>
  </r>
  <r>
    <x v="1"/>
    <x v="0"/>
    <s v="Flipkart"/>
    <x v="12"/>
    <x v="0"/>
    <n v="1275"/>
    <n v="4.8300400000000003"/>
  </r>
  <r>
    <x v="1"/>
    <x v="1"/>
    <s v="D2C"/>
    <x v="1"/>
    <x v="0"/>
    <n v="2583"/>
    <n v="14.2065"/>
  </r>
  <r>
    <x v="1"/>
    <x v="1"/>
    <s v="D2C"/>
    <x v="12"/>
    <x v="0"/>
    <n v="1723"/>
    <n v="7.2366000000000001"/>
  </r>
  <r>
    <x v="1"/>
    <x v="1"/>
    <s v="D2C"/>
    <x v="13"/>
    <x v="2"/>
    <n v="1752"/>
    <n v="26.28"/>
  </r>
  <r>
    <x v="1"/>
    <x v="1"/>
    <s v="D2C"/>
    <x v="25"/>
    <x v="2"/>
    <n v="959"/>
    <n v="2.54135"/>
  </r>
  <r>
    <x v="1"/>
    <x v="1"/>
    <s v="D2C"/>
    <x v="5"/>
    <x v="0"/>
    <n v="963"/>
    <n v="5.7779999999999996"/>
  </r>
  <r>
    <x v="1"/>
    <x v="2"/>
    <s v="Offline - East"/>
    <x v="16"/>
    <x v="1"/>
    <n v="576"/>
    <n v="0.42033199999999998"/>
  </r>
  <r>
    <x v="1"/>
    <x v="2"/>
    <s v="Offline - MT"/>
    <x v="2"/>
    <x v="0"/>
    <n v="1470"/>
    <n v="2.3218175999999988"/>
  </r>
  <r>
    <x v="1"/>
    <x v="2"/>
    <s v="Offline - MT"/>
    <x v="16"/>
    <x v="1"/>
    <n v="720"/>
    <n v="0.5184261"/>
  </r>
  <r>
    <x v="1"/>
    <x v="2"/>
    <s v="Offline - MT"/>
    <x v="11"/>
    <x v="0"/>
    <n v="1570"/>
    <n v="2.0702864000000001"/>
  </r>
  <r>
    <x v="1"/>
    <x v="2"/>
    <s v="Offline - MT"/>
    <x v="17"/>
    <x v="2"/>
    <n v="996"/>
    <n v="1.824549"/>
  </r>
  <r>
    <x v="1"/>
    <x v="2"/>
    <s v="Offline - MT"/>
    <x v="19"/>
    <x v="0"/>
    <n v="778"/>
    <n v="1.4394323999999998"/>
  </r>
  <r>
    <x v="1"/>
    <x v="2"/>
    <s v="Offline - MT"/>
    <x v="10"/>
    <x v="0"/>
    <n v="864"/>
    <n v="2.5883759999999993"/>
  </r>
  <r>
    <x v="1"/>
    <x v="2"/>
    <s v="Offline -North"/>
    <x v="2"/>
    <x v="0"/>
    <n v="576"/>
    <n v="0.90058759999999993"/>
  </r>
  <r>
    <x v="1"/>
    <x v="2"/>
    <s v="Offline -North"/>
    <x v="11"/>
    <x v="0"/>
    <n v="732"/>
    <n v="0.95019449999999983"/>
  </r>
  <r>
    <x v="1"/>
    <x v="2"/>
    <s v="Offline -North"/>
    <x v="17"/>
    <x v="2"/>
    <n v="895"/>
    <n v="1.5788694999999999"/>
  </r>
  <r>
    <x v="1"/>
    <x v="2"/>
    <s v="Offline -North"/>
    <x v="15"/>
    <x v="1"/>
    <n v="1512"/>
    <n v="0.91131119999999999"/>
  </r>
  <r>
    <x v="1"/>
    <x v="2"/>
    <s v="Offline - South"/>
    <x v="16"/>
    <x v="1"/>
    <n v="1405"/>
    <n v="1.0344228"/>
  </r>
  <r>
    <x v="1"/>
    <x v="2"/>
    <s v="Offline - South"/>
    <x v="11"/>
    <x v="0"/>
    <n v="600"/>
    <n v="0.7788484"/>
  </r>
  <r>
    <x v="1"/>
    <x v="2"/>
    <s v="Offline - South"/>
    <x v="17"/>
    <x v="2"/>
    <n v="1416"/>
    <n v="2.4979656000000001"/>
  </r>
  <r>
    <x v="1"/>
    <x v="2"/>
    <s v="Offline - South"/>
    <x v="15"/>
    <x v="1"/>
    <n v="1080"/>
    <n v="0.65091599999999994"/>
  </r>
  <r>
    <x v="1"/>
    <x v="2"/>
    <s v="Offline - West"/>
    <x v="2"/>
    <x v="0"/>
    <n v="1093"/>
    <n v="1.7073639999999997"/>
  </r>
  <r>
    <x v="1"/>
    <x v="2"/>
    <s v="Offline - West"/>
    <x v="16"/>
    <x v="1"/>
    <n v="529"/>
    <n v="0.38757620000000004"/>
  </r>
  <r>
    <x v="1"/>
    <x v="2"/>
    <s v="Offline - West"/>
    <x v="11"/>
    <x v="0"/>
    <n v="553"/>
    <n v="0.71653979999999995"/>
  </r>
  <r>
    <x v="1"/>
    <x v="2"/>
    <s v="Offline - West"/>
    <x v="17"/>
    <x v="2"/>
    <n v="1104"/>
    <n v="1.9475663999999995"/>
  </r>
  <r>
    <x v="1"/>
    <x v="2"/>
    <s v="Offline - West"/>
    <x v="12"/>
    <x v="0"/>
    <n v="565"/>
    <n v="1.3975920000000002"/>
  </r>
  <r>
    <x v="1"/>
    <x v="2"/>
    <s v="Offline - West"/>
    <x v="15"/>
    <x v="1"/>
    <n v="6257"/>
    <n v="3.7704912000000004"/>
  </r>
  <r>
    <x v="1"/>
    <x v="2"/>
    <s v="Offline - West"/>
    <x v="18"/>
    <x v="1"/>
    <n v="1836"/>
    <n v="2.7334833999999995"/>
  </r>
  <r>
    <x v="2"/>
    <x v="0"/>
    <s v="AMAZON"/>
    <x v="0"/>
    <x v="0"/>
    <n v="1049"/>
    <n v="4.1001289999999964"/>
  </r>
  <r>
    <x v="2"/>
    <x v="0"/>
    <s v="AMAZON"/>
    <x v="1"/>
    <x v="0"/>
    <n v="1914"/>
    <n v="9.1171512999999997"/>
  </r>
  <r>
    <x v="2"/>
    <x v="0"/>
    <s v="AMAZON"/>
    <x v="2"/>
    <x v="0"/>
    <n v="2534"/>
    <n v="6.0970812999999957"/>
  </r>
  <r>
    <x v="2"/>
    <x v="0"/>
    <s v="AMAZON"/>
    <x v="3"/>
    <x v="1"/>
    <n v="829"/>
    <n v="3.1705502000000001"/>
  </r>
  <r>
    <x v="2"/>
    <x v="0"/>
    <s v="AMAZON"/>
    <x v="11"/>
    <x v="0"/>
    <n v="3345"/>
    <n v="6.5960906999999853"/>
  </r>
  <r>
    <x v="2"/>
    <x v="0"/>
    <s v="AMAZON"/>
    <x v="17"/>
    <x v="2"/>
    <n v="823"/>
    <n v="2.1110504999999997"/>
  </r>
  <r>
    <x v="2"/>
    <x v="0"/>
    <s v="AMAZON"/>
    <x v="23"/>
    <x v="0"/>
    <n v="1227"/>
    <n v="4.3813940000000002"/>
  </r>
  <r>
    <x v="2"/>
    <x v="0"/>
    <s v="AMAZON"/>
    <x v="12"/>
    <x v="0"/>
    <n v="3378"/>
    <n v="12.122061700000017"/>
  </r>
  <r>
    <x v="2"/>
    <x v="0"/>
    <s v="AMAZON"/>
    <x v="24"/>
    <x v="0"/>
    <n v="639"/>
    <n v="2.42875"/>
  </r>
  <r>
    <x v="2"/>
    <x v="0"/>
    <s v="AMAZON"/>
    <x v="19"/>
    <x v="0"/>
    <n v="1353"/>
    <n v="3.6533732999999997"/>
  </r>
  <r>
    <x v="2"/>
    <x v="0"/>
    <s v="AMAZON"/>
    <x v="4"/>
    <x v="0"/>
    <n v="685"/>
    <n v="1.7655501999999998"/>
  </r>
  <r>
    <x v="2"/>
    <x v="0"/>
    <s v="AMAZON"/>
    <x v="5"/>
    <x v="0"/>
    <n v="1329"/>
    <n v="6.1100878000000005"/>
  </r>
  <r>
    <x v="2"/>
    <x v="0"/>
    <s v="AMAZON"/>
    <x v="26"/>
    <x v="1"/>
    <n v="854"/>
    <n v="2.9922251000000002"/>
  </r>
  <r>
    <x v="2"/>
    <x v="0"/>
    <s v="AMAZON"/>
    <x v="8"/>
    <x v="0"/>
    <n v="731"/>
    <n v="1.8484879999999988"/>
  </r>
  <r>
    <x v="2"/>
    <x v="0"/>
    <s v="AMAZON"/>
    <x v="9"/>
    <x v="0"/>
    <n v="1788"/>
    <n v="5.8157426999999986"/>
  </r>
  <r>
    <x v="2"/>
    <x v="0"/>
    <s v="AMAZON"/>
    <x v="10"/>
    <x v="0"/>
    <n v="2082"/>
    <n v="8.2880228000000056"/>
  </r>
  <r>
    <x v="2"/>
    <x v="0"/>
    <s v="Big Basket"/>
    <x v="16"/>
    <x v="1"/>
    <n v="606"/>
    <n v="0.47273950000000003"/>
  </r>
  <r>
    <x v="2"/>
    <x v="0"/>
    <s v="Big Basket"/>
    <x v="11"/>
    <x v="0"/>
    <n v="916"/>
    <n v="1.3098946999999999"/>
  </r>
  <r>
    <x v="2"/>
    <x v="0"/>
    <s v="Flipkart"/>
    <x v="1"/>
    <x v="0"/>
    <n v="834"/>
    <n v="3.5623999999999998"/>
  </r>
  <r>
    <x v="2"/>
    <x v="0"/>
    <s v="Flipkart"/>
    <x v="2"/>
    <x v="0"/>
    <n v="597"/>
    <n v="1.4638"/>
  </r>
  <r>
    <x v="2"/>
    <x v="0"/>
    <s v="Flipkart"/>
    <x v="11"/>
    <x v="0"/>
    <n v="790"/>
    <n v="1.62323"/>
  </r>
  <r>
    <x v="2"/>
    <x v="0"/>
    <s v="Flipkart"/>
    <x v="12"/>
    <x v="0"/>
    <n v="1122"/>
    <n v="4.01722"/>
  </r>
  <r>
    <x v="2"/>
    <x v="1"/>
    <s v="D2C"/>
    <x v="1"/>
    <x v="0"/>
    <n v="2646"/>
    <n v="17.31645082868997"/>
  </r>
  <r>
    <x v="2"/>
    <x v="1"/>
    <s v="D2C"/>
    <x v="2"/>
    <x v="0"/>
    <n v="736"/>
    <n v="3.4216519110100023"/>
  </r>
  <r>
    <x v="2"/>
    <x v="1"/>
    <s v="D2C"/>
    <x v="11"/>
    <x v="0"/>
    <n v="744"/>
    <n v="2.3224511708999964"/>
  </r>
  <r>
    <x v="2"/>
    <x v="1"/>
    <s v="D2C"/>
    <x v="17"/>
    <x v="2"/>
    <n v="519"/>
    <n v="1.546400522419995"/>
  </r>
  <r>
    <x v="2"/>
    <x v="1"/>
    <s v="D2C"/>
    <x v="12"/>
    <x v="0"/>
    <n v="2299"/>
    <n v="9.1474393979899862"/>
  </r>
  <r>
    <x v="2"/>
    <x v="1"/>
    <s v="D2C"/>
    <x v="13"/>
    <x v="2"/>
    <n v="2150"/>
    <n v="32.190549171440658"/>
  </r>
  <r>
    <x v="2"/>
    <x v="1"/>
    <s v="D2C"/>
    <x v="25"/>
    <x v="2"/>
    <n v="1585"/>
    <n v="0.23566332043999988"/>
  </r>
  <r>
    <x v="2"/>
    <x v="1"/>
    <s v="D2C"/>
    <x v="5"/>
    <x v="0"/>
    <n v="2016"/>
    <n v="12.085465040450011"/>
  </r>
  <r>
    <x v="2"/>
    <x v="2"/>
    <s v="Offline - East"/>
    <x v="17"/>
    <x v="2"/>
    <n v="576"/>
    <n v="0.99602880000000005"/>
  </r>
  <r>
    <x v="2"/>
    <x v="2"/>
    <s v="Offline - MT"/>
    <x v="2"/>
    <x v="0"/>
    <n v="1920"/>
    <n v="3.0105280999999988"/>
  </r>
  <r>
    <x v="2"/>
    <x v="2"/>
    <s v="Offline - MT"/>
    <x v="16"/>
    <x v="1"/>
    <n v="1780"/>
    <n v="1.2442595999999997"/>
  </r>
  <r>
    <x v="2"/>
    <x v="2"/>
    <s v="Offline - MT"/>
    <x v="11"/>
    <x v="0"/>
    <n v="2426"/>
    <n v="3.1620225"/>
  </r>
  <r>
    <x v="2"/>
    <x v="2"/>
    <s v="Offline - MT"/>
    <x v="17"/>
    <x v="2"/>
    <n v="1317"/>
    <n v="2.3367476999999997"/>
  </r>
  <r>
    <x v="2"/>
    <x v="2"/>
    <s v="Offline - MT"/>
    <x v="19"/>
    <x v="0"/>
    <n v="1992"/>
    <n v="3.4995873999999998"/>
  </r>
  <r>
    <x v="2"/>
    <x v="2"/>
    <s v="Offline - MT"/>
    <x v="15"/>
    <x v="1"/>
    <n v="576"/>
    <n v="0.3468"/>
  </r>
  <r>
    <x v="2"/>
    <x v="2"/>
    <s v="Offline - MT"/>
    <x v="9"/>
    <x v="0"/>
    <n v="984"/>
    <n v="2.2840900000000004"/>
  </r>
  <r>
    <x v="2"/>
    <x v="2"/>
    <s v="Offline -North"/>
    <x v="16"/>
    <x v="1"/>
    <n v="2865"/>
    <n v="2.0910651000000002"/>
  </r>
  <r>
    <x v="2"/>
    <x v="2"/>
    <s v="Offline -North"/>
    <x v="17"/>
    <x v="2"/>
    <n v="637"/>
    <n v="1.1237316999999998"/>
  </r>
  <r>
    <x v="2"/>
    <x v="2"/>
    <s v="Offline -North"/>
    <x v="18"/>
    <x v="1"/>
    <n v="532"/>
    <n v="0.79210990000000003"/>
  </r>
  <r>
    <x v="2"/>
    <x v="2"/>
    <s v="Offline - South"/>
    <x v="16"/>
    <x v="1"/>
    <n v="2544"/>
    <n v="1.8777012999999998"/>
  </r>
  <r>
    <x v="2"/>
    <x v="2"/>
    <s v="Offline - South"/>
    <x v="11"/>
    <x v="0"/>
    <n v="576"/>
    <n v="0.74769329999999989"/>
  </r>
  <r>
    <x v="2"/>
    <x v="2"/>
    <s v="Offline - South"/>
    <x v="17"/>
    <x v="2"/>
    <n v="1344"/>
    <n v="2.3709503999999995"/>
  </r>
  <r>
    <x v="2"/>
    <x v="2"/>
    <s v="Offline - South"/>
    <x v="18"/>
    <x v="1"/>
    <n v="884"/>
    <n v="1.3162052"/>
  </r>
  <r>
    <x v="2"/>
    <x v="2"/>
    <s v="Offline - West"/>
    <x v="2"/>
    <x v="0"/>
    <n v="1080"/>
    <n v="1.6758780000000002"/>
  </r>
  <r>
    <x v="2"/>
    <x v="2"/>
    <s v="Offline - West"/>
    <x v="16"/>
    <x v="1"/>
    <n v="4608"/>
    <n v="3.3411752000000003"/>
  </r>
  <r>
    <x v="2"/>
    <x v="2"/>
    <s v="Offline - West"/>
    <x v="11"/>
    <x v="0"/>
    <n v="1188"/>
    <n v="1.5315470000000004"/>
  </r>
  <r>
    <x v="2"/>
    <x v="2"/>
    <s v="Offline - West"/>
    <x v="17"/>
    <x v="2"/>
    <n v="2064"/>
    <n v="3.6123983999999996"/>
  </r>
  <r>
    <x v="2"/>
    <x v="2"/>
    <s v="Offline - West"/>
    <x v="12"/>
    <x v="0"/>
    <n v="720"/>
    <n v="1.78416"/>
  </r>
  <r>
    <x v="2"/>
    <x v="2"/>
    <s v="Offline - West"/>
    <x v="19"/>
    <x v="0"/>
    <n v="636"/>
    <n v="1.1113451999999997"/>
  </r>
  <r>
    <x v="2"/>
    <x v="2"/>
    <s v="Offline - West"/>
    <x v="15"/>
    <x v="1"/>
    <n v="1272"/>
    <n v="0.75818879999999989"/>
  </r>
  <r>
    <x v="2"/>
    <x v="2"/>
    <s v="Offline - West"/>
    <x v="18"/>
    <x v="1"/>
    <n v="1752"/>
    <n v="2.5963691999999998"/>
  </r>
  <r>
    <x v="3"/>
    <x v="1"/>
    <s v="D2C"/>
    <x v="1"/>
    <x v="0"/>
    <n v="2584"/>
    <n v="16.153500000000001"/>
  </r>
  <r>
    <x v="3"/>
    <x v="1"/>
    <s v="D2C"/>
    <x v="2"/>
    <x v="0"/>
    <n v="857"/>
    <n v="3.3628499999999999"/>
  </r>
  <r>
    <x v="3"/>
    <x v="1"/>
    <s v="D2C"/>
    <x v="3"/>
    <x v="1"/>
    <n v="531"/>
    <n v="2.637"/>
  </r>
  <r>
    <x v="3"/>
    <x v="1"/>
    <s v="D2C"/>
    <x v="11"/>
    <x v="0"/>
    <n v="1139"/>
    <n v="3.41"/>
  </r>
  <r>
    <x v="3"/>
    <x v="1"/>
    <s v="D2C"/>
    <x v="17"/>
    <x v="2"/>
    <n v="549"/>
    <n v="1.64151"/>
  </r>
  <r>
    <x v="3"/>
    <x v="1"/>
    <s v="D2C"/>
    <x v="28"/>
    <x v="2"/>
    <n v="715"/>
    <n v="3.3557999999999999"/>
  </r>
  <r>
    <x v="3"/>
    <x v="1"/>
    <s v="D2C"/>
    <x v="12"/>
    <x v="0"/>
    <n v="2213"/>
    <n v="9.093"/>
  </r>
  <r>
    <x v="3"/>
    <x v="1"/>
    <s v="D2C"/>
    <x v="13"/>
    <x v="2"/>
    <n v="2932"/>
    <n v="43.905000000000001"/>
  </r>
  <r>
    <x v="3"/>
    <x v="1"/>
    <s v="D2C"/>
    <x v="19"/>
    <x v="0"/>
    <n v="522"/>
    <n v="1.9379999999999999"/>
  </r>
  <r>
    <x v="3"/>
    <x v="1"/>
    <s v="D2C"/>
    <x v="25"/>
    <x v="2"/>
    <n v="711"/>
    <n v="0.73140000000000005"/>
  </r>
  <r>
    <x v="3"/>
    <x v="1"/>
    <s v="D2C"/>
    <x v="5"/>
    <x v="0"/>
    <n v="1503"/>
    <n v="9.0120000000000005"/>
  </r>
  <r>
    <x v="3"/>
    <x v="1"/>
    <s v="D2C"/>
    <x v="14"/>
    <x v="0"/>
    <n v="617"/>
    <n v="3.085"/>
  </r>
  <r>
    <x v="3"/>
    <x v="1"/>
    <s v="D2C"/>
    <x v="10"/>
    <x v="0"/>
    <n v="684"/>
    <n v="3.3466999999999998"/>
  </r>
  <r>
    <x v="3"/>
    <x v="2"/>
    <s v="Offline - MT"/>
    <x v="2"/>
    <x v="0"/>
    <n v="1776"/>
    <n v="2.7698844999999994"/>
  </r>
  <r>
    <x v="3"/>
    <x v="2"/>
    <s v="Offline - MT"/>
    <x v="16"/>
    <x v="1"/>
    <n v="1912"/>
    <n v="1.3426251999999996"/>
  </r>
  <r>
    <x v="3"/>
    <x v="2"/>
    <s v="Offline - MT"/>
    <x v="11"/>
    <x v="0"/>
    <n v="1878"/>
    <n v="2.4440268000000001"/>
  </r>
  <r>
    <x v="3"/>
    <x v="2"/>
    <s v="Offline - MT"/>
    <x v="17"/>
    <x v="2"/>
    <n v="1247"/>
    <n v="2.2228945999999996"/>
  </r>
  <r>
    <x v="3"/>
    <x v="2"/>
    <s v="Offline - MT"/>
    <x v="19"/>
    <x v="0"/>
    <n v="1176"/>
    <n v="2.0812025999999992"/>
  </r>
  <r>
    <x v="3"/>
    <x v="2"/>
    <s v="Offline - MT"/>
    <x v="9"/>
    <x v="0"/>
    <n v="654"/>
    <n v="1.5273681000000003"/>
  </r>
  <r>
    <x v="3"/>
    <x v="2"/>
    <s v="Offline - MT"/>
    <x v="10"/>
    <x v="0"/>
    <n v="552"/>
    <n v="1.5887773999999999"/>
  </r>
  <r>
    <x v="3"/>
    <x v="2"/>
    <s v="Offline -North"/>
    <x v="16"/>
    <x v="1"/>
    <n v="1272"/>
    <n v="0.92842799999999992"/>
  </r>
  <r>
    <x v="3"/>
    <x v="2"/>
    <s v="Offline -North"/>
    <x v="17"/>
    <x v="2"/>
    <n v="912"/>
    <n v="1.6088591999999995"/>
  </r>
  <r>
    <x v="3"/>
    <x v="2"/>
    <s v="Offline - South"/>
    <x v="2"/>
    <x v="0"/>
    <n v="564"/>
    <n v="0.88182420000000017"/>
  </r>
  <r>
    <x v="3"/>
    <x v="2"/>
    <s v="Offline - South"/>
    <x v="16"/>
    <x v="1"/>
    <n v="3168"/>
    <n v="2.3353190000000001"/>
  </r>
  <r>
    <x v="3"/>
    <x v="2"/>
    <s v="Offline - South"/>
    <x v="11"/>
    <x v="0"/>
    <n v="840"/>
    <n v="1.0903819999999997"/>
  </r>
  <r>
    <x v="3"/>
    <x v="2"/>
    <s v="Offline - South"/>
    <x v="17"/>
    <x v="2"/>
    <n v="1440"/>
    <n v="2.5403039999999995"/>
  </r>
  <r>
    <x v="3"/>
    <x v="2"/>
    <s v="Offline - South"/>
    <x v="19"/>
    <x v="0"/>
    <n v="588"/>
    <n v="1.0408266999999998"/>
  </r>
  <r>
    <x v="3"/>
    <x v="2"/>
    <s v="Offline - South"/>
    <x v="15"/>
    <x v="1"/>
    <n v="1500"/>
    <n v="0.90409440000000008"/>
  </r>
  <r>
    <x v="3"/>
    <x v="2"/>
    <s v="Offline - South"/>
    <x v="18"/>
    <x v="1"/>
    <n v="1104"/>
    <n v="1.6437581999999995"/>
  </r>
  <r>
    <x v="3"/>
    <x v="2"/>
    <s v="Offline - West"/>
    <x v="2"/>
    <x v="0"/>
    <n v="876"/>
    <n v="1.3696401999999999"/>
  </r>
  <r>
    <x v="3"/>
    <x v="2"/>
    <s v="Offline - West"/>
    <x v="16"/>
    <x v="1"/>
    <n v="2304"/>
    <n v="1.6830497"/>
  </r>
  <r>
    <x v="3"/>
    <x v="2"/>
    <s v="Offline - West"/>
    <x v="11"/>
    <x v="0"/>
    <n v="738"/>
    <n v="0.95796959999999975"/>
  </r>
  <r>
    <x v="3"/>
    <x v="2"/>
    <s v="Offline - West"/>
    <x v="17"/>
    <x v="2"/>
    <n v="888"/>
    <n v="1.5665208000000002"/>
  </r>
  <r>
    <x v="3"/>
    <x v="2"/>
    <s v="Offline - West"/>
    <x v="15"/>
    <x v="1"/>
    <n v="648"/>
    <n v="0.39053760000000004"/>
  </r>
  <r>
    <x v="3"/>
    <x v="2"/>
    <s v="Offline - West"/>
    <x v="18"/>
    <x v="1"/>
    <n v="1272"/>
    <n v="1.8935231999999997"/>
  </r>
  <r>
    <x v="3"/>
    <x v="2"/>
    <s v="Offline - East"/>
    <x v="16"/>
    <x v="1"/>
    <n v="1872"/>
    <n v="1.3872394000000001"/>
  </r>
  <r>
    <x v="3"/>
    <x v="2"/>
    <s v="Offline - East"/>
    <x v="17"/>
    <x v="2"/>
    <n v="576"/>
    <n v="1.0060751999999999"/>
  </r>
  <r>
    <x v="3"/>
    <x v="2"/>
    <s v="Offline - Central"/>
    <x v="16"/>
    <x v="1"/>
    <n v="624"/>
    <n v="0.45535219999999998"/>
  </r>
  <r>
    <x v="3"/>
    <x v="0"/>
    <s v="AMAZON"/>
    <x v="0"/>
    <x v="0"/>
    <n v="1059"/>
    <n v="4.5310421999999928"/>
  </r>
  <r>
    <x v="3"/>
    <x v="0"/>
    <s v="AMAZON"/>
    <x v="1"/>
    <x v="0"/>
    <n v="1898"/>
    <n v="8.8145109999999995"/>
  </r>
  <r>
    <x v="3"/>
    <x v="0"/>
    <s v="AMAZON"/>
    <x v="2"/>
    <x v="0"/>
    <n v="2824"/>
    <n v="7.1658829999999867"/>
  </r>
  <r>
    <x v="3"/>
    <x v="0"/>
    <s v="AMAZON"/>
    <x v="3"/>
    <x v="1"/>
    <n v="969"/>
    <n v="3.6849043999999989"/>
  </r>
  <r>
    <x v="3"/>
    <x v="0"/>
    <s v="AMAZON"/>
    <x v="11"/>
    <x v="0"/>
    <n v="3573"/>
    <n v="7.5204417999999524"/>
  </r>
  <r>
    <x v="3"/>
    <x v="0"/>
    <s v="AMAZON"/>
    <x v="17"/>
    <x v="2"/>
    <n v="968"/>
    <n v="2.6398038000000006"/>
  </r>
  <r>
    <x v="3"/>
    <x v="0"/>
    <s v="AMAZON"/>
    <x v="23"/>
    <x v="0"/>
    <n v="1642"/>
    <n v="5.9678846999999928"/>
  </r>
  <r>
    <x v="3"/>
    <x v="0"/>
    <s v="AMAZON"/>
    <x v="12"/>
    <x v="0"/>
    <n v="3361"/>
    <n v="11.872210800000026"/>
  </r>
  <r>
    <x v="3"/>
    <x v="0"/>
    <s v="AMAZON"/>
    <x v="24"/>
    <x v="0"/>
    <n v="783"/>
    <n v="3.1349166999999998"/>
  </r>
  <r>
    <x v="3"/>
    <x v="0"/>
    <s v="AMAZON"/>
    <x v="19"/>
    <x v="0"/>
    <n v="1550"/>
    <n v="4.1669494999999994"/>
  </r>
  <r>
    <x v="3"/>
    <x v="0"/>
    <s v="AMAZON"/>
    <x v="4"/>
    <x v="0"/>
    <n v="744"/>
    <n v="1.9039441999999993"/>
  </r>
  <r>
    <x v="3"/>
    <x v="0"/>
    <s v="AMAZON"/>
    <x v="5"/>
    <x v="0"/>
    <n v="1481"/>
    <n v="6.6645008000000034"/>
  </r>
  <r>
    <x v="3"/>
    <x v="0"/>
    <s v="AMAZON"/>
    <x v="26"/>
    <x v="1"/>
    <n v="983"/>
    <n v="3.7537601"/>
  </r>
  <r>
    <x v="3"/>
    <x v="0"/>
    <s v="AMAZON"/>
    <x v="8"/>
    <x v="0"/>
    <n v="796"/>
    <n v="1.9915699999999967"/>
  </r>
  <r>
    <x v="3"/>
    <x v="0"/>
    <s v="AMAZON"/>
    <x v="9"/>
    <x v="0"/>
    <n v="2352"/>
    <n v="8.0776636000000046"/>
  </r>
  <r>
    <x v="3"/>
    <x v="0"/>
    <s v="AMAZON"/>
    <x v="10"/>
    <x v="0"/>
    <n v="2283"/>
    <n v="9.2431065000000032"/>
  </r>
  <r>
    <x v="3"/>
    <x v="0"/>
    <s v="Big Basket"/>
    <x v="0"/>
    <x v="0"/>
    <n v="615"/>
    <n v="1.9987596999999997"/>
  </r>
  <r>
    <x v="3"/>
    <x v="0"/>
    <s v="Big Basket"/>
    <x v="2"/>
    <x v="0"/>
    <n v="598"/>
    <n v="1.0300909"/>
  </r>
  <r>
    <x v="3"/>
    <x v="0"/>
    <s v="Big Basket"/>
    <x v="16"/>
    <x v="1"/>
    <n v="1039"/>
    <n v="0.81052240000000009"/>
  </r>
  <r>
    <x v="3"/>
    <x v="0"/>
    <s v="Big Basket"/>
    <x v="11"/>
    <x v="0"/>
    <n v="864"/>
    <n v="1.2355341"/>
  </r>
  <r>
    <x v="3"/>
    <x v="0"/>
    <s v="Big Basket"/>
    <x v="26"/>
    <x v="1"/>
    <n v="509"/>
    <n v="1.6542576999999998"/>
  </r>
  <r>
    <x v="3"/>
    <x v="0"/>
    <s v="Flipkart"/>
    <x v="1"/>
    <x v="0"/>
    <n v="542"/>
    <n v="2.4883000000000002"/>
  </r>
  <r>
    <x v="3"/>
    <x v="0"/>
    <s v="Flipkart"/>
    <x v="11"/>
    <x v="0"/>
    <n v="645"/>
    <n v="1.40907"/>
  </r>
  <r>
    <x v="3"/>
    <x v="0"/>
    <s v="Flipkart"/>
    <x v="12"/>
    <x v="0"/>
    <n v="1242"/>
    <n v="4.36043"/>
  </r>
  <r>
    <x v="3"/>
    <x v="0"/>
    <s v="GOQII"/>
    <x v="29"/>
    <x v="1"/>
    <n v="971"/>
    <n v="5.825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11">
  <location ref="G3:I7" firstHeaderRow="0" firstDataRow="1" firstDataCol="1" rowPageCount="1" colPageCount="1"/>
  <pivotFields count="7">
    <pivotField compact="0" numFmtId="15" outline="0" showAll="0"/>
    <pivotField compact="0" outline="0" showAll="0"/>
    <pivotField compact="0" outline="0" showAll="0"/>
    <pivotField axis="axisPage" compact="0" outline="0" showAll="0">
      <items count="31">
        <item x="0"/>
        <item x="1"/>
        <item x="2"/>
        <item x="16"/>
        <item x="3"/>
        <item x="22"/>
        <item x="11"/>
        <item x="17"/>
        <item x="23"/>
        <item x="28"/>
        <item x="12"/>
        <item x="13"/>
        <item x="24"/>
        <item x="19"/>
        <item x="20"/>
        <item x="25"/>
        <item x="21"/>
        <item x="4"/>
        <item x="5"/>
        <item x="26"/>
        <item x="15"/>
        <item x="29"/>
        <item x="6"/>
        <item x="7"/>
        <item x="8"/>
        <item x="9"/>
        <item x="27"/>
        <item x="14"/>
        <item x="18"/>
        <item x="1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dataField="1" compact="0" outline="0" showAll="0"/>
    <pivotField dataField="1"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Qty" fld="5" baseField="0" baseItem="0"/>
    <dataField name="Sum of Sales Value (in INR Lakhs)" fld="6" baseField="0" baseItem="0"/>
  </dataFields>
  <chartFormats count="8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C34" firstHeaderRow="0" firstDataRow="1" firstDataCol="1"/>
  <pivotFields count="7">
    <pivotField numFmtId="15" showAll="0"/>
    <pivotField showAll="0"/>
    <pivotField showAll="0"/>
    <pivotField axis="axisRow" showAll="0">
      <items count="31">
        <item x="0"/>
        <item x="1"/>
        <item x="2"/>
        <item x="16"/>
        <item x="3"/>
        <item x="22"/>
        <item x="11"/>
        <item x="17"/>
        <item x="23"/>
        <item x="28"/>
        <item x="12"/>
        <item x="13"/>
        <item x="24"/>
        <item x="19"/>
        <item x="20"/>
        <item x="25"/>
        <item x="21"/>
        <item x="4"/>
        <item x="5"/>
        <item x="26"/>
        <item x="15"/>
        <item x="29"/>
        <item x="6"/>
        <item x="7"/>
        <item x="8"/>
        <item x="9"/>
        <item x="27"/>
        <item x="14"/>
        <item x="18"/>
        <item x="10"/>
        <item t="default"/>
      </items>
    </pivotField>
    <pivotField showAll="0"/>
    <pivotField dataField="1" showAll="0"/>
    <pivotField dataField="1"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5" baseField="0" baseItem="0"/>
    <dataField name="Sum of Sales Value (in INR Lakhs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Monthly Profil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outline="1" outlineData="1" multipleFieldFilters="0" chartFormat="1" rowHeaderCaption="Month">
  <location ref="A5:C10" firstHeaderRow="0" firstDataRow="1" firstDataCol="1"/>
  <pivotFields count="7">
    <pivotField axis="axisRow" numFmtId="15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 (in INR Lakhs)" fld="6" baseField="0" baseItem="0"/>
    <dataField name="Sum of Qty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hannel Profile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hannel">
  <location ref="A16:C20" firstHeaderRow="0" firstDataRow="1" firstDataCol="1"/>
  <pivotFields count="7">
    <pivotField numFmtId="15" showAll="0">
      <items count="5">
        <item x="0"/>
        <item x="1"/>
        <item x="2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 (in INR Lakhs)" fld="6" baseField="0" baseItem="0"/>
    <dataField name="Sum of Q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54" totalsRowShown="0">
  <autoFilter ref="A1:G54"/>
  <tableColumns count="7">
    <tableColumn id="1" name="Month" dataDxfId="0"/>
    <tableColumn id="2" name="Channel"/>
    <tableColumn id="3" name="Sub-Channels"/>
    <tableColumn id="4" name="Product Name"/>
    <tableColumn id="5" name="Category"/>
    <tableColumn id="6" name="Qty"/>
    <tableColumn id="7" name="Sales Value (in INR Lakh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zoomScaleNormal="100" workbookViewId="0">
      <selection activeCell="E2" sqref="E2"/>
    </sheetView>
  </sheetViews>
  <sheetFormatPr defaultRowHeight="15" x14ac:dyDescent="0.25"/>
  <cols>
    <col min="6" max="6" width="12.85546875" customWidth="1"/>
    <col min="7" max="7" width="10.140625" bestFit="1" customWidth="1"/>
    <col min="10" max="10" width="14.5703125" customWidth="1"/>
  </cols>
  <sheetData>
    <row r="2" spans="1:7" x14ac:dyDescent="0.25">
      <c r="A2" t="s">
        <v>0</v>
      </c>
      <c r="C2" s="13">
        <v>8</v>
      </c>
      <c r="D2" s="13"/>
      <c r="E2" s="25">
        <v>8</v>
      </c>
    </row>
    <row r="3" spans="1:7" x14ac:dyDescent="0.25">
      <c r="C3" s="14">
        <v>1</v>
      </c>
      <c r="D3" s="13"/>
      <c r="E3" s="4">
        <v>1</v>
      </c>
      <c r="F3" s="17"/>
      <c r="G3" s="18"/>
    </row>
    <row r="4" spans="1:7" x14ac:dyDescent="0.25">
      <c r="C4" s="14">
        <v>3</v>
      </c>
      <c r="D4" s="13"/>
      <c r="E4" s="4">
        <v>3</v>
      </c>
      <c r="F4" s="15"/>
    </row>
    <row r="5" spans="1:7" x14ac:dyDescent="0.25">
      <c r="C5" s="14">
        <v>7</v>
      </c>
      <c r="D5" s="13"/>
      <c r="E5" s="4">
        <v>7</v>
      </c>
      <c r="F5" s="16"/>
    </row>
    <row r="6" spans="1:7" x14ac:dyDescent="0.25">
      <c r="C6" s="14">
        <v>9</v>
      </c>
      <c r="D6" s="13"/>
      <c r="E6" s="4">
        <v>9</v>
      </c>
      <c r="F6" s="15"/>
    </row>
    <row r="7" spans="1:7" s="2" customFormat="1" x14ac:dyDescent="0.25">
      <c r="B7" s="11" t="s">
        <v>1</v>
      </c>
      <c r="C7" s="11">
        <f>SUM(C2:C6)</f>
        <v>28</v>
      </c>
      <c r="D7" s="20"/>
      <c r="E7" s="11">
        <f>SUM(E2:E6)</f>
        <v>28</v>
      </c>
      <c r="F7" s="21"/>
    </row>
    <row r="8" spans="1:7" x14ac:dyDescent="0.25">
      <c r="D8" s="13"/>
    </row>
    <row r="9" spans="1:7" x14ac:dyDescent="0.25">
      <c r="D9" s="13"/>
    </row>
    <row r="10" spans="1:7" x14ac:dyDescent="0.25">
      <c r="D10" s="13"/>
    </row>
    <row r="11" spans="1:7" x14ac:dyDescent="0.25">
      <c r="D11" s="13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8" sqref="K8"/>
    </sheetView>
  </sheetViews>
  <sheetFormatPr defaultRowHeight="15" x14ac:dyDescent="0.25"/>
  <cols>
    <col min="1" max="1" width="11.42578125" bestFit="1" customWidth="1"/>
    <col min="2" max="2" width="18.85546875" bestFit="1" customWidth="1"/>
    <col min="3" max="3" width="8.42578125" bestFit="1" customWidth="1"/>
    <col min="7" max="7" width="9.42578125" customWidth="1"/>
  </cols>
  <sheetData>
    <row r="1" spans="1:10" x14ac:dyDescent="0.25">
      <c r="A1" s="50" t="s">
        <v>238</v>
      </c>
      <c r="B1" s="50" t="s">
        <v>239</v>
      </c>
      <c r="C1" s="50" t="s">
        <v>207</v>
      </c>
    </row>
    <row r="2" spans="1:10" x14ac:dyDescent="0.25">
      <c r="A2" t="s">
        <v>240</v>
      </c>
      <c r="B2" t="s">
        <v>243</v>
      </c>
      <c r="C2">
        <v>600</v>
      </c>
      <c r="I2" t="s">
        <v>289</v>
      </c>
      <c r="J2">
        <f>SUMIF(F2:F225,"juices",H2:H225)</f>
        <v>0</v>
      </c>
    </row>
    <row r="3" spans="1:10" x14ac:dyDescent="0.25">
      <c r="A3" t="s">
        <v>240</v>
      </c>
      <c r="B3" t="s">
        <v>244</v>
      </c>
      <c r="C3">
        <v>450</v>
      </c>
      <c r="I3" t="s">
        <v>15</v>
      </c>
      <c r="J3">
        <f>SUMIFS(H2:H225,F2:F225,I3)</f>
        <v>0</v>
      </c>
    </row>
    <row r="4" spans="1:10" x14ac:dyDescent="0.25">
      <c r="A4" t="s">
        <v>240</v>
      </c>
      <c r="B4" t="s">
        <v>245</v>
      </c>
      <c r="C4">
        <v>530</v>
      </c>
      <c r="I4" t="s">
        <v>251</v>
      </c>
      <c r="J4">
        <f>SUMIF(F2:F225,"Gourmet Nutrition",H2:H225)</f>
        <v>0</v>
      </c>
    </row>
    <row r="5" spans="1:10" x14ac:dyDescent="0.25">
      <c r="A5" t="s">
        <v>241</v>
      </c>
      <c r="B5" t="s">
        <v>246</v>
      </c>
      <c r="C5">
        <v>999</v>
      </c>
    </row>
    <row r="6" spans="1:10" x14ac:dyDescent="0.25">
      <c r="A6" t="s">
        <v>241</v>
      </c>
      <c r="B6" t="s">
        <v>245</v>
      </c>
      <c r="C6">
        <v>650</v>
      </c>
    </row>
    <row r="7" spans="1:10" x14ac:dyDescent="0.25">
      <c r="A7" t="s">
        <v>242</v>
      </c>
      <c r="B7" t="s">
        <v>247</v>
      </c>
      <c r="C7">
        <v>950</v>
      </c>
    </row>
    <row r="8" spans="1:10" x14ac:dyDescent="0.25">
      <c r="C8">
        <f>SUM(C2:C7)</f>
        <v>4179</v>
      </c>
    </row>
    <row r="10" spans="1:10" x14ac:dyDescent="0.25">
      <c r="B10" t="s">
        <v>248</v>
      </c>
      <c r="C10">
        <f>SUMIF(A2:A7,"Monday",C2:C7)</f>
        <v>1580</v>
      </c>
    </row>
    <row r="11" spans="1:10" x14ac:dyDescent="0.25">
      <c r="B11" t="s">
        <v>249</v>
      </c>
      <c r="C11">
        <f>SUMIF(B2:B7,"White Hat",C2:C7)</f>
        <v>1180</v>
      </c>
    </row>
    <row r="12" spans="1:10" x14ac:dyDescent="0.25">
      <c r="B12" t="s">
        <v>250</v>
      </c>
      <c r="C12">
        <f>SUMIF(B2:B7,"*T-shirt*",C2:C7)</f>
        <v>2549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6" sqref="A6"/>
    </sheetView>
  </sheetViews>
  <sheetFormatPr defaultRowHeight="15" x14ac:dyDescent="0.25"/>
  <cols>
    <col min="1" max="1" width="51.5703125" bestFit="1" customWidth="1"/>
    <col min="2" max="2" width="10.7109375" customWidth="1"/>
    <col min="3" max="3" width="30.85546875" bestFit="1" customWidth="1"/>
    <col min="7" max="7" width="18.85546875" customWidth="1"/>
    <col min="8" max="8" width="10.7109375" customWidth="1"/>
    <col min="9" max="9" width="30.85546875" bestFit="1" customWidth="1"/>
  </cols>
  <sheetData>
    <row r="1" spans="1:9" x14ac:dyDescent="0.25">
      <c r="G1" s="58" t="s">
        <v>4</v>
      </c>
      <c r="H1" t="s">
        <v>315</v>
      </c>
    </row>
    <row r="3" spans="1:9" x14ac:dyDescent="0.25">
      <c r="A3" s="58" t="s">
        <v>316</v>
      </c>
      <c r="B3" t="s">
        <v>317</v>
      </c>
      <c r="C3" t="s">
        <v>318</v>
      </c>
      <c r="G3" s="58" t="s">
        <v>6</v>
      </c>
      <c r="H3" t="s">
        <v>317</v>
      </c>
      <c r="I3" t="s">
        <v>318</v>
      </c>
    </row>
    <row r="4" spans="1:9" x14ac:dyDescent="0.25">
      <c r="A4" s="59" t="s">
        <v>52</v>
      </c>
      <c r="B4" s="60">
        <v>5063</v>
      </c>
      <c r="C4" s="60">
        <v>19.647806899999985</v>
      </c>
      <c r="G4" t="s">
        <v>15</v>
      </c>
      <c r="H4" s="60">
        <v>42354</v>
      </c>
      <c r="I4" s="60">
        <v>216.10785831430067</v>
      </c>
    </row>
    <row r="5" spans="1:9" x14ac:dyDescent="0.25">
      <c r="A5" s="59" t="s">
        <v>53</v>
      </c>
      <c r="B5" s="60">
        <v>23585</v>
      </c>
      <c r="C5" s="60">
        <v>122.49252612868997</v>
      </c>
      <c r="G5" t="s">
        <v>13</v>
      </c>
      <c r="H5" s="60">
        <v>89279</v>
      </c>
      <c r="I5" s="60">
        <v>98.365157699999983</v>
      </c>
    </row>
    <row r="6" spans="1:9" x14ac:dyDescent="0.25">
      <c r="A6" s="59" t="s">
        <v>60</v>
      </c>
      <c r="B6" s="60">
        <v>28788</v>
      </c>
      <c r="C6" s="60">
        <v>60.245174511009978</v>
      </c>
      <c r="G6" t="s">
        <v>11</v>
      </c>
      <c r="H6" s="60">
        <v>178148</v>
      </c>
      <c r="I6" s="60">
        <v>563.06389734903985</v>
      </c>
    </row>
    <row r="7" spans="1:9" x14ac:dyDescent="0.25">
      <c r="A7" s="59" t="s">
        <v>184</v>
      </c>
      <c r="B7" s="60">
        <v>40207</v>
      </c>
      <c r="C7" s="60">
        <v>29.332797299999996</v>
      </c>
      <c r="G7" t="s">
        <v>200</v>
      </c>
      <c r="H7" s="60">
        <v>309781</v>
      </c>
      <c r="I7" s="60">
        <v>877.53691336334055</v>
      </c>
    </row>
    <row r="8" spans="1:9" x14ac:dyDescent="0.25">
      <c r="A8" s="59" t="s">
        <v>64</v>
      </c>
      <c r="B8" s="60">
        <v>4683</v>
      </c>
      <c r="C8" s="60">
        <v>18.069763699999996</v>
      </c>
    </row>
    <row r="9" spans="1:9" x14ac:dyDescent="0.25">
      <c r="A9" s="59" t="s">
        <v>65</v>
      </c>
      <c r="B9" s="60">
        <v>502</v>
      </c>
      <c r="C9" s="60">
        <v>2.1702926000000002</v>
      </c>
    </row>
    <row r="10" spans="1:9" x14ac:dyDescent="0.25">
      <c r="A10" s="59" t="s">
        <v>66</v>
      </c>
      <c r="B10" s="60">
        <v>34378</v>
      </c>
      <c r="C10" s="60">
        <v>58.627407270899944</v>
      </c>
    </row>
    <row r="11" spans="1:9" x14ac:dyDescent="0.25">
      <c r="A11" s="59" t="s">
        <v>74</v>
      </c>
      <c r="B11" s="60">
        <v>23501</v>
      </c>
      <c r="C11" s="60">
        <v>45.153920822419984</v>
      </c>
    </row>
    <row r="12" spans="1:9" x14ac:dyDescent="0.25">
      <c r="A12" s="59" t="s">
        <v>89</v>
      </c>
      <c r="B12" s="60">
        <v>4119</v>
      </c>
      <c r="C12" s="60">
        <v>15.190807999999993</v>
      </c>
    </row>
    <row r="13" spans="1:9" x14ac:dyDescent="0.25">
      <c r="A13" s="59" t="s">
        <v>94</v>
      </c>
      <c r="B13" s="60">
        <v>715</v>
      </c>
      <c r="C13" s="60">
        <v>3.3557999999999999</v>
      </c>
    </row>
    <row r="14" spans="1:9" x14ac:dyDescent="0.25">
      <c r="A14" s="59" t="s">
        <v>96</v>
      </c>
      <c r="B14" s="60">
        <v>24731</v>
      </c>
      <c r="C14" s="60">
        <v>91.225530097990045</v>
      </c>
    </row>
    <row r="15" spans="1:9" x14ac:dyDescent="0.25">
      <c r="A15" s="59" t="s">
        <v>199</v>
      </c>
      <c r="B15" s="60">
        <v>8009</v>
      </c>
      <c r="C15" s="60">
        <v>120.00054917144067</v>
      </c>
    </row>
    <row r="16" spans="1:9" x14ac:dyDescent="0.25">
      <c r="A16" s="59" t="s">
        <v>103</v>
      </c>
      <c r="B16" s="60">
        <v>2301</v>
      </c>
      <c r="C16" s="60">
        <v>9.061674</v>
      </c>
    </row>
    <row r="17" spans="1:3" x14ac:dyDescent="0.25">
      <c r="A17" s="59" t="s">
        <v>106</v>
      </c>
      <c r="B17" s="60">
        <v>13023</v>
      </c>
      <c r="C17" s="60">
        <v>28.310312199999991</v>
      </c>
    </row>
    <row r="18" spans="1:3" x14ac:dyDescent="0.25">
      <c r="A18" s="59" t="s">
        <v>195</v>
      </c>
      <c r="B18" s="60">
        <v>1560</v>
      </c>
      <c r="C18" s="60">
        <v>2.7504664999999999</v>
      </c>
    </row>
    <row r="19" spans="1:3" x14ac:dyDescent="0.25">
      <c r="A19" s="59" t="s">
        <v>197</v>
      </c>
      <c r="B19" s="60">
        <v>3965</v>
      </c>
      <c r="C19" s="60">
        <v>5.1033753204399996</v>
      </c>
    </row>
    <row r="20" spans="1:3" x14ac:dyDescent="0.25">
      <c r="A20" s="59" t="s">
        <v>196</v>
      </c>
      <c r="B20" s="60">
        <v>1536</v>
      </c>
      <c r="C20" s="60">
        <v>2.7081564</v>
      </c>
    </row>
    <row r="21" spans="1:3" x14ac:dyDescent="0.25">
      <c r="A21" s="59" t="s">
        <v>124</v>
      </c>
      <c r="B21" s="60">
        <v>2697</v>
      </c>
      <c r="C21" s="60">
        <v>7.0410562999999993</v>
      </c>
    </row>
    <row r="22" spans="1:3" x14ac:dyDescent="0.25">
      <c r="A22" s="59" t="s">
        <v>126</v>
      </c>
      <c r="B22" s="60">
        <v>8936</v>
      </c>
      <c r="C22" s="60">
        <v>47.860626340450018</v>
      </c>
    </row>
    <row r="23" spans="1:3" x14ac:dyDescent="0.25">
      <c r="A23" s="59" t="s">
        <v>132</v>
      </c>
      <c r="B23" s="60">
        <v>2959</v>
      </c>
      <c r="C23" s="60">
        <v>10.5397126</v>
      </c>
    </row>
    <row r="24" spans="1:3" x14ac:dyDescent="0.25">
      <c r="A24" s="59" t="s">
        <v>193</v>
      </c>
      <c r="B24" s="60">
        <v>28915</v>
      </c>
      <c r="C24" s="60">
        <v>17.420253600000002</v>
      </c>
    </row>
    <row r="25" spans="1:3" x14ac:dyDescent="0.25">
      <c r="A25" s="59" t="s">
        <v>198</v>
      </c>
      <c r="B25" s="60">
        <v>971</v>
      </c>
      <c r="C25" s="60">
        <v>5.8259999999999996</v>
      </c>
    </row>
    <row r="26" spans="1:3" x14ac:dyDescent="0.25">
      <c r="A26" s="59" t="s">
        <v>149</v>
      </c>
      <c r="B26" s="60">
        <v>1338</v>
      </c>
      <c r="C26" s="60">
        <v>15.344106999999999</v>
      </c>
    </row>
    <row r="27" spans="1:3" x14ac:dyDescent="0.25">
      <c r="A27" s="59" t="s">
        <v>152</v>
      </c>
      <c r="B27" s="60">
        <v>1179</v>
      </c>
      <c r="C27" s="60">
        <v>13.173266699999999</v>
      </c>
    </row>
    <row r="28" spans="1:3" x14ac:dyDescent="0.25">
      <c r="A28" s="59" t="s">
        <v>162</v>
      </c>
      <c r="B28" s="60">
        <v>3183</v>
      </c>
      <c r="C28" s="60">
        <v>7.9874851999999956</v>
      </c>
    </row>
    <row r="29" spans="1:3" x14ac:dyDescent="0.25">
      <c r="A29" s="59" t="s">
        <v>163</v>
      </c>
      <c r="B29" s="60">
        <v>13679</v>
      </c>
      <c r="C29" s="60">
        <v>41.432372999999998</v>
      </c>
    </row>
    <row r="30" spans="1:3" x14ac:dyDescent="0.25">
      <c r="A30" s="59" t="s">
        <v>167</v>
      </c>
      <c r="B30" s="60">
        <v>551</v>
      </c>
      <c r="C30" s="60">
        <v>8.5182164</v>
      </c>
    </row>
    <row r="31" spans="1:3" x14ac:dyDescent="0.25">
      <c r="A31" s="59" t="s">
        <v>172</v>
      </c>
      <c r="B31" s="60">
        <v>1305</v>
      </c>
      <c r="C31" s="60">
        <v>6.5250000000000004</v>
      </c>
    </row>
    <row r="32" spans="1:3" x14ac:dyDescent="0.25">
      <c r="A32" s="59" t="s">
        <v>194</v>
      </c>
      <c r="B32" s="60">
        <v>11544</v>
      </c>
      <c r="C32" s="60">
        <v>17.176630499999998</v>
      </c>
    </row>
    <row r="33" spans="1:3" x14ac:dyDescent="0.25">
      <c r="A33" s="59" t="s">
        <v>176</v>
      </c>
      <c r="B33" s="60">
        <v>11858</v>
      </c>
      <c r="C33" s="60">
        <v>45.245824800000008</v>
      </c>
    </row>
    <row r="34" spans="1:3" x14ac:dyDescent="0.25">
      <c r="A34" s="59" t="s">
        <v>200</v>
      </c>
      <c r="B34" s="60">
        <v>309781</v>
      </c>
      <c r="C34" s="60">
        <v>877.53691336334089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H8" sqref="H8"/>
    </sheetView>
  </sheetViews>
  <sheetFormatPr defaultRowHeight="15" x14ac:dyDescent="0.25"/>
  <cols>
    <col min="2" max="2" width="10.42578125" customWidth="1"/>
    <col min="3" max="3" width="15.28515625" customWidth="1"/>
    <col min="4" max="4" width="15.7109375" customWidth="1"/>
    <col min="5" max="5" width="11" customWidth="1"/>
    <col min="7" max="7" width="25.7109375" customWidth="1"/>
  </cols>
  <sheetData>
    <row r="1" spans="1:7" x14ac:dyDescent="0.25">
      <c r="A1" t="s">
        <v>19</v>
      </c>
      <c r="B1" t="s">
        <v>2</v>
      </c>
      <c r="C1" t="s">
        <v>35</v>
      </c>
      <c r="D1" t="s">
        <v>4</v>
      </c>
      <c r="E1" t="s">
        <v>6</v>
      </c>
      <c r="F1" t="s">
        <v>8</v>
      </c>
      <c r="G1" t="s">
        <v>206</v>
      </c>
    </row>
    <row r="2" spans="1:7" x14ac:dyDescent="0.25">
      <c r="A2" s="35">
        <v>44228</v>
      </c>
      <c r="B2" t="s">
        <v>24</v>
      </c>
      <c r="C2" t="s">
        <v>30</v>
      </c>
      <c r="D2" t="s">
        <v>194</v>
      </c>
      <c r="E2" t="s">
        <v>13</v>
      </c>
      <c r="F2">
        <v>1752</v>
      </c>
      <c r="G2">
        <v>2.5963691999999998</v>
      </c>
    </row>
    <row r="3" spans="1:7" x14ac:dyDescent="0.25">
      <c r="A3" s="35">
        <v>44228</v>
      </c>
      <c r="B3" t="s">
        <v>24</v>
      </c>
      <c r="C3" t="s">
        <v>30</v>
      </c>
      <c r="D3" t="s">
        <v>193</v>
      </c>
      <c r="E3" t="s">
        <v>13</v>
      </c>
      <c r="F3">
        <v>1272</v>
      </c>
      <c r="G3">
        <v>0.75818879999999989</v>
      </c>
    </row>
    <row r="4" spans="1:7" x14ac:dyDescent="0.25">
      <c r="A4" s="35">
        <v>44228</v>
      </c>
      <c r="B4" t="s">
        <v>24</v>
      </c>
      <c r="C4" t="s">
        <v>30</v>
      </c>
      <c r="D4" t="s">
        <v>106</v>
      </c>
      <c r="E4" t="s">
        <v>11</v>
      </c>
      <c r="F4">
        <v>636</v>
      </c>
      <c r="G4">
        <v>1.1113451999999997</v>
      </c>
    </row>
    <row r="5" spans="1:7" x14ac:dyDescent="0.25">
      <c r="A5" s="35">
        <v>44228</v>
      </c>
      <c r="B5" t="s">
        <v>24</v>
      </c>
      <c r="C5" t="s">
        <v>30</v>
      </c>
      <c r="D5" t="s">
        <v>96</v>
      </c>
      <c r="E5" t="s">
        <v>11</v>
      </c>
      <c r="F5">
        <v>720</v>
      </c>
      <c r="G5">
        <v>1.78416</v>
      </c>
    </row>
    <row r="6" spans="1:7" x14ac:dyDescent="0.25">
      <c r="A6" s="35">
        <v>44228</v>
      </c>
      <c r="B6" t="s">
        <v>24</v>
      </c>
      <c r="C6" t="s">
        <v>30</v>
      </c>
      <c r="D6" t="s">
        <v>74</v>
      </c>
      <c r="E6" t="s">
        <v>15</v>
      </c>
      <c r="F6">
        <v>2064</v>
      </c>
      <c r="G6">
        <v>3.6123983999999996</v>
      </c>
    </row>
    <row r="7" spans="1:7" x14ac:dyDescent="0.25">
      <c r="A7" s="35">
        <v>44228</v>
      </c>
      <c r="B7" t="s">
        <v>24</v>
      </c>
      <c r="C7" t="s">
        <v>30</v>
      </c>
      <c r="D7" t="s">
        <v>66</v>
      </c>
      <c r="E7" t="s">
        <v>11</v>
      </c>
      <c r="F7">
        <v>1188</v>
      </c>
      <c r="G7">
        <v>1.5315470000000004</v>
      </c>
    </row>
    <row r="8" spans="1:7" x14ac:dyDescent="0.25">
      <c r="A8" s="35">
        <v>44228</v>
      </c>
      <c r="B8" t="s">
        <v>24</v>
      </c>
      <c r="C8" t="s">
        <v>30</v>
      </c>
      <c r="D8" t="s">
        <v>184</v>
      </c>
      <c r="E8" t="s">
        <v>13</v>
      </c>
      <c r="F8">
        <v>4608</v>
      </c>
      <c r="G8">
        <v>3.3411752000000003</v>
      </c>
    </row>
    <row r="9" spans="1:7" x14ac:dyDescent="0.25">
      <c r="A9" s="35">
        <v>44228</v>
      </c>
      <c r="B9" t="s">
        <v>24</v>
      </c>
      <c r="C9" t="s">
        <v>30</v>
      </c>
      <c r="D9" t="s">
        <v>60</v>
      </c>
      <c r="E9" t="s">
        <v>11</v>
      </c>
      <c r="F9">
        <v>1080</v>
      </c>
      <c r="G9">
        <v>1.6758780000000002</v>
      </c>
    </row>
    <row r="10" spans="1:7" x14ac:dyDescent="0.25">
      <c r="A10" s="35">
        <v>44228</v>
      </c>
      <c r="B10" t="s">
        <v>24</v>
      </c>
      <c r="C10" t="s">
        <v>29</v>
      </c>
      <c r="D10" t="s">
        <v>194</v>
      </c>
      <c r="E10" t="s">
        <v>13</v>
      </c>
      <c r="F10">
        <v>884</v>
      </c>
      <c r="G10">
        <v>1.3162052</v>
      </c>
    </row>
    <row r="11" spans="1:7" x14ac:dyDescent="0.25">
      <c r="A11" s="35">
        <v>44228</v>
      </c>
      <c r="B11" t="s">
        <v>24</v>
      </c>
      <c r="C11" t="s">
        <v>29</v>
      </c>
      <c r="D11" t="s">
        <v>74</v>
      </c>
      <c r="E11" t="s">
        <v>15</v>
      </c>
      <c r="F11">
        <v>1344</v>
      </c>
      <c r="G11">
        <v>2.3709503999999995</v>
      </c>
    </row>
    <row r="12" spans="1:7" x14ac:dyDescent="0.25">
      <c r="A12" s="35">
        <v>44228</v>
      </c>
      <c r="B12" t="s">
        <v>24</v>
      </c>
      <c r="C12" t="s">
        <v>29</v>
      </c>
      <c r="D12" t="s">
        <v>66</v>
      </c>
      <c r="E12" t="s">
        <v>11</v>
      </c>
      <c r="F12">
        <v>576</v>
      </c>
      <c r="G12">
        <v>0.74769329999999989</v>
      </c>
    </row>
    <row r="13" spans="1:7" x14ac:dyDescent="0.25">
      <c r="A13" s="35">
        <v>44228</v>
      </c>
      <c r="B13" t="s">
        <v>24</v>
      </c>
      <c r="C13" t="s">
        <v>29</v>
      </c>
      <c r="D13" t="s">
        <v>184</v>
      </c>
      <c r="E13" t="s">
        <v>13</v>
      </c>
      <c r="F13">
        <v>2544</v>
      </c>
      <c r="G13">
        <v>1.8777012999999998</v>
      </c>
    </row>
    <row r="14" spans="1:7" x14ac:dyDescent="0.25">
      <c r="A14" s="35">
        <v>44228</v>
      </c>
      <c r="B14" t="s">
        <v>24</v>
      </c>
      <c r="C14" t="s">
        <v>28</v>
      </c>
      <c r="D14" t="s">
        <v>194</v>
      </c>
      <c r="E14" t="s">
        <v>13</v>
      </c>
      <c r="F14">
        <v>532</v>
      </c>
      <c r="G14">
        <v>0.79210990000000003</v>
      </c>
    </row>
    <row r="15" spans="1:7" x14ac:dyDescent="0.25">
      <c r="A15" s="35">
        <v>44228</v>
      </c>
      <c r="B15" t="s">
        <v>24</v>
      </c>
      <c r="C15" t="s">
        <v>28</v>
      </c>
      <c r="D15" t="s">
        <v>74</v>
      </c>
      <c r="E15" t="s">
        <v>15</v>
      </c>
      <c r="F15">
        <v>637</v>
      </c>
      <c r="G15">
        <v>1.1237316999999998</v>
      </c>
    </row>
    <row r="16" spans="1:7" x14ac:dyDescent="0.25">
      <c r="A16" s="35">
        <v>44228</v>
      </c>
      <c r="B16" t="s">
        <v>24</v>
      </c>
      <c r="C16" t="s">
        <v>28</v>
      </c>
      <c r="D16" t="s">
        <v>184</v>
      </c>
      <c r="E16" t="s">
        <v>13</v>
      </c>
      <c r="F16">
        <v>2865</v>
      </c>
      <c r="G16">
        <v>2.0910651000000002</v>
      </c>
    </row>
    <row r="17" spans="1:7" x14ac:dyDescent="0.25">
      <c r="A17" s="35">
        <v>44228</v>
      </c>
      <c r="B17" t="s">
        <v>24</v>
      </c>
      <c r="C17" t="s">
        <v>27</v>
      </c>
      <c r="D17" t="s">
        <v>163</v>
      </c>
      <c r="E17" t="s">
        <v>11</v>
      </c>
      <c r="F17">
        <v>984</v>
      </c>
      <c r="G17">
        <v>2.2840900000000004</v>
      </c>
    </row>
    <row r="18" spans="1:7" x14ac:dyDescent="0.25">
      <c r="A18" s="35">
        <v>44228</v>
      </c>
      <c r="B18" t="s">
        <v>24</v>
      </c>
      <c r="C18" t="s">
        <v>27</v>
      </c>
      <c r="D18" t="s">
        <v>193</v>
      </c>
      <c r="E18" t="s">
        <v>13</v>
      </c>
      <c r="F18">
        <v>576</v>
      </c>
      <c r="G18">
        <v>0.3468</v>
      </c>
    </row>
    <row r="19" spans="1:7" x14ac:dyDescent="0.25">
      <c r="A19" s="35">
        <v>44228</v>
      </c>
      <c r="B19" t="s">
        <v>24</v>
      </c>
      <c r="C19" t="s">
        <v>27</v>
      </c>
      <c r="D19" t="s">
        <v>106</v>
      </c>
      <c r="E19" t="s">
        <v>11</v>
      </c>
      <c r="F19">
        <v>1992</v>
      </c>
      <c r="G19">
        <v>3.4995873999999998</v>
      </c>
    </row>
    <row r="20" spans="1:7" x14ac:dyDescent="0.25">
      <c r="A20" s="35">
        <v>44228</v>
      </c>
      <c r="B20" t="s">
        <v>24</v>
      </c>
      <c r="C20" t="s">
        <v>27</v>
      </c>
      <c r="D20" t="s">
        <v>74</v>
      </c>
      <c r="E20" t="s">
        <v>15</v>
      </c>
      <c r="F20">
        <v>1317</v>
      </c>
      <c r="G20">
        <v>2.3367476999999997</v>
      </c>
    </row>
    <row r="21" spans="1:7" x14ac:dyDescent="0.25">
      <c r="A21" s="35">
        <v>44228</v>
      </c>
      <c r="B21" t="s">
        <v>24</v>
      </c>
      <c r="C21" t="s">
        <v>27</v>
      </c>
      <c r="D21" t="s">
        <v>66</v>
      </c>
      <c r="E21" t="s">
        <v>11</v>
      </c>
      <c r="F21">
        <v>2426</v>
      </c>
      <c r="G21">
        <v>3.1620225</v>
      </c>
    </row>
    <row r="22" spans="1:7" x14ac:dyDescent="0.25">
      <c r="A22" s="35">
        <v>44228</v>
      </c>
      <c r="B22" t="s">
        <v>24</v>
      </c>
      <c r="C22" t="s">
        <v>27</v>
      </c>
      <c r="D22" t="s">
        <v>184</v>
      </c>
      <c r="E22" t="s">
        <v>13</v>
      </c>
      <c r="F22">
        <v>1780</v>
      </c>
      <c r="G22">
        <v>1.2442595999999997</v>
      </c>
    </row>
    <row r="23" spans="1:7" x14ac:dyDescent="0.25">
      <c r="A23" s="35">
        <v>44228</v>
      </c>
      <c r="B23" t="s">
        <v>24</v>
      </c>
      <c r="C23" t="s">
        <v>27</v>
      </c>
      <c r="D23" t="s">
        <v>60</v>
      </c>
      <c r="E23" t="s">
        <v>11</v>
      </c>
      <c r="F23">
        <v>1920</v>
      </c>
      <c r="G23">
        <v>3.0105280999999988</v>
      </c>
    </row>
    <row r="24" spans="1:7" x14ac:dyDescent="0.25">
      <c r="A24" s="35">
        <v>44228</v>
      </c>
      <c r="B24" t="s">
        <v>24</v>
      </c>
      <c r="C24" t="s">
        <v>26</v>
      </c>
      <c r="D24" t="s">
        <v>74</v>
      </c>
      <c r="E24" t="s">
        <v>15</v>
      </c>
      <c r="F24">
        <v>576</v>
      </c>
      <c r="G24">
        <v>0.99602880000000005</v>
      </c>
    </row>
    <row r="25" spans="1:7" x14ac:dyDescent="0.25">
      <c r="A25" s="35">
        <v>44228</v>
      </c>
      <c r="B25" t="s">
        <v>23</v>
      </c>
      <c r="C25" t="s">
        <v>23</v>
      </c>
      <c r="D25" t="s">
        <v>126</v>
      </c>
      <c r="E25" t="s">
        <v>11</v>
      </c>
      <c r="F25">
        <v>2016</v>
      </c>
      <c r="G25">
        <v>12.085465040450011</v>
      </c>
    </row>
    <row r="26" spans="1:7" x14ac:dyDescent="0.25">
      <c r="A26" s="35">
        <v>44228</v>
      </c>
      <c r="B26" t="s">
        <v>23</v>
      </c>
      <c r="C26" t="s">
        <v>23</v>
      </c>
      <c r="D26" t="s">
        <v>197</v>
      </c>
      <c r="E26" t="s">
        <v>15</v>
      </c>
      <c r="F26">
        <v>1585</v>
      </c>
      <c r="G26">
        <v>0.23566332043999988</v>
      </c>
    </row>
    <row r="27" spans="1:7" x14ac:dyDescent="0.25">
      <c r="A27" s="35">
        <v>44228</v>
      </c>
      <c r="B27" t="s">
        <v>23</v>
      </c>
      <c r="C27" t="s">
        <v>23</v>
      </c>
      <c r="D27" t="s">
        <v>199</v>
      </c>
      <c r="E27" t="s">
        <v>15</v>
      </c>
      <c r="F27">
        <v>2150</v>
      </c>
      <c r="G27">
        <v>32.190549171440658</v>
      </c>
    </row>
    <row r="28" spans="1:7" x14ac:dyDescent="0.25">
      <c r="A28" s="35">
        <v>44228</v>
      </c>
      <c r="B28" t="s">
        <v>23</v>
      </c>
      <c r="C28" t="s">
        <v>23</v>
      </c>
      <c r="D28" t="s">
        <v>96</v>
      </c>
      <c r="E28" t="s">
        <v>11</v>
      </c>
      <c r="F28">
        <v>2299</v>
      </c>
      <c r="G28">
        <v>9.1474393979899862</v>
      </c>
    </row>
    <row r="29" spans="1:7" x14ac:dyDescent="0.25">
      <c r="A29" s="35">
        <v>44228</v>
      </c>
      <c r="B29" t="s">
        <v>23</v>
      </c>
      <c r="C29" t="s">
        <v>23</v>
      </c>
      <c r="D29" t="s">
        <v>74</v>
      </c>
      <c r="E29" t="s">
        <v>15</v>
      </c>
      <c r="F29">
        <v>519</v>
      </c>
      <c r="G29">
        <v>1.546400522419995</v>
      </c>
    </row>
    <row r="30" spans="1:7" x14ac:dyDescent="0.25">
      <c r="A30" s="35">
        <v>44228</v>
      </c>
      <c r="B30" t="s">
        <v>23</v>
      </c>
      <c r="C30" t="s">
        <v>23</v>
      </c>
      <c r="D30" t="s">
        <v>66</v>
      </c>
      <c r="E30" t="s">
        <v>11</v>
      </c>
      <c r="F30">
        <v>744</v>
      </c>
      <c r="G30">
        <v>2.3224511708999964</v>
      </c>
    </row>
    <row r="31" spans="1:7" x14ac:dyDescent="0.25">
      <c r="A31" s="35">
        <v>44228</v>
      </c>
      <c r="B31" t="s">
        <v>23</v>
      </c>
      <c r="C31" t="s">
        <v>23</v>
      </c>
      <c r="D31" t="s">
        <v>60</v>
      </c>
      <c r="E31" t="s">
        <v>11</v>
      </c>
      <c r="F31">
        <v>736</v>
      </c>
      <c r="G31">
        <v>3.4216519110100023</v>
      </c>
    </row>
    <row r="32" spans="1:7" x14ac:dyDescent="0.25">
      <c r="A32" s="35">
        <v>44228</v>
      </c>
      <c r="B32" t="s">
        <v>23</v>
      </c>
      <c r="C32" t="s">
        <v>23</v>
      </c>
      <c r="D32" t="s">
        <v>53</v>
      </c>
      <c r="E32" t="s">
        <v>11</v>
      </c>
      <c r="F32">
        <v>2646</v>
      </c>
      <c r="G32">
        <v>17.31645082868997</v>
      </c>
    </row>
    <row r="33" spans="1:7" x14ac:dyDescent="0.25">
      <c r="A33" s="35">
        <v>44228</v>
      </c>
      <c r="B33" t="s">
        <v>9</v>
      </c>
      <c r="C33" t="s">
        <v>21</v>
      </c>
      <c r="D33" t="s">
        <v>96</v>
      </c>
      <c r="E33" t="s">
        <v>11</v>
      </c>
      <c r="F33">
        <v>1122</v>
      </c>
      <c r="G33">
        <v>4.01722</v>
      </c>
    </row>
    <row r="34" spans="1:7" x14ac:dyDescent="0.25">
      <c r="A34" s="35">
        <v>44228</v>
      </c>
      <c r="B34" t="s">
        <v>9</v>
      </c>
      <c r="C34" t="s">
        <v>21</v>
      </c>
      <c r="D34" t="s">
        <v>66</v>
      </c>
      <c r="E34" t="s">
        <v>11</v>
      </c>
      <c r="F34">
        <v>790</v>
      </c>
      <c r="G34">
        <v>1.62323</v>
      </c>
    </row>
    <row r="35" spans="1:7" x14ac:dyDescent="0.25">
      <c r="A35" s="35">
        <v>44228</v>
      </c>
      <c r="B35" t="s">
        <v>9</v>
      </c>
      <c r="C35" t="s">
        <v>21</v>
      </c>
      <c r="D35" t="s">
        <v>60</v>
      </c>
      <c r="E35" t="s">
        <v>11</v>
      </c>
      <c r="F35">
        <v>597</v>
      </c>
      <c r="G35">
        <v>1.4638</v>
      </c>
    </row>
    <row r="36" spans="1:7" x14ac:dyDescent="0.25">
      <c r="A36" s="35">
        <v>44228</v>
      </c>
      <c r="B36" t="s">
        <v>9</v>
      </c>
      <c r="C36" t="s">
        <v>21</v>
      </c>
      <c r="D36" t="s">
        <v>53</v>
      </c>
      <c r="E36" t="s">
        <v>11</v>
      </c>
      <c r="F36">
        <v>834</v>
      </c>
      <c r="G36">
        <v>3.5623999999999998</v>
      </c>
    </row>
    <row r="37" spans="1:7" x14ac:dyDescent="0.25">
      <c r="A37" s="35">
        <v>44228</v>
      </c>
      <c r="B37" t="s">
        <v>9</v>
      </c>
      <c r="C37" t="s">
        <v>20</v>
      </c>
      <c r="D37" t="s">
        <v>66</v>
      </c>
      <c r="E37" t="s">
        <v>11</v>
      </c>
      <c r="F37">
        <v>916</v>
      </c>
      <c r="G37">
        <v>1.3098946999999999</v>
      </c>
    </row>
    <row r="38" spans="1:7" x14ac:dyDescent="0.25">
      <c r="A38" s="35">
        <v>44228</v>
      </c>
      <c r="B38" t="s">
        <v>9</v>
      </c>
      <c r="C38" t="s">
        <v>20</v>
      </c>
      <c r="D38" t="s">
        <v>184</v>
      </c>
      <c r="E38" t="s">
        <v>13</v>
      </c>
      <c r="F38">
        <v>606</v>
      </c>
      <c r="G38">
        <v>0.47273950000000003</v>
      </c>
    </row>
    <row r="39" spans="1:7" x14ac:dyDescent="0.25">
      <c r="A39" s="35">
        <v>44228</v>
      </c>
      <c r="B39" t="s">
        <v>9</v>
      </c>
      <c r="C39" t="s">
        <v>16</v>
      </c>
      <c r="D39" t="s">
        <v>176</v>
      </c>
      <c r="E39" t="s">
        <v>11</v>
      </c>
      <c r="F39">
        <v>2082</v>
      </c>
      <c r="G39">
        <v>8.2880228000000056</v>
      </c>
    </row>
    <row r="40" spans="1:7" x14ac:dyDescent="0.25">
      <c r="A40" s="35">
        <v>44228</v>
      </c>
      <c r="B40" t="s">
        <v>9</v>
      </c>
      <c r="C40" t="s">
        <v>16</v>
      </c>
      <c r="D40" t="s">
        <v>163</v>
      </c>
      <c r="E40" t="s">
        <v>11</v>
      </c>
      <c r="F40">
        <v>1788</v>
      </c>
      <c r="G40">
        <v>5.8157426999999986</v>
      </c>
    </row>
    <row r="41" spans="1:7" x14ac:dyDescent="0.25">
      <c r="A41" s="35">
        <v>44228</v>
      </c>
      <c r="B41" t="s">
        <v>9</v>
      </c>
      <c r="C41" t="s">
        <v>16</v>
      </c>
      <c r="D41" t="s">
        <v>162</v>
      </c>
      <c r="E41" t="s">
        <v>11</v>
      </c>
      <c r="F41">
        <v>731</v>
      </c>
      <c r="G41">
        <v>1.8484879999999988</v>
      </c>
    </row>
    <row r="42" spans="1:7" x14ac:dyDescent="0.25">
      <c r="A42" s="35">
        <v>44228</v>
      </c>
      <c r="B42" t="s">
        <v>9</v>
      </c>
      <c r="C42" t="s">
        <v>16</v>
      </c>
      <c r="D42" t="s">
        <v>132</v>
      </c>
      <c r="E42" t="s">
        <v>13</v>
      </c>
      <c r="F42">
        <v>854</v>
      </c>
      <c r="G42">
        <v>2.9922251000000002</v>
      </c>
    </row>
    <row r="43" spans="1:7" x14ac:dyDescent="0.25">
      <c r="A43" s="35">
        <v>44228</v>
      </c>
      <c r="B43" t="s">
        <v>9</v>
      </c>
      <c r="C43" t="s">
        <v>16</v>
      </c>
      <c r="D43" t="s">
        <v>126</v>
      </c>
      <c r="E43" t="s">
        <v>11</v>
      </c>
      <c r="F43">
        <v>1329</v>
      </c>
      <c r="G43">
        <v>6.1100878000000005</v>
      </c>
    </row>
    <row r="44" spans="1:7" x14ac:dyDescent="0.25">
      <c r="A44" s="35">
        <v>44228</v>
      </c>
      <c r="B44" t="s">
        <v>9</v>
      </c>
      <c r="C44" t="s">
        <v>16</v>
      </c>
      <c r="D44" t="s">
        <v>124</v>
      </c>
      <c r="E44" t="s">
        <v>11</v>
      </c>
      <c r="F44">
        <v>685</v>
      </c>
      <c r="G44">
        <v>1.7655501999999998</v>
      </c>
    </row>
    <row r="45" spans="1:7" x14ac:dyDescent="0.25">
      <c r="A45" s="35">
        <v>44228</v>
      </c>
      <c r="B45" t="s">
        <v>9</v>
      </c>
      <c r="C45" t="s">
        <v>16</v>
      </c>
      <c r="D45" t="s">
        <v>106</v>
      </c>
      <c r="E45" t="s">
        <v>11</v>
      </c>
      <c r="F45">
        <v>1353</v>
      </c>
      <c r="G45">
        <v>3.6533732999999997</v>
      </c>
    </row>
    <row r="46" spans="1:7" x14ac:dyDescent="0.25">
      <c r="A46" s="35">
        <v>44228</v>
      </c>
      <c r="B46" t="s">
        <v>9</v>
      </c>
      <c r="C46" t="s">
        <v>16</v>
      </c>
      <c r="D46" t="s">
        <v>103</v>
      </c>
      <c r="E46" t="s">
        <v>11</v>
      </c>
      <c r="F46">
        <v>639</v>
      </c>
      <c r="G46">
        <v>2.42875</v>
      </c>
    </row>
    <row r="47" spans="1:7" x14ac:dyDescent="0.25">
      <c r="A47" s="35">
        <v>44228</v>
      </c>
      <c r="B47" t="s">
        <v>9</v>
      </c>
      <c r="C47" t="s">
        <v>16</v>
      </c>
      <c r="D47" t="s">
        <v>96</v>
      </c>
      <c r="E47" t="s">
        <v>11</v>
      </c>
      <c r="F47">
        <v>3378</v>
      </c>
      <c r="G47">
        <v>12.122061700000017</v>
      </c>
    </row>
    <row r="48" spans="1:7" x14ac:dyDescent="0.25">
      <c r="A48" s="35">
        <v>44228</v>
      </c>
      <c r="B48" t="s">
        <v>9</v>
      </c>
      <c r="C48" t="s">
        <v>16</v>
      </c>
      <c r="D48" t="s">
        <v>89</v>
      </c>
      <c r="E48" t="s">
        <v>11</v>
      </c>
      <c r="F48">
        <v>1227</v>
      </c>
      <c r="G48">
        <v>4.3813940000000002</v>
      </c>
    </row>
    <row r="49" spans="1:7" x14ac:dyDescent="0.25">
      <c r="A49" s="35">
        <v>44228</v>
      </c>
      <c r="B49" t="s">
        <v>9</v>
      </c>
      <c r="C49" t="s">
        <v>16</v>
      </c>
      <c r="D49" t="s">
        <v>74</v>
      </c>
      <c r="E49" t="s">
        <v>15</v>
      </c>
      <c r="F49">
        <v>823</v>
      </c>
      <c r="G49">
        <v>2.1110504999999997</v>
      </c>
    </row>
    <row r="50" spans="1:7" x14ac:dyDescent="0.25">
      <c r="A50" s="35">
        <v>44228</v>
      </c>
      <c r="B50" t="s">
        <v>9</v>
      </c>
      <c r="C50" t="s">
        <v>16</v>
      </c>
      <c r="D50" t="s">
        <v>66</v>
      </c>
      <c r="E50" t="s">
        <v>11</v>
      </c>
      <c r="F50">
        <v>3345</v>
      </c>
      <c r="G50">
        <v>6.5960906999999853</v>
      </c>
    </row>
    <row r="51" spans="1:7" x14ac:dyDescent="0.25">
      <c r="A51" s="35">
        <v>44228</v>
      </c>
      <c r="B51" t="s">
        <v>9</v>
      </c>
      <c r="C51" t="s">
        <v>16</v>
      </c>
      <c r="D51" t="s">
        <v>64</v>
      </c>
      <c r="E51" t="s">
        <v>13</v>
      </c>
      <c r="F51">
        <v>829</v>
      </c>
      <c r="G51">
        <v>3.1705502000000001</v>
      </c>
    </row>
    <row r="52" spans="1:7" x14ac:dyDescent="0.25">
      <c r="A52" s="35">
        <v>44228</v>
      </c>
      <c r="B52" t="s">
        <v>9</v>
      </c>
      <c r="C52" t="s">
        <v>16</v>
      </c>
      <c r="D52" t="s">
        <v>60</v>
      </c>
      <c r="E52" t="s">
        <v>11</v>
      </c>
      <c r="F52">
        <v>2534</v>
      </c>
      <c r="G52">
        <v>6.0970812999999957</v>
      </c>
    </row>
    <row r="53" spans="1:7" x14ac:dyDescent="0.25">
      <c r="A53" s="35">
        <v>44228</v>
      </c>
      <c r="B53" t="s">
        <v>9</v>
      </c>
      <c r="C53" t="s">
        <v>16</v>
      </c>
      <c r="D53" t="s">
        <v>53</v>
      </c>
      <c r="E53" t="s">
        <v>11</v>
      </c>
      <c r="F53">
        <v>1914</v>
      </c>
      <c r="G53">
        <v>9.1171512999999997</v>
      </c>
    </row>
    <row r="54" spans="1:7" x14ac:dyDescent="0.25">
      <c r="A54" s="35">
        <v>44228</v>
      </c>
      <c r="B54" t="s">
        <v>9</v>
      </c>
      <c r="C54" t="s">
        <v>16</v>
      </c>
      <c r="D54" t="s">
        <v>52</v>
      </c>
      <c r="E54" t="s">
        <v>11</v>
      </c>
      <c r="F54">
        <v>1049</v>
      </c>
      <c r="G54">
        <v>4.1001289999999964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7" sqref="B7"/>
    </sheetView>
  </sheetViews>
  <sheetFormatPr defaultRowHeight="15" x14ac:dyDescent="0.25"/>
  <cols>
    <col min="1" max="1" width="11.28515625" customWidth="1"/>
    <col min="2" max="2" width="30.85546875" customWidth="1"/>
    <col min="3" max="3" width="10.7109375" bestFit="1" customWidth="1"/>
    <col min="8" max="8" width="20" bestFit="1" customWidth="1"/>
  </cols>
  <sheetData>
    <row r="1" spans="1:8" x14ac:dyDescent="0.25">
      <c r="H1" t="s">
        <v>349</v>
      </c>
    </row>
    <row r="2" spans="1:8" x14ac:dyDescent="0.25">
      <c r="H2" t="s">
        <v>350</v>
      </c>
    </row>
    <row r="3" spans="1:8" x14ac:dyDescent="0.25">
      <c r="H3" t="s">
        <v>348</v>
      </c>
    </row>
    <row r="5" spans="1:8" x14ac:dyDescent="0.25">
      <c r="B5" t="s">
        <v>318</v>
      </c>
      <c r="C5" t="s">
        <v>317</v>
      </c>
    </row>
    <row r="6" spans="1:8" x14ac:dyDescent="0.25">
      <c r="A6" s="88">
        <v>44166</v>
      </c>
      <c r="B6" s="60">
        <v>197.38843130000001</v>
      </c>
      <c r="C6" s="60">
        <v>85427</v>
      </c>
    </row>
    <row r="7" spans="1:8" x14ac:dyDescent="0.25">
      <c r="A7" s="88">
        <v>44197</v>
      </c>
      <c r="B7" s="60">
        <v>213.94649439999995</v>
      </c>
      <c r="C7" s="60">
        <v>67732</v>
      </c>
    </row>
    <row r="8" spans="1:8" x14ac:dyDescent="0.25">
      <c r="A8" s="88">
        <v>44228</v>
      </c>
      <c r="B8" s="60">
        <v>214.92368696334066</v>
      </c>
      <c r="C8" s="60">
        <v>76393</v>
      </c>
    </row>
    <row r="9" spans="1:8" x14ac:dyDescent="0.25">
      <c r="A9" s="88">
        <v>44256</v>
      </c>
      <c r="B9" s="60">
        <v>251.27830069999996</v>
      </c>
      <c r="C9" s="60">
        <v>80229</v>
      </c>
    </row>
    <row r="10" spans="1:8" x14ac:dyDescent="0.25">
      <c r="A10" s="88" t="s">
        <v>200</v>
      </c>
      <c r="B10" s="60">
        <v>877.53691336334055</v>
      </c>
      <c r="C10" s="60">
        <v>309781</v>
      </c>
    </row>
    <row r="16" spans="1:8" x14ac:dyDescent="0.25">
      <c r="A16" s="58" t="s">
        <v>2</v>
      </c>
      <c r="B16" t="s">
        <v>318</v>
      </c>
      <c r="C16" t="s">
        <v>317</v>
      </c>
    </row>
    <row r="17" spans="1:3" x14ac:dyDescent="0.25">
      <c r="A17" s="59" t="s">
        <v>23</v>
      </c>
      <c r="B17" s="60">
        <v>280.4753813633406</v>
      </c>
      <c r="C17" s="60">
        <v>42780</v>
      </c>
    </row>
    <row r="18" spans="1:3" x14ac:dyDescent="0.25">
      <c r="A18" s="59" t="s">
        <v>9</v>
      </c>
      <c r="B18" s="60">
        <v>411.67341729999998</v>
      </c>
      <c r="C18" s="60">
        <v>117562</v>
      </c>
    </row>
    <row r="19" spans="1:3" x14ac:dyDescent="0.25">
      <c r="A19" s="59" t="s">
        <v>24</v>
      </c>
      <c r="B19" s="60">
        <v>185.38811469999993</v>
      </c>
      <c r="C19" s="60">
        <v>149439</v>
      </c>
    </row>
    <row r="20" spans="1:3" x14ac:dyDescent="0.25">
      <c r="A20" s="59" t="s">
        <v>200</v>
      </c>
      <c r="B20" s="60">
        <v>877.53691336334055</v>
      </c>
      <c r="C20" s="60">
        <v>309781</v>
      </c>
    </row>
  </sheetData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zoomScale="115" zoomScaleNormal="115" workbookViewId="0">
      <selection activeCell="H2" sqref="H2"/>
    </sheetView>
  </sheetViews>
  <sheetFormatPr defaultRowHeight="15" x14ac:dyDescent="0.25"/>
  <cols>
    <col min="1" max="1" width="10.42578125" bestFit="1" customWidth="1"/>
    <col min="2" max="2" width="9.42578125" customWidth="1"/>
    <col min="3" max="3" width="14.140625" bestFit="1" customWidth="1"/>
    <col min="4" max="4" width="22.7109375" customWidth="1"/>
    <col min="5" max="5" width="18.85546875" bestFit="1" customWidth="1"/>
    <col min="6" max="6" width="5.5703125" bestFit="1" customWidth="1"/>
    <col min="7" max="7" width="24" bestFit="1" customWidth="1"/>
    <col min="8" max="8" width="27.28515625" customWidth="1"/>
    <col min="9" max="9" width="27.42578125" customWidth="1"/>
    <col min="10" max="10" width="21.85546875" customWidth="1"/>
    <col min="11" max="11" width="27.42578125" customWidth="1"/>
  </cols>
  <sheetData>
    <row r="1" spans="1:11" x14ac:dyDescent="0.25">
      <c r="A1" s="45" t="s">
        <v>19</v>
      </c>
      <c r="B1" s="45" t="s">
        <v>2</v>
      </c>
      <c r="C1" s="45" t="s">
        <v>35</v>
      </c>
      <c r="D1" s="45" t="s">
        <v>4</v>
      </c>
      <c r="E1" s="45" t="s">
        <v>6</v>
      </c>
      <c r="F1" s="45" t="s">
        <v>8</v>
      </c>
      <c r="G1" s="45" t="s">
        <v>206</v>
      </c>
    </row>
    <row r="2" spans="1:11" x14ac:dyDescent="0.25">
      <c r="A2" s="22">
        <v>44166</v>
      </c>
      <c r="B2" t="s">
        <v>9</v>
      </c>
      <c r="C2" t="s">
        <v>16</v>
      </c>
      <c r="D2" t="s">
        <v>52</v>
      </c>
      <c r="E2" t="s">
        <v>11</v>
      </c>
      <c r="F2">
        <v>1116</v>
      </c>
      <c r="G2" s="46">
        <v>4.2869963999999952</v>
      </c>
      <c r="H2">
        <f>F2*G2</f>
        <v>4784.2879823999947</v>
      </c>
      <c r="I2" s="75" t="s">
        <v>338</v>
      </c>
      <c r="J2" t="s">
        <v>331</v>
      </c>
      <c r="K2" t="s">
        <v>334</v>
      </c>
    </row>
    <row r="3" spans="1:11" x14ac:dyDescent="0.25">
      <c r="A3" s="22">
        <v>44166</v>
      </c>
      <c r="B3" t="s">
        <v>9</v>
      </c>
      <c r="C3" t="s">
        <v>16</v>
      </c>
      <c r="D3" t="s">
        <v>53</v>
      </c>
      <c r="E3" t="s">
        <v>11</v>
      </c>
      <c r="F3">
        <v>3003</v>
      </c>
      <c r="G3" s="38">
        <v>13.748312199999997</v>
      </c>
      <c r="J3" t="s">
        <v>330</v>
      </c>
      <c r="K3" t="s">
        <v>335</v>
      </c>
    </row>
    <row r="4" spans="1:11" x14ac:dyDescent="0.25">
      <c r="A4" s="22">
        <v>44166</v>
      </c>
      <c r="B4" t="s">
        <v>9</v>
      </c>
      <c r="C4" t="s">
        <v>16</v>
      </c>
      <c r="D4" t="s">
        <v>60</v>
      </c>
      <c r="E4" t="s">
        <v>11</v>
      </c>
      <c r="F4">
        <v>2962</v>
      </c>
      <c r="G4" s="38">
        <v>7.3216708000000006</v>
      </c>
      <c r="J4" t="s">
        <v>332</v>
      </c>
      <c r="K4" t="s">
        <v>336</v>
      </c>
    </row>
    <row r="5" spans="1:11" x14ac:dyDescent="0.25">
      <c r="A5" s="22">
        <v>44166</v>
      </c>
      <c r="B5" t="s">
        <v>9</v>
      </c>
      <c r="C5" t="s">
        <v>16</v>
      </c>
      <c r="D5" t="s">
        <v>64</v>
      </c>
      <c r="E5" t="s">
        <v>13</v>
      </c>
      <c r="F5">
        <v>1004</v>
      </c>
      <c r="G5" s="38">
        <v>3.7710001000000002</v>
      </c>
      <c r="I5" t="s">
        <v>324</v>
      </c>
      <c r="J5" t="s">
        <v>333</v>
      </c>
      <c r="K5" t="s">
        <v>337</v>
      </c>
    </row>
    <row r="6" spans="1:11" x14ac:dyDescent="0.25">
      <c r="A6" s="22">
        <v>44166</v>
      </c>
      <c r="B6" t="s">
        <v>9</v>
      </c>
      <c r="C6" t="s">
        <v>16</v>
      </c>
      <c r="D6" t="s">
        <v>124</v>
      </c>
      <c r="E6" t="s">
        <v>11</v>
      </c>
      <c r="F6">
        <v>555</v>
      </c>
      <c r="G6" s="38">
        <v>1.5228668000000003</v>
      </c>
      <c r="I6" t="s">
        <v>327</v>
      </c>
    </row>
    <row r="7" spans="1:11" x14ac:dyDescent="0.25">
      <c r="A7" s="22">
        <v>44166</v>
      </c>
      <c r="B7" t="s">
        <v>9</v>
      </c>
      <c r="C7" t="s">
        <v>16</v>
      </c>
      <c r="D7" t="s">
        <v>126</v>
      </c>
      <c r="E7" t="s">
        <v>11</v>
      </c>
      <c r="F7">
        <v>874</v>
      </c>
      <c r="G7" s="38">
        <v>4.0263055999999997</v>
      </c>
      <c r="I7" t="s">
        <v>328</v>
      </c>
    </row>
    <row r="8" spans="1:11" x14ac:dyDescent="0.25">
      <c r="A8" s="22">
        <v>44166</v>
      </c>
      <c r="B8" t="s">
        <v>9</v>
      </c>
      <c r="C8" t="s">
        <v>16</v>
      </c>
      <c r="D8" t="s">
        <v>149</v>
      </c>
      <c r="E8" t="s">
        <v>15</v>
      </c>
      <c r="F8">
        <v>658</v>
      </c>
      <c r="G8" s="38">
        <v>7.5823352000000002</v>
      </c>
      <c r="I8" t="s">
        <v>329</v>
      </c>
    </row>
    <row r="9" spans="1:11" x14ac:dyDescent="0.25">
      <c r="A9" s="22">
        <v>44166</v>
      </c>
      <c r="B9" t="s">
        <v>9</v>
      </c>
      <c r="C9" t="s">
        <v>16</v>
      </c>
      <c r="D9" t="s">
        <v>152</v>
      </c>
      <c r="E9" t="s">
        <v>15</v>
      </c>
      <c r="F9">
        <v>649</v>
      </c>
      <c r="G9" s="38">
        <v>7.1512099999999998</v>
      </c>
    </row>
    <row r="10" spans="1:11" x14ac:dyDescent="0.25">
      <c r="A10" s="22">
        <v>44166</v>
      </c>
      <c r="B10" t="s">
        <v>9</v>
      </c>
      <c r="C10" t="s">
        <v>16</v>
      </c>
      <c r="D10" t="s">
        <v>162</v>
      </c>
      <c r="E10" t="s">
        <v>11</v>
      </c>
      <c r="F10">
        <v>910</v>
      </c>
      <c r="G10" s="38">
        <v>2.2141665999999995</v>
      </c>
    </row>
    <row r="11" spans="1:11" x14ac:dyDescent="0.25">
      <c r="A11" s="22">
        <v>44166</v>
      </c>
      <c r="B11" t="s">
        <v>9</v>
      </c>
      <c r="C11" t="s">
        <v>16</v>
      </c>
      <c r="D11" t="s">
        <v>163</v>
      </c>
      <c r="E11" t="s">
        <v>11</v>
      </c>
      <c r="F11">
        <v>3410</v>
      </c>
      <c r="G11" s="38">
        <v>11.062033099999999</v>
      </c>
    </row>
    <row r="12" spans="1:11" x14ac:dyDescent="0.25">
      <c r="A12" s="22">
        <v>44166</v>
      </c>
      <c r="B12" t="s">
        <v>9</v>
      </c>
      <c r="C12" t="s">
        <v>16</v>
      </c>
      <c r="D12" t="s">
        <v>176</v>
      </c>
      <c r="E12" t="s">
        <v>11</v>
      </c>
      <c r="F12">
        <v>1890</v>
      </c>
      <c r="G12" s="38">
        <v>7.6658187000000035</v>
      </c>
    </row>
    <row r="13" spans="1:11" x14ac:dyDescent="0.25">
      <c r="A13" s="22">
        <v>44166</v>
      </c>
      <c r="B13" t="s">
        <v>9</v>
      </c>
      <c r="C13" t="s">
        <v>20</v>
      </c>
      <c r="D13" t="s">
        <v>60</v>
      </c>
      <c r="E13" t="s">
        <v>11</v>
      </c>
      <c r="F13">
        <v>896</v>
      </c>
      <c r="G13" s="38">
        <v>1.5434134000000008</v>
      </c>
    </row>
    <row r="14" spans="1:11" x14ac:dyDescent="0.25">
      <c r="A14" s="22">
        <v>44166</v>
      </c>
      <c r="B14" t="s">
        <v>9</v>
      </c>
      <c r="C14" t="s">
        <v>20</v>
      </c>
      <c r="D14" t="s">
        <v>66</v>
      </c>
      <c r="E14" t="s">
        <v>11</v>
      </c>
      <c r="F14">
        <v>732</v>
      </c>
      <c r="G14" s="38">
        <v>1.0467713999999999</v>
      </c>
    </row>
    <row r="15" spans="1:11" x14ac:dyDescent="0.25">
      <c r="A15" s="22">
        <v>44166</v>
      </c>
      <c r="B15" t="s">
        <v>9</v>
      </c>
      <c r="C15" t="s">
        <v>21</v>
      </c>
      <c r="D15" t="s">
        <v>53</v>
      </c>
      <c r="E15" t="s">
        <v>11</v>
      </c>
      <c r="F15">
        <v>828</v>
      </c>
      <c r="G15" s="38">
        <v>3.6831399999999999</v>
      </c>
    </row>
    <row r="16" spans="1:11" x14ac:dyDescent="0.25">
      <c r="A16" s="22">
        <v>44166</v>
      </c>
      <c r="B16" t="s">
        <v>9</v>
      </c>
      <c r="C16" t="s">
        <v>21</v>
      </c>
      <c r="D16" t="s">
        <v>66</v>
      </c>
      <c r="E16" t="s">
        <v>11</v>
      </c>
      <c r="F16">
        <v>532</v>
      </c>
      <c r="G16" s="38">
        <v>1.09846</v>
      </c>
    </row>
    <row r="17" spans="1:7" x14ac:dyDescent="0.25">
      <c r="A17" s="22">
        <v>44166</v>
      </c>
      <c r="B17" t="s">
        <v>9</v>
      </c>
      <c r="C17" t="s">
        <v>21</v>
      </c>
      <c r="D17" t="s">
        <v>96</v>
      </c>
      <c r="E17" t="s">
        <v>11</v>
      </c>
      <c r="F17">
        <v>1202</v>
      </c>
      <c r="G17" s="38">
        <v>4.1987300000000003</v>
      </c>
    </row>
    <row r="18" spans="1:7" x14ac:dyDescent="0.25">
      <c r="A18" s="22">
        <v>44166</v>
      </c>
      <c r="B18" t="s">
        <v>23</v>
      </c>
      <c r="C18" t="s">
        <v>23</v>
      </c>
      <c r="D18" t="s">
        <v>53</v>
      </c>
      <c r="E18" t="s">
        <v>11</v>
      </c>
      <c r="F18">
        <v>2887</v>
      </c>
      <c r="G18" s="38">
        <v>15.878500000000001</v>
      </c>
    </row>
    <row r="19" spans="1:7" x14ac:dyDescent="0.25">
      <c r="A19" s="22">
        <v>44166</v>
      </c>
      <c r="B19" t="s">
        <v>23</v>
      </c>
      <c r="C19" t="s">
        <v>23</v>
      </c>
      <c r="D19" t="s">
        <v>96</v>
      </c>
      <c r="E19" t="s">
        <v>11</v>
      </c>
      <c r="F19">
        <v>1798</v>
      </c>
      <c r="G19" s="38">
        <v>7.5515999999999996</v>
      </c>
    </row>
    <row r="20" spans="1:7" x14ac:dyDescent="0.25">
      <c r="A20" s="22">
        <v>44166</v>
      </c>
      <c r="B20" t="s">
        <v>23</v>
      </c>
      <c r="C20" t="s">
        <v>23</v>
      </c>
      <c r="D20" t="s">
        <v>199</v>
      </c>
      <c r="E20" t="s">
        <v>15</v>
      </c>
      <c r="F20">
        <v>1175</v>
      </c>
      <c r="G20" s="38">
        <v>17.625</v>
      </c>
    </row>
    <row r="21" spans="1:7" x14ac:dyDescent="0.25">
      <c r="A21" s="22">
        <v>44166</v>
      </c>
      <c r="B21" t="s">
        <v>23</v>
      </c>
      <c r="C21" t="s">
        <v>23</v>
      </c>
      <c r="D21" t="s">
        <v>172</v>
      </c>
      <c r="E21" t="s">
        <v>11</v>
      </c>
      <c r="F21">
        <v>688</v>
      </c>
      <c r="G21" s="38">
        <v>3.44</v>
      </c>
    </row>
    <row r="22" spans="1:7" x14ac:dyDescent="0.25">
      <c r="A22" s="22">
        <v>44166</v>
      </c>
      <c r="B22" t="s">
        <v>24</v>
      </c>
      <c r="C22" t="s">
        <v>25</v>
      </c>
      <c r="D22" t="s">
        <v>193</v>
      </c>
      <c r="E22" t="s">
        <v>13</v>
      </c>
      <c r="F22">
        <v>5472</v>
      </c>
      <c r="G22" s="38">
        <v>3.2979744000000002</v>
      </c>
    </row>
    <row r="23" spans="1:7" x14ac:dyDescent="0.25">
      <c r="A23" s="22">
        <v>44166</v>
      </c>
      <c r="B23" t="s">
        <v>24</v>
      </c>
      <c r="C23" t="s">
        <v>26</v>
      </c>
      <c r="D23" t="s">
        <v>184</v>
      </c>
      <c r="E23" t="s">
        <v>13</v>
      </c>
      <c r="F23">
        <v>1444</v>
      </c>
      <c r="G23" s="38">
        <v>1.0538228000000001</v>
      </c>
    </row>
    <row r="24" spans="1:7" x14ac:dyDescent="0.25">
      <c r="A24" s="22">
        <v>44166</v>
      </c>
      <c r="B24" t="s">
        <v>24</v>
      </c>
      <c r="C24" t="s">
        <v>26</v>
      </c>
      <c r="D24" t="s">
        <v>74</v>
      </c>
      <c r="E24" t="s">
        <v>15</v>
      </c>
      <c r="F24">
        <v>624</v>
      </c>
      <c r="G24" s="38">
        <v>1.1007984000000002</v>
      </c>
    </row>
    <row r="25" spans="1:7" x14ac:dyDescent="0.25">
      <c r="A25" s="22">
        <v>44166</v>
      </c>
      <c r="B25" t="s">
        <v>24</v>
      </c>
      <c r="C25" t="s">
        <v>26</v>
      </c>
      <c r="D25" t="s">
        <v>193</v>
      </c>
      <c r="E25" t="s">
        <v>13</v>
      </c>
      <c r="F25">
        <v>2256</v>
      </c>
      <c r="G25" s="38">
        <v>1.3596911999999999</v>
      </c>
    </row>
    <row r="26" spans="1:7" x14ac:dyDescent="0.25">
      <c r="A26" s="22">
        <v>44166</v>
      </c>
      <c r="B26" t="s">
        <v>24</v>
      </c>
      <c r="C26" t="s">
        <v>26</v>
      </c>
      <c r="D26" t="s">
        <v>194</v>
      </c>
      <c r="E26" t="s">
        <v>13</v>
      </c>
      <c r="F26">
        <v>528</v>
      </c>
      <c r="G26" s="38">
        <v>0.78747</v>
      </c>
    </row>
    <row r="27" spans="1:7" x14ac:dyDescent="0.25">
      <c r="A27" s="22">
        <v>44166</v>
      </c>
      <c r="B27" t="s">
        <v>24</v>
      </c>
      <c r="C27" t="s">
        <v>27</v>
      </c>
      <c r="D27" t="s">
        <v>60</v>
      </c>
      <c r="E27" t="s">
        <v>11</v>
      </c>
      <c r="F27">
        <v>2369</v>
      </c>
      <c r="G27" s="38">
        <v>3.6862483999999998</v>
      </c>
    </row>
    <row r="28" spans="1:7" x14ac:dyDescent="0.25">
      <c r="A28" s="22">
        <v>44166</v>
      </c>
      <c r="B28" t="s">
        <v>24</v>
      </c>
      <c r="C28" t="s">
        <v>27</v>
      </c>
      <c r="D28" t="s">
        <v>184</v>
      </c>
      <c r="E28" t="s">
        <v>13</v>
      </c>
      <c r="F28">
        <v>1548</v>
      </c>
      <c r="G28" s="38">
        <v>1.0829657000000001</v>
      </c>
    </row>
    <row r="29" spans="1:7" x14ac:dyDescent="0.25">
      <c r="A29" s="22">
        <v>44166</v>
      </c>
      <c r="B29" t="s">
        <v>24</v>
      </c>
      <c r="C29" t="s">
        <v>27</v>
      </c>
      <c r="D29" t="s">
        <v>66</v>
      </c>
      <c r="E29" t="s">
        <v>11</v>
      </c>
      <c r="F29">
        <v>3150</v>
      </c>
      <c r="G29" s="38">
        <v>4.099221899999999</v>
      </c>
    </row>
    <row r="30" spans="1:7" x14ac:dyDescent="0.25">
      <c r="A30" s="22">
        <v>44166</v>
      </c>
      <c r="B30" t="s">
        <v>24</v>
      </c>
      <c r="C30" t="s">
        <v>27</v>
      </c>
      <c r="D30" t="s">
        <v>74</v>
      </c>
      <c r="E30" t="s">
        <v>15</v>
      </c>
      <c r="F30">
        <v>1152</v>
      </c>
      <c r="G30" s="38">
        <v>1.9942838000000003</v>
      </c>
    </row>
    <row r="31" spans="1:7" x14ac:dyDescent="0.25">
      <c r="A31" s="22">
        <v>44166</v>
      </c>
      <c r="B31" t="s">
        <v>24</v>
      </c>
      <c r="C31" t="s">
        <v>27</v>
      </c>
      <c r="D31" t="s">
        <v>106</v>
      </c>
      <c r="E31" t="s">
        <v>11</v>
      </c>
      <c r="F31">
        <v>1500</v>
      </c>
      <c r="G31" s="38">
        <v>2.7036700999999996</v>
      </c>
    </row>
    <row r="32" spans="1:7" x14ac:dyDescent="0.25">
      <c r="A32" s="22">
        <v>44166</v>
      </c>
      <c r="B32" t="s">
        <v>24</v>
      </c>
      <c r="C32" t="s">
        <v>27</v>
      </c>
      <c r="D32" t="s">
        <v>193</v>
      </c>
      <c r="E32" t="s">
        <v>13</v>
      </c>
      <c r="F32">
        <v>918</v>
      </c>
      <c r="G32" s="38">
        <v>0.55580399999999996</v>
      </c>
    </row>
    <row r="33" spans="1:7" x14ac:dyDescent="0.25">
      <c r="A33" s="22">
        <v>44166</v>
      </c>
      <c r="B33" t="s">
        <v>24</v>
      </c>
      <c r="C33" t="s">
        <v>27</v>
      </c>
      <c r="D33" t="s">
        <v>163</v>
      </c>
      <c r="E33" t="s">
        <v>11</v>
      </c>
      <c r="F33">
        <v>1314</v>
      </c>
      <c r="G33" s="38">
        <v>3.0137012999999993</v>
      </c>
    </row>
    <row r="34" spans="1:7" x14ac:dyDescent="0.25">
      <c r="A34" s="22">
        <v>44166</v>
      </c>
      <c r="B34" t="s">
        <v>24</v>
      </c>
      <c r="C34" t="s">
        <v>27</v>
      </c>
      <c r="D34" t="s">
        <v>176</v>
      </c>
      <c r="E34" t="s">
        <v>11</v>
      </c>
      <c r="F34">
        <v>1680</v>
      </c>
      <c r="G34" s="38">
        <v>4.8198662000000008</v>
      </c>
    </row>
    <row r="35" spans="1:7" x14ac:dyDescent="0.25">
      <c r="A35" s="22">
        <v>44166</v>
      </c>
      <c r="B35" t="s">
        <v>24</v>
      </c>
      <c r="C35" t="s">
        <v>28</v>
      </c>
      <c r="D35" t="s">
        <v>184</v>
      </c>
      <c r="E35" t="s">
        <v>13</v>
      </c>
      <c r="F35">
        <v>864</v>
      </c>
      <c r="G35" s="38">
        <v>0.63081639999999994</v>
      </c>
    </row>
    <row r="36" spans="1:7" x14ac:dyDescent="0.25">
      <c r="A36" s="22">
        <v>44166</v>
      </c>
      <c r="B36" t="s">
        <v>24</v>
      </c>
      <c r="C36" t="s">
        <v>28</v>
      </c>
      <c r="D36" t="s">
        <v>193</v>
      </c>
      <c r="E36" t="s">
        <v>13</v>
      </c>
      <c r="F36">
        <v>912</v>
      </c>
      <c r="G36" s="38">
        <v>0.54966240000000011</v>
      </c>
    </row>
    <row r="37" spans="1:7" x14ac:dyDescent="0.25">
      <c r="A37" s="22">
        <v>44166</v>
      </c>
      <c r="B37" t="s">
        <v>24</v>
      </c>
      <c r="C37" t="s">
        <v>29</v>
      </c>
      <c r="D37" t="s">
        <v>60</v>
      </c>
      <c r="E37" t="s">
        <v>11</v>
      </c>
      <c r="F37">
        <v>852</v>
      </c>
      <c r="G37" s="38">
        <v>1.3295760000000001</v>
      </c>
    </row>
    <row r="38" spans="1:7" x14ac:dyDescent="0.25">
      <c r="A38" s="22">
        <v>44166</v>
      </c>
      <c r="B38" t="s">
        <v>24</v>
      </c>
      <c r="C38" t="s">
        <v>29</v>
      </c>
      <c r="D38" t="s">
        <v>184</v>
      </c>
      <c r="E38" t="s">
        <v>13</v>
      </c>
      <c r="F38">
        <v>3871</v>
      </c>
      <c r="G38" s="38">
        <v>2.8352446999999996</v>
      </c>
    </row>
    <row r="39" spans="1:7" x14ac:dyDescent="0.25">
      <c r="A39" s="22">
        <v>44166</v>
      </c>
      <c r="B39" t="s">
        <v>24</v>
      </c>
      <c r="C39" t="s">
        <v>29</v>
      </c>
      <c r="D39" t="s">
        <v>66</v>
      </c>
      <c r="E39" t="s">
        <v>11</v>
      </c>
      <c r="F39">
        <v>636</v>
      </c>
      <c r="G39" s="38">
        <v>0.82346629999999987</v>
      </c>
    </row>
    <row r="40" spans="1:7" x14ac:dyDescent="0.25">
      <c r="A40" s="22">
        <v>44166</v>
      </c>
      <c r="B40" t="s">
        <v>24</v>
      </c>
      <c r="C40" t="s">
        <v>29</v>
      </c>
      <c r="D40" t="s">
        <v>106</v>
      </c>
      <c r="E40" t="s">
        <v>11</v>
      </c>
      <c r="F40">
        <v>672</v>
      </c>
      <c r="G40" s="38">
        <v>1.1865937999999998</v>
      </c>
    </row>
    <row r="41" spans="1:7" x14ac:dyDescent="0.25">
      <c r="A41" s="22">
        <v>44166</v>
      </c>
      <c r="B41" t="s">
        <v>24</v>
      </c>
      <c r="C41" t="s">
        <v>29</v>
      </c>
      <c r="D41" t="s">
        <v>195</v>
      </c>
      <c r="E41" t="s">
        <v>15</v>
      </c>
      <c r="F41">
        <v>864</v>
      </c>
      <c r="G41" s="38">
        <v>1.5234743999999998</v>
      </c>
    </row>
    <row r="42" spans="1:7" x14ac:dyDescent="0.25">
      <c r="A42" s="22">
        <v>44166</v>
      </c>
      <c r="B42" t="s">
        <v>24</v>
      </c>
      <c r="C42" t="s">
        <v>29</v>
      </c>
      <c r="D42" t="s">
        <v>196</v>
      </c>
      <c r="E42" t="s">
        <v>15</v>
      </c>
      <c r="F42">
        <v>840</v>
      </c>
      <c r="G42" s="38">
        <v>1.4811642999999999</v>
      </c>
    </row>
    <row r="43" spans="1:7" x14ac:dyDescent="0.25">
      <c r="A43" s="22">
        <v>44166</v>
      </c>
      <c r="B43" t="s">
        <v>24</v>
      </c>
      <c r="C43" t="s">
        <v>29</v>
      </c>
      <c r="D43" t="s">
        <v>193</v>
      </c>
      <c r="E43" t="s">
        <v>13</v>
      </c>
      <c r="F43">
        <v>2816</v>
      </c>
      <c r="G43" s="38">
        <v>1.6972032000000001</v>
      </c>
    </row>
    <row r="44" spans="1:7" x14ac:dyDescent="0.25">
      <c r="A44" s="22">
        <v>44166</v>
      </c>
      <c r="B44" t="s">
        <v>24</v>
      </c>
      <c r="C44" t="s">
        <v>29</v>
      </c>
      <c r="D44" t="s">
        <v>194</v>
      </c>
      <c r="E44" t="s">
        <v>13</v>
      </c>
      <c r="F44">
        <v>1260</v>
      </c>
      <c r="G44" s="38">
        <v>1.8760315999999997</v>
      </c>
    </row>
    <row r="45" spans="1:7" x14ac:dyDescent="0.25">
      <c r="A45" s="22">
        <v>44166</v>
      </c>
      <c r="B45" t="s">
        <v>24</v>
      </c>
      <c r="C45" t="s">
        <v>30</v>
      </c>
      <c r="D45" t="s">
        <v>53</v>
      </c>
      <c r="E45" t="s">
        <v>11</v>
      </c>
      <c r="F45">
        <v>648</v>
      </c>
      <c r="G45" s="38">
        <v>2.1028172000000005</v>
      </c>
    </row>
    <row r="46" spans="1:7" x14ac:dyDescent="0.25">
      <c r="A46" s="22">
        <v>44166</v>
      </c>
      <c r="B46" t="s">
        <v>24</v>
      </c>
      <c r="C46" t="s">
        <v>30</v>
      </c>
      <c r="D46" t="s">
        <v>60</v>
      </c>
      <c r="E46" t="s">
        <v>11</v>
      </c>
      <c r="F46">
        <v>887</v>
      </c>
      <c r="G46" s="38">
        <v>1.3868418999999996</v>
      </c>
    </row>
    <row r="47" spans="1:7" x14ac:dyDescent="0.25">
      <c r="A47" s="22">
        <v>44166</v>
      </c>
      <c r="B47" t="s">
        <v>24</v>
      </c>
      <c r="C47" t="s">
        <v>30</v>
      </c>
      <c r="D47" t="s">
        <v>184</v>
      </c>
      <c r="E47" t="s">
        <v>13</v>
      </c>
      <c r="F47">
        <v>4656</v>
      </c>
      <c r="G47" s="38">
        <v>3.399713999999999</v>
      </c>
    </row>
    <row r="48" spans="1:7" x14ac:dyDescent="0.25">
      <c r="A48" s="22">
        <v>44166</v>
      </c>
      <c r="B48" t="s">
        <v>24</v>
      </c>
      <c r="C48" t="s">
        <v>30</v>
      </c>
      <c r="D48" t="s">
        <v>64</v>
      </c>
      <c r="E48" t="s">
        <v>13</v>
      </c>
      <c r="F48">
        <v>612</v>
      </c>
      <c r="G48" s="38">
        <v>1.9537211000000001</v>
      </c>
    </row>
    <row r="49" spans="1:7" x14ac:dyDescent="0.25">
      <c r="A49" s="22">
        <v>44166</v>
      </c>
      <c r="B49" t="s">
        <v>24</v>
      </c>
      <c r="C49" t="s">
        <v>30</v>
      </c>
      <c r="D49" t="s">
        <v>66</v>
      </c>
      <c r="E49" t="s">
        <v>11</v>
      </c>
      <c r="F49">
        <v>1428</v>
      </c>
      <c r="G49" s="38">
        <v>1.8536584999999999</v>
      </c>
    </row>
    <row r="50" spans="1:7" x14ac:dyDescent="0.25">
      <c r="A50" s="22">
        <v>44166</v>
      </c>
      <c r="B50" t="s">
        <v>24</v>
      </c>
      <c r="C50" t="s">
        <v>30</v>
      </c>
      <c r="D50" t="s">
        <v>74</v>
      </c>
      <c r="E50" t="s">
        <v>15</v>
      </c>
      <c r="F50">
        <v>2424</v>
      </c>
      <c r="G50" s="38">
        <v>4.2760368</v>
      </c>
    </row>
    <row r="51" spans="1:7" x14ac:dyDescent="0.25">
      <c r="A51" s="22">
        <v>44166</v>
      </c>
      <c r="B51" t="s">
        <v>24</v>
      </c>
      <c r="C51" t="s">
        <v>30</v>
      </c>
      <c r="D51" t="s">
        <v>96</v>
      </c>
      <c r="E51" t="s">
        <v>11</v>
      </c>
      <c r="F51">
        <v>516</v>
      </c>
      <c r="G51" s="38">
        <v>1.2643747999999999</v>
      </c>
    </row>
    <row r="52" spans="1:7" x14ac:dyDescent="0.25">
      <c r="A52" s="22">
        <v>44166</v>
      </c>
      <c r="B52" t="s">
        <v>24</v>
      </c>
      <c r="C52" t="s">
        <v>30</v>
      </c>
      <c r="D52" t="s">
        <v>106</v>
      </c>
      <c r="E52" t="s">
        <v>11</v>
      </c>
      <c r="F52">
        <v>797</v>
      </c>
      <c r="G52" s="38">
        <v>1.4107290999999995</v>
      </c>
    </row>
    <row r="53" spans="1:7" x14ac:dyDescent="0.25">
      <c r="A53" s="22">
        <v>44166</v>
      </c>
      <c r="B53" t="s">
        <v>24</v>
      </c>
      <c r="C53" t="s">
        <v>30</v>
      </c>
      <c r="D53" t="s">
        <v>195</v>
      </c>
      <c r="E53" t="s">
        <v>15</v>
      </c>
      <c r="F53">
        <v>696</v>
      </c>
      <c r="G53" s="38">
        <v>1.2269920999999999</v>
      </c>
    </row>
    <row r="54" spans="1:7" x14ac:dyDescent="0.25">
      <c r="A54" s="22">
        <v>44166</v>
      </c>
      <c r="B54" t="s">
        <v>24</v>
      </c>
      <c r="C54" t="s">
        <v>30</v>
      </c>
      <c r="D54" t="s">
        <v>196</v>
      </c>
      <c r="E54" t="s">
        <v>15</v>
      </c>
      <c r="F54">
        <v>696</v>
      </c>
      <c r="G54" s="38">
        <v>1.2269920999999999</v>
      </c>
    </row>
    <row r="55" spans="1:7" x14ac:dyDescent="0.25">
      <c r="A55" s="22">
        <v>44166</v>
      </c>
      <c r="B55" t="s">
        <v>24</v>
      </c>
      <c r="C55" t="s">
        <v>30</v>
      </c>
      <c r="D55" t="s">
        <v>193</v>
      </c>
      <c r="E55" t="s">
        <v>13</v>
      </c>
      <c r="F55">
        <v>3696</v>
      </c>
      <c r="G55" s="38">
        <v>2.2275791999999996</v>
      </c>
    </row>
    <row r="56" spans="1:7" x14ac:dyDescent="0.25">
      <c r="A56" s="22">
        <v>44166</v>
      </c>
      <c r="B56" t="s">
        <v>24</v>
      </c>
      <c r="C56" t="s">
        <v>30</v>
      </c>
      <c r="D56" t="s">
        <v>163</v>
      </c>
      <c r="E56" t="s">
        <v>11</v>
      </c>
      <c r="F56">
        <v>684</v>
      </c>
      <c r="G56" s="38">
        <v>1.6142131000000002</v>
      </c>
    </row>
    <row r="57" spans="1:7" x14ac:dyDescent="0.25">
      <c r="A57" s="22">
        <v>44166</v>
      </c>
      <c r="B57" t="s">
        <v>24</v>
      </c>
      <c r="C57" t="s">
        <v>30</v>
      </c>
      <c r="D57" t="s">
        <v>194</v>
      </c>
      <c r="E57" t="s">
        <v>13</v>
      </c>
      <c r="F57">
        <v>2376</v>
      </c>
      <c r="G57" s="38">
        <v>3.5376797999999994</v>
      </c>
    </row>
    <row r="58" spans="1:7" x14ac:dyDescent="0.25">
      <c r="A58" s="22">
        <v>44197</v>
      </c>
      <c r="B58" t="s">
        <v>9</v>
      </c>
      <c r="C58" t="s">
        <v>16</v>
      </c>
      <c r="D58" t="s">
        <v>52</v>
      </c>
      <c r="E58" t="s">
        <v>11</v>
      </c>
      <c r="F58">
        <v>1224</v>
      </c>
      <c r="G58" s="38">
        <v>4.7308795999999971</v>
      </c>
    </row>
    <row r="59" spans="1:7" x14ac:dyDescent="0.25">
      <c r="A59" s="22">
        <v>44197</v>
      </c>
      <c r="B59" t="s">
        <v>9</v>
      </c>
      <c r="C59" t="s">
        <v>16</v>
      </c>
      <c r="D59" t="s">
        <v>53</v>
      </c>
      <c r="E59" t="s">
        <v>11</v>
      </c>
      <c r="F59">
        <v>2556</v>
      </c>
      <c r="G59" s="38">
        <v>12.247513600000003</v>
      </c>
    </row>
    <row r="60" spans="1:7" x14ac:dyDescent="0.25">
      <c r="A60" s="22">
        <v>44197</v>
      </c>
      <c r="B60" t="s">
        <v>9</v>
      </c>
      <c r="C60" t="s">
        <v>16</v>
      </c>
      <c r="D60" t="s">
        <v>60</v>
      </c>
      <c r="E60" t="s">
        <v>11</v>
      </c>
      <c r="F60">
        <v>2756</v>
      </c>
      <c r="G60" s="38">
        <v>6.8252963000000015</v>
      </c>
    </row>
    <row r="61" spans="1:7" x14ac:dyDescent="0.25">
      <c r="A61" s="22">
        <v>44197</v>
      </c>
      <c r="B61" t="s">
        <v>9</v>
      </c>
      <c r="C61" t="s">
        <v>16</v>
      </c>
      <c r="D61" t="s">
        <v>64</v>
      </c>
      <c r="E61" t="s">
        <v>13</v>
      </c>
      <c r="F61">
        <v>738</v>
      </c>
      <c r="G61" s="38">
        <v>2.8525878999999992</v>
      </c>
    </row>
    <row r="62" spans="1:7" x14ac:dyDescent="0.25">
      <c r="A62" s="22">
        <v>44197</v>
      </c>
      <c r="B62" t="s">
        <v>9</v>
      </c>
      <c r="C62" t="s">
        <v>16</v>
      </c>
      <c r="D62" t="s">
        <v>65</v>
      </c>
      <c r="E62" t="s">
        <v>11</v>
      </c>
      <c r="F62">
        <v>502</v>
      </c>
      <c r="G62" s="38">
        <v>2.1702926000000002</v>
      </c>
    </row>
    <row r="63" spans="1:7" x14ac:dyDescent="0.25">
      <c r="A63" s="22">
        <v>44197</v>
      </c>
      <c r="B63" t="s">
        <v>9</v>
      </c>
      <c r="C63" t="s">
        <v>16</v>
      </c>
      <c r="D63" t="s">
        <v>66</v>
      </c>
      <c r="E63" t="s">
        <v>11</v>
      </c>
      <c r="F63">
        <v>3933</v>
      </c>
      <c r="G63" s="38">
        <v>8.0337064000000069</v>
      </c>
    </row>
    <row r="64" spans="1:7" x14ac:dyDescent="0.25">
      <c r="A64" s="22">
        <v>44197</v>
      </c>
      <c r="B64" t="s">
        <v>9</v>
      </c>
      <c r="C64" t="s">
        <v>16</v>
      </c>
      <c r="D64" t="s">
        <v>74</v>
      </c>
      <c r="E64" t="s">
        <v>15</v>
      </c>
      <c r="F64">
        <v>1030</v>
      </c>
      <c r="G64" s="38">
        <v>2.6105756999999987</v>
      </c>
    </row>
    <row r="65" spans="1:7" x14ac:dyDescent="0.25">
      <c r="A65" s="22">
        <v>44197</v>
      </c>
      <c r="B65" t="s">
        <v>9</v>
      </c>
      <c r="C65" t="s">
        <v>16</v>
      </c>
      <c r="D65" t="s">
        <v>89</v>
      </c>
      <c r="E65" t="s">
        <v>11</v>
      </c>
      <c r="F65">
        <v>1250</v>
      </c>
      <c r="G65" s="38">
        <v>4.8415293000000013</v>
      </c>
    </row>
    <row r="66" spans="1:7" x14ac:dyDescent="0.25">
      <c r="A66" s="22">
        <v>44197</v>
      </c>
      <c r="B66" t="s">
        <v>9</v>
      </c>
      <c r="C66" t="s">
        <v>16</v>
      </c>
      <c r="D66" t="s">
        <v>96</v>
      </c>
      <c r="E66" t="s">
        <v>11</v>
      </c>
      <c r="F66">
        <v>3317</v>
      </c>
      <c r="G66" s="38">
        <v>12.350071400000004</v>
      </c>
    </row>
    <row r="67" spans="1:7" x14ac:dyDescent="0.25">
      <c r="A67" s="22">
        <v>44197</v>
      </c>
      <c r="B67" t="s">
        <v>9</v>
      </c>
      <c r="C67" t="s">
        <v>16</v>
      </c>
      <c r="D67" t="s">
        <v>103</v>
      </c>
      <c r="E67" t="s">
        <v>11</v>
      </c>
      <c r="F67">
        <v>879</v>
      </c>
      <c r="G67" s="38">
        <v>3.4980072999999994</v>
      </c>
    </row>
    <row r="68" spans="1:7" x14ac:dyDescent="0.25">
      <c r="A68" s="22">
        <v>44197</v>
      </c>
      <c r="B68" t="s">
        <v>9</v>
      </c>
      <c r="C68" t="s">
        <v>16</v>
      </c>
      <c r="D68" t="s">
        <v>106</v>
      </c>
      <c r="E68" t="s">
        <v>11</v>
      </c>
      <c r="F68">
        <v>1459</v>
      </c>
      <c r="G68" s="38">
        <v>4.0786020999999995</v>
      </c>
    </row>
    <row r="69" spans="1:7" x14ac:dyDescent="0.25">
      <c r="A69" s="22">
        <v>44197</v>
      </c>
      <c r="B69" t="s">
        <v>9</v>
      </c>
      <c r="C69" t="s">
        <v>16</v>
      </c>
      <c r="D69" t="s">
        <v>197</v>
      </c>
      <c r="E69" t="s">
        <v>15</v>
      </c>
      <c r="F69">
        <v>710</v>
      </c>
      <c r="G69" s="38">
        <v>1.5949620000000002</v>
      </c>
    </row>
    <row r="70" spans="1:7" x14ac:dyDescent="0.25">
      <c r="A70" s="22">
        <v>44197</v>
      </c>
      <c r="B70" t="s">
        <v>9</v>
      </c>
      <c r="C70" t="s">
        <v>16</v>
      </c>
      <c r="D70" t="s">
        <v>124</v>
      </c>
      <c r="E70" t="s">
        <v>11</v>
      </c>
      <c r="F70">
        <v>713</v>
      </c>
      <c r="G70" s="38">
        <v>1.8486950999999998</v>
      </c>
    </row>
    <row r="71" spans="1:7" x14ac:dyDescent="0.25">
      <c r="A71" s="22">
        <v>44197</v>
      </c>
      <c r="B71" t="s">
        <v>9</v>
      </c>
      <c r="C71" t="s">
        <v>16</v>
      </c>
      <c r="D71" t="s">
        <v>126</v>
      </c>
      <c r="E71" t="s">
        <v>11</v>
      </c>
      <c r="F71">
        <v>770</v>
      </c>
      <c r="G71" s="38">
        <v>4.1842671000000005</v>
      </c>
    </row>
    <row r="72" spans="1:7" x14ac:dyDescent="0.25">
      <c r="A72" s="22">
        <v>44197</v>
      </c>
      <c r="B72" t="s">
        <v>9</v>
      </c>
      <c r="C72" t="s">
        <v>16</v>
      </c>
      <c r="D72" t="s">
        <v>132</v>
      </c>
      <c r="E72" t="s">
        <v>13</v>
      </c>
      <c r="F72">
        <v>613</v>
      </c>
      <c r="G72" s="38">
        <v>2.1394697000000003</v>
      </c>
    </row>
    <row r="73" spans="1:7" x14ac:dyDescent="0.25">
      <c r="A73" s="22">
        <v>44197</v>
      </c>
      <c r="B73" t="s">
        <v>9</v>
      </c>
      <c r="C73" t="s">
        <v>16</v>
      </c>
      <c r="D73" t="s">
        <v>149</v>
      </c>
      <c r="E73" t="s">
        <v>15</v>
      </c>
      <c r="F73">
        <v>680</v>
      </c>
      <c r="G73" s="38">
        <v>7.7617717999999991</v>
      </c>
    </row>
    <row r="74" spans="1:7" x14ac:dyDescent="0.25">
      <c r="A74" s="22">
        <v>44197</v>
      </c>
      <c r="B74" t="s">
        <v>9</v>
      </c>
      <c r="C74" t="s">
        <v>16</v>
      </c>
      <c r="D74" t="s">
        <v>152</v>
      </c>
      <c r="E74" t="s">
        <v>15</v>
      </c>
      <c r="F74">
        <v>530</v>
      </c>
      <c r="G74" s="38">
        <v>6.0220566999999994</v>
      </c>
    </row>
    <row r="75" spans="1:7" x14ac:dyDescent="0.25">
      <c r="A75" s="22">
        <v>44197</v>
      </c>
      <c r="B75" t="s">
        <v>9</v>
      </c>
      <c r="C75" t="s">
        <v>16</v>
      </c>
      <c r="D75" t="s">
        <v>162</v>
      </c>
      <c r="E75" t="s">
        <v>11</v>
      </c>
      <c r="F75">
        <v>746</v>
      </c>
      <c r="G75" s="38">
        <v>1.9332606000000003</v>
      </c>
    </row>
    <row r="76" spans="1:7" x14ac:dyDescent="0.25">
      <c r="A76" s="22">
        <v>44197</v>
      </c>
      <c r="B76" t="s">
        <v>9</v>
      </c>
      <c r="C76" t="s">
        <v>16</v>
      </c>
      <c r="D76" t="s">
        <v>163</v>
      </c>
      <c r="E76" t="s">
        <v>11</v>
      </c>
      <c r="F76">
        <v>2493</v>
      </c>
      <c r="G76" s="38">
        <v>8.037561099999996</v>
      </c>
    </row>
    <row r="77" spans="1:7" x14ac:dyDescent="0.25">
      <c r="A77" s="22">
        <v>44197</v>
      </c>
      <c r="B77" t="s">
        <v>9</v>
      </c>
      <c r="C77" t="s">
        <v>16</v>
      </c>
      <c r="D77" t="s">
        <v>167</v>
      </c>
      <c r="E77" t="s">
        <v>15</v>
      </c>
      <c r="F77">
        <v>551</v>
      </c>
      <c r="G77" s="38">
        <v>8.5182164</v>
      </c>
    </row>
    <row r="78" spans="1:7" x14ac:dyDescent="0.25">
      <c r="A78" s="22">
        <v>44197</v>
      </c>
      <c r="B78" t="s">
        <v>9</v>
      </c>
      <c r="C78" t="s">
        <v>16</v>
      </c>
      <c r="D78" t="s">
        <v>176</v>
      </c>
      <c r="E78" t="s">
        <v>11</v>
      </c>
      <c r="F78">
        <v>1823</v>
      </c>
      <c r="G78" s="38">
        <v>7.7051571999999995</v>
      </c>
    </row>
    <row r="79" spans="1:7" x14ac:dyDescent="0.25">
      <c r="A79" s="22">
        <v>44197</v>
      </c>
      <c r="B79" t="s">
        <v>9</v>
      </c>
      <c r="C79" t="s">
        <v>20</v>
      </c>
      <c r="D79" t="s">
        <v>60</v>
      </c>
      <c r="E79" t="s">
        <v>11</v>
      </c>
      <c r="F79">
        <v>565</v>
      </c>
      <c r="G79" s="38">
        <v>0.97324639999999996</v>
      </c>
    </row>
    <row r="80" spans="1:7" x14ac:dyDescent="0.25">
      <c r="A80" s="22">
        <v>44197</v>
      </c>
      <c r="B80" t="s">
        <v>9</v>
      </c>
      <c r="C80" t="s">
        <v>21</v>
      </c>
      <c r="D80" t="s">
        <v>53</v>
      </c>
      <c r="E80" t="s">
        <v>11</v>
      </c>
      <c r="F80">
        <v>662</v>
      </c>
      <c r="G80" s="38">
        <v>3.1734300000000002</v>
      </c>
    </row>
    <row r="81" spans="1:7" x14ac:dyDescent="0.25">
      <c r="A81" s="22">
        <v>44197</v>
      </c>
      <c r="B81" t="s">
        <v>9</v>
      </c>
      <c r="C81" t="s">
        <v>21</v>
      </c>
      <c r="D81" t="s">
        <v>66</v>
      </c>
      <c r="E81" t="s">
        <v>11</v>
      </c>
      <c r="F81">
        <v>850</v>
      </c>
      <c r="G81" s="38">
        <v>1.7959000000000001</v>
      </c>
    </row>
    <row r="82" spans="1:7" x14ac:dyDescent="0.25">
      <c r="A82" s="22">
        <v>44197</v>
      </c>
      <c r="B82" t="s">
        <v>9</v>
      </c>
      <c r="C82" t="s">
        <v>21</v>
      </c>
      <c r="D82" t="s">
        <v>96</v>
      </c>
      <c r="E82" t="s">
        <v>11</v>
      </c>
      <c r="F82">
        <v>1275</v>
      </c>
      <c r="G82" s="38">
        <v>4.8300400000000003</v>
      </c>
    </row>
    <row r="83" spans="1:7" x14ac:dyDescent="0.25">
      <c r="A83" s="22">
        <v>44197</v>
      </c>
      <c r="B83" t="s">
        <v>23</v>
      </c>
      <c r="C83" t="s">
        <v>23</v>
      </c>
      <c r="D83" t="s">
        <v>53</v>
      </c>
      <c r="E83" t="s">
        <v>11</v>
      </c>
      <c r="F83">
        <v>2583</v>
      </c>
      <c r="G83" s="38">
        <v>14.2065</v>
      </c>
    </row>
    <row r="84" spans="1:7" x14ac:dyDescent="0.25">
      <c r="A84" s="22">
        <v>44197</v>
      </c>
      <c r="B84" t="s">
        <v>23</v>
      </c>
      <c r="C84" t="s">
        <v>23</v>
      </c>
      <c r="D84" t="s">
        <v>96</v>
      </c>
      <c r="E84" t="s">
        <v>11</v>
      </c>
      <c r="F84">
        <v>1723</v>
      </c>
      <c r="G84" s="38">
        <v>7.2366000000000001</v>
      </c>
    </row>
    <row r="85" spans="1:7" x14ac:dyDescent="0.25">
      <c r="A85" s="22">
        <v>44197</v>
      </c>
      <c r="B85" t="s">
        <v>23</v>
      </c>
      <c r="C85" t="s">
        <v>23</v>
      </c>
      <c r="D85" t="s">
        <v>199</v>
      </c>
      <c r="E85" t="s">
        <v>15</v>
      </c>
      <c r="F85">
        <v>1752</v>
      </c>
      <c r="G85" s="38">
        <v>26.28</v>
      </c>
    </row>
    <row r="86" spans="1:7" x14ac:dyDescent="0.25">
      <c r="A86" s="22">
        <v>44197</v>
      </c>
      <c r="B86" t="s">
        <v>23</v>
      </c>
      <c r="C86" t="s">
        <v>23</v>
      </c>
      <c r="D86" t="s">
        <v>197</v>
      </c>
      <c r="E86" t="s">
        <v>15</v>
      </c>
      <c r="F86">
        <v>959</v>
      </c>
      <c r="G86" s="38">
        <v>2.54135</v>
      </c>
    </row>
    <row r="87" spans="1:7" x14ac:dyDescent="0.25">
      <c r="A87" s="22">
        <v>44197</v>
      </c>
      <c r="B87" t="s">
        <v>23</v>
      </c>
      <c r="C87" t="s">
        <v>23</v>
      </c>
      <c r="D87" t="s">
        <v>126</v>
      </c>
      <c r="E87" t="s">
        <v>11</v>
      </c>
      <c r="F87">
        <v>963</v>
      </c>
      <c r="G87" s="38">
        <v>5.7779999999999996</v>
      </c>
    </row>
    <row r="88" spans="1:7" x14ac:dyDescent="0.25">
      <c r="A88" s="22">
        <v>44197</v>
      </c>
      <c r="B88" t="s">
        <v>24</v>
      </c>
      <c r="C88" t="s">
        <v>26</v>
      </c>
      <c r="D88" t="s">
        <v>184</v>
      </c>
      <c r="E88" t="s">
        <v>13</v>
      </c>
      <c r="F88">
        <v>576</v>
      </c>
      <c r="G88" s="38">
        <v>0.42033199999999998</v>
      </c>
    </row>
    <row r="89" spans="1:7" x14ac:dyDescent="0.25">
      <c r="A89" s="22">
        <v>44197</v>
      </c>
      <c r="B89" t="s">
        <v>24</v>
      </c>
      <c r="C89" t="s">
        <v>27</v>
      </c>
      <c r="D89" t="s">
        <v>60</v>
      </c>
      <c r="E89" t="s">
        <v>11</v>
      </c>
      <c r="F89">
        <v>1470</v>
      </c>
      <c r="G89" s="38">
        <v>2.3218175999999988</v>
      </c>
    </row>
    <row r="90" spans="1:7" x14ac:dyDescent="0.25">
      <c r="A90" s="22">
        <v>44197</v>
      </c>
      <c r="B90" t="s">
        <v>24</v>
      </c>
      <c r="C90" t="s">
        <v>27</v>
      </c>
      <c r="D90" t="s">
        <v>184</v>
      </c>
      <c r="E90" t="s">
        <v>13</v>
      </c>
      <c r="F90">
        <v>720</v>
      </c>
      <c r="G90" s="38">
        <v>0.5184261</v>
      </c>
    </row>
    <row r="91" spans="1:7" x14ac:dyDescent="0.25">
      <c r="A91" s="22">
        <v>44197</v>
      </c>
      <c r="B91" t="s">
        <v>24</v>
      </c>
      <c r="C91" t="s">
        <v>27</v>
      </c>
      <c r="D91" t="s">
        <v>66</v>
      </c>
      <c r="E91" t="s">
        <v>11</v>
      </c>
      <c r="F91">
        <v>1570</v>
      </c>
      <c r="G91" s="38">
        <v>2.0702864000000001</v>
      </c>
    </row>
    <row r="92" spans="1:7" x14ac:dyDescent="0.25">
      <c r="A92" s="22">
        <v>44197</v>
      </c>
      <c r="B92" t="s">
        <v>24</v>
      </c>
      <c r="C92" t="s">
        <v>27</v>
      </c>
      <c r="D92" t="s">
        <v>74</v>
      </c>
      <c r="E92" t="s">
        <v>15</v>
      </c>
      <c r="F92">
        <v>996</v>
      </c>
      <c r="G92" s="38">
        <v>1.824549</v>
      </c>
    </row>
    <row r="93" spans="1:7" x14ac:dyDescent="0.25">
      <c r="A93" s="22">
        <v>44197</v>
      </c>
      <c r="B93" t="s">
        <v>24</v>
      </c>
      <c r="C93" t="s">
        <v>27</v>
      </c>
      <c r="D93" t="s">
        <v>106</v>
      </c>
      <c r="E93" t="s">
        <v>11</v>
      </c>
      <c r="F93">
        <v>778</v>
      </c>
      <c r="G93" s="38">
        <v>1.4394323999999998</v>
      </c>
    </row>
    <row r="94" spans="1:7" x14ac:dyDescent="0.25">
      <c r="A94" s="22">
        <v>44197</v>
      </c>
      <c r="B94" t="s">
        <v>24</v>
      </c>
      <c r="C94" t="s">
        <v>27</v>
      </c>
      <c r="D94" t="s">
        <v>176</v>
      </c>
      <c r="E94" t="s">
        <v>11</v>
      </c>
      <c r="F94">
        <v>864</v>
      </c>
      <c r="G94" s="38">
        <v>2.5883759999999993</v>
      </c>
    </row>
    <row r="95" spans="1:7" x14ac:dyDescent="0.25">
      <c r="A95" s="22">
        <v>44197</v>
      </c>
      <c r="B95" t="s">
        <v>24</v>
      </c>
      <c r="C95" t="s">
        <v>28</v>
      </c>
      <c r="D95" t="s">
        <v>60</v>
      </c>
      <c r="E95" t="s">
        <v>11</v>
      </c>
      <c r="F95">
        <v>576</v>
      </c>
      <c r="G95" s="38">
        <v>0.90058759999999993</v>
      </c>
    </row>
    <row r="96" spans="1:7" x14ac:dyDescent="0.25">
      <c r="A96" s="22">
        <v>44197</v>
      </c>
      <c r="B96" t="s">
        <v>24</v>
      </c>
      <c r="C96" t="s">
        <v>28</v>
      </c>
      <c r="D96" t="s">
        <v>66</v>
      </c>
      <c r="E96" t="s">
        <v>11</v>
      </c>
      <c r="F96">
        <v>732</v>
      </c>
      <c r="G96" s="38">
        <v>0.95019449999999983</v>
      </c>
    </row>
    <row r="97" spans="1:7" x14ac:dyDescent="0.25">
      <c r="A97" s="22">
        <v>44197</v>
      </c>
      <c r="B97" t="s">
        <v>24</v>
      </c>
      <c r="C97" t="s">
        <v>28</v>
      </c>
      <c r="D97" t="s">
        <v>74</v>
      </c>
      <c r="E97" t="s">
        <v>15</v>
      </c>
      <c r="F97">
        <v>895</v>
      </c>
      <c r="G97" s="38">
        <v>1.5788694999999999</v>
      </c>
    </row>
    <row r="98" spans="1:7" x14ac:dyDescent="0.25">
      <c r="A98" s="22">
        <v>44197</v>
      </c>
      <c r="B98" t="s">
        <v>24</v>
      </c>
      <c r="C98" t="s">
        <v>28</v>
      </c>
      <c r="D98" t="s">
        <v>193</v>
      </c>
      <c r="E98" t="s">
        <v>13</v>
      </c>
      <c r="F98">
        <v>1512</v>
      </c>
      <c r="G98" s="38">
        <v>0.91131119999999999</v>
      </c>
    </row>
    <row r="99" spans="1:7" x14ac:dyDescent="0.25">
      <c r="A99" s="22">
        <v>44197</v>
      </c>
      <c r="B99" t="s">
        <v>24</v>
      </c>
      <c r="C99" t="s">
        <v>29</v>
      </c>
      <c r="D99" t="s">
        <v>184</v>
      </c>
      <c r="E99" t="s">
        <v>13</v>
      </c>
      <c r="F99">
        <v>1405</v>
      </c>
      <c r="G99" s="38">
        <v>1.0344228</v>
      </c>
    </row>
    <row r="100" spans="1:7" x14ac:dyDescent="0.25">
      <c r="A100" s="22">
        <v>44197</v>
      </c>
      <c r="B100" t="s">
        <v>24</v>
      </c>
      <c r="C100" t="s">
        <v>29</v>
      </c>
      <c r="D100" t="s">
        <v>66</v>
      </c>
      <c r="E100" t="s">
        <v>11</v>
      </c>
      <c r="F100">
        <v>600</v>
      </c>
      <c r="G100" s="38">
        <v>0.7788484</v>
      </c>
    </row>
    <row r="101" spans="1:7" x14ac:dyDescent="0.25">
      <c r="A101" s="22">
        <v>44197</v>
      </c>
      <c r="B101" t="s">
        <v>24</v>
      </c>
      <c r="C101" t="s">
        <v>29</v>
      </c>
      <c r="D101" t="s">
        <v>74</v>
      </c>
      <c r="E101" t="s">
        <v>15</v>
      </c>
      <c r="F101">
        <v>1416</v>
      </c>
      <c r="G101" s="38">
        <v>2.4979656000000001</v>
      </c>
    </row>
    <row r="102" spans="1:7" x14ac:dyDescent="0.25">
      <c r="A102" s="22">
        <v>44197</v>
      </c>
      <c r="B102" t="s">
        <v>24</v>
      </c>
      <c r="C102" t="s">
        <v>29</v>
      </c>
      <c r="D102" t="s">
        <v>193</v>
      </c>
      <c r="E102" t="s">
        <v>13</v>
      </c>
      <c r="F102">
        <v>1080</v>
      </c>
      <c r="G102" s="38">
        <v>0.65091599999999994</v>
      </c>
    </row>
    <row r="103" spans="1:7" x14ac:dyDescent="0.25">
      <c r="A103" s="22">
        <v>44197</v>
      </c>
      <c r="B103" t="s">
        <v>24</v>
      </c>
      <c r="C103" t="s">
        <v>30</v>
      </c>
      <c r="D103" t="s">
        <v>60</v>
      </c>
      <c r="E103" t="s">
        <v>11</v>
      </c>
      <c r="F103">
        <v>1093</v>
      </c>
      <c r="G103" s="38">
        <v>1.7073639999999997</v>
      </c>
    </row>
    <row r="104" spans="1:7" x14ac:dyDescent="0.25">
      <c r="A104" s="22">
        <v>44197</v>
      </c>
      <c r="B104" t="s">
        <v>24</v>
      </c>
      <c r="C104" t="s">
        <v>30</v>
      </c>
      <c r="D104" t="s">
        <v>184</v>
      </c>
      <c r="E104" t="s">
        <v>13</v>
      </c>
      <c r="F104">
        <v>529</v>
      </c>
      <c r="G104" s="38">
        <v>0.38757620000000004</v>
      </c>
    </row>
    <row r="105" spans="1:7" x14ac:dyDescent="0.25">
      <c r="A105" s="22">
        <v>44197</v>
      </c>
      <c r="B105" t="s">
        <v>24</v>
      </c>
      <c r="C105" t="s">
        <v>30</v>
      </c>
      <c r="D105" t="s">
        <v>66</v>
      </c>
      <c r="E105" t="s">
        <v>11</v>
      </c>
      <c r="F105">
        <v>553</v>
      </c>
      <c r="G105" s="38">
        <v>0.71653979999999995</v>
      </c>
    </row>
    <row r="106" spans="1:7" x14ac:dyDescent="0.25">
      <c r="A106" s="22">
        <v>44197</v>
      </c>
      <c r="B106" t="s">
        <v>24</v>
      </c>
      <c r="C106" t="s">
        <v>30</v>
      </c>
      <c r="D106" t="s">
        <v>74</v>
      </c>
      <c r="E106" t="s">
        <v>15</v>
      </c>
      <c r="F106">
        <v>1104</v>
      </c>
      <c r="G106" s="38">
        <v>1.9475663999999995</v>
      </c>
    </row>
    <row r="107" spans="1:7" x14ac:dyDescent="0.25">
      <c r="A107" s="22">
        <v>44197</v>
      </c>
      <c r="B107" t="s">
        <v>24</v>
      </c>
      <c r="C107" t="s">
        <v>30</v>
      </c>
      <c r="D107" t="s">
        <v>96</v>
      </c>
      <c r="E107" t="s">
        <v>11</v>
      </c>
      <c r="F107">
        <v>565</v>
      </c>
      <c r="G107" s="38">
        <v>1.3975920000000002</v>
      </c>
    </row>
    <row r="108" spans="1:7" x14ac:dyDescent="0.25">
      <c r="A108" s="22">
        <v>44197</v>
      </c>
      <c r="B108" t="s">
        <v>24</v>
      </c>
      <c r="C108" t="s">
        <v>30</v>
      </c>
      <c r="D108" t="s">
        <v>193</v>
      </c>
      <c r="E108" t="s">
        <v>13</v>
      </c>
      <c r="F108">
        <v>6257</v>
      </c>
      <c r="G108" s="38">
        <v>3.7704912000000004</v>
      </c>
    </row>
    <row r="109" spans="1:7" x14ac:dyDescent="0.25">
      <c r="A109" s="22">
        <v>44197</v>
      </c>
      <c r="B109" t="s">
        <v>24</v>
      </c>
      <c r="C109" t="s">
        <v>30</v>
      </c>
      <c r="D109" t="s">
        <v>194</v>
      </c>
      <c r="E109" t="s">
        <v>13</v>
      </c>
      <c r="F109">
        <v>1836</v>
      </c>
      <c r="G109" s="38">
        <v>2.7334833999999995</v>
      </c>
    </row>
    <row r="110" spans="1:7" x14ac:dyDescent="0.25">
      <c r="A110" s="22">
        <v>44228</v>
      </c>
      <c r="B110" t="s">
        <v>9</v>
      </c>
      <c r="C110" t="s">
        <v>16</v>
      </c>
      <c r="D110" t="s">
        <v>52</v>
      </c>
      <c r="E110" t="s">
        <v>11</v>
      </c>
      <c r="F110">
        <v>1049</v>
      </c>
      <c r="G110" s="38">
        <v>4.1001289999999964</v>
      </c>
    </row>
    <row r="111" spans="1:7" x14ac:dyDescent="0.25">
      <c r="A111" s="22">
        <v>44228</v>
      </c>
      <c r="B111" t="s">
        <v>9</v>
      </c>
      <c r="C111" t="s">
        <v>16</v>
      </c>
      <c r="D111" t="s">
        <v>53</v>
      </c>
      <c r="E111" t="s">
        <v>11</v>
      </c>
      <c r="F111">
        <v>1914</v>
      </c>
      <c r="G111" s="38">
        <v>9.1171512999999997</v>
      </c>
    </row>
    <row r="112" spans="1:7" x14ac:dyDescent="0.25">
      <c r="A112" s="22">
        <v>44228</v>
      </c>
      <c r="B112" t="s">
        <v>9</v>
      </c>
      <c r="C112" t="s">
        <v>16</v>
      </c>
      <c r="D112" t="s">
        <v>60</v>
      </c>
      <c r="E112" t="s">
        <v>11</v>
      </c>
      <c r="F112">
        <v>2534</v>
      </c>
      <c r="G112" s="38">
        <v>6.0970812999999957</v>
      </c>
    </row>
    <row r="113" spans="1:7" x14ac:dyDescent="0.25">
      <c r="A113" s="22">
        <v>44228</v>
      </c>
      <c r="B113" t="s">
        <v>9</v>
      </c>
      <c r="C113" t="s">
        <v>16</v>
      </c>
      <c r="D113" t="s">
        <v>64</v>
      </c>
      <c r="E113" t="s">
        <v>13</v>
      </c>
      <c r="F113">
        <v>829</v>
      </c>
      <c r="G113" s="38">
        <v>3.1705502000000001</v>
      </c>
    </row>
    <row r="114" spans="1:7" x14ac:dyDescent="0.25">
      <c r="A114" s="22">
        <v>44228</v>
      </c>
      <c r="B114" t="s">
        <v>9</v>
      </c>
      <c r="C114" t="s">
        <v>16</v>
      </c>
      <c r="D114" t="s">
        <v>66</v>
      </c>
      <c r="E114" t="s">
        <v>11</v>
      </c>
      <c r="F114">
        <v>3345</v>
      </c>
      <c r="G114" s="38">
        <v>6.5960906999999853</v>
      </c>
    </row>
    <row r="115" spans="1:7" x14ac:dyDescent="0.25">
      <c r="A115" s="22">
        <v>44228</v>
      </c>
      <c r="B115" t="s">
        <v>9</v>
      </c>
      <c r="C115" t="s">
        <v>16</v>
      </c>
      <c r="D115" t="s">
        <v>74</v>
      </c>
      <c r="E115" t="s">
        <v>15</v>
      </c>
      <c r="F115">
        <v>823</v>
      </c>
      <c r="G115" s="38">
        <v>2.1110504999999997</v>
      </c>
    </row>
    <row r="116" spans="1:7" x14ac:dyDescent="0.25">
      <c r="A116" s="22">
        <v>44228</v>
      </c>
      <c r="B116" t="s">
        <v>9</v>
      </c>
      <c r="C116" t="s">
        <v>16</v>
      </c>
      <c r="D116" t="s">
        <v>89</v>
      </c>
      <c r="E116" t="s">
        <v>11</v>
      </c>
      <c r="F116">
        <v>1227</v>
      </c>
      <c r="G116" s="38">
        <v>4.3813940000000002</v>
      </c>
    </row>
    <row r="117" spans="1:7" x14ac:dyDescent="0.25">
      <c r="A117" s="22">
        <v>44228</v>
      </c>
      <c r="B117" t="s">
        <v>9</v>
      </c>
      <c r="C117" t="s">
        <v>16</v>
      </c>
      <c r="D117" t="s">
        <v>96</v>
      </c>
      <c r="E117" t="s">
        <v>11</v>
      </c>
      <c r="F117">
        <v>3378</v>
      </c>
      <c r="G117" s="38">
        <v>12.122061700000017</v>
      </c>
    </row>
    <row r="118" spans="1:7" x14ac:dyDescent="0.25">
      <c r="A118" s="22">
        <v>44228</v>
      </c>
      <c r="B118" t="s">
        <v>9</v>
      </c>
      <c r="C118" t="s">
        <v>16</v>
      </c>
      <c r="D118" t="s">
        <v>103</v>
      </c>
      <c r="E118" t="s">
        <v>11</v>
      </c>
      <c r="F118">
        <v>639</v>
      </c>
      <c r="G118" s="38">
        <v>2.42875</v>
      </c>
    </row>
    <row r="119" spans="1:7" x14ac:dyDescent="0.25">
      <c r="A119" s="22">
        <v>44228</v>
      </c>
      <c r="B119" t="s">
        <v>9</v>
      </c>
      <c r="C119" t="s">
        <v>16</v>
      </c>
      <c r="D119" t="s">
        <v>106</v>
      </c>
      <c r="E119" t="s">
        <v>11</v>
      </c>
      <c r="F119">
        <v>1353</v>
      </c>
      <c r="G119" s="38">
        <v>3.6533732999999997</v>
      </c>
    </row>
    <row r="120" spans="1:7" x14ac:dyDescent="0.25">
      <c r="A120" s="22">
        <v>44228</v>
      </c>
      <c r="B120" t="s">
        <v>9</v>
      </c>
      <c r="C120" t="s">
        <v>16</v>
      </c>
      <c r="D120" t="s">
        <v>124</v>
      </c>
      <c r="E120" t="s">
        <v>11</v>
      </c>
      <c r="F120">
        <v>685</v>
      </c>
      <c r="G120" s="38">
        <v>1.7655501999999998</v>
      </c>
    </row>
    <row r="121" spans="1:7" x14ac:dyDescent="0.25">
      <c r="A121" s="22">
        <v>44228</v>
      </c>
      <c r="B121" t="s">
        <v>9</v>
      </c>
      <c r="C121" t="s">
        <v>16</v>
      </c>
      <c r="D121" t="s">
        <v>126</v>
      </c>
      <c r="E121" t="s">
        <v>11</v>
      </c>
      <c r="F121">
        <v>1329</v>
      </c>
      <c r="G121" s="38">
        <v>6.1100878000000005</v>
      </c>
    </row>
    <row r="122" spans="1:7" x14ac:dyDescent="0.25">
      <c r="A122" s="22">
        <v>44228</v>
      </c>
      <c r="B122" t="s">
        <v>9</v>
      </c>
      <c r="C122" t="s">
        <v>16</v>
      </c>
      <c r="D122" t="s">
        <v>132</v>
      </c>
      <c r="E122" t="s">
        <v>13</v>
      </c>
      <c r="F122">
        <v>854</v>
      </c>
      <c r="G122" s="38">
        <v>2.9922251000000002</v>
      </c>
    </row>
    <row r="123" spans="1:7" x14ac:dyDescent="0.25">
      <c r="A123" s="22">
        <v>44228</v>
      </c>
      <c r="B123" t="s">
        <v>9</v>
      </c>
      <c r="C123" t="s">
        <v>16</v>
      </c>
      <c r="D123" t="s">
        <v>162</v>
      </c>
      <c r="E123" t="s">
        <v>11</v>
      </c>
      <c r="F123">
        <v>731</v>
      </c>
      <c r="G123" s="38">
        <v>1.8484879999999988</v>
      </c>
    </row>
    <row r="124" spans="1:7" x14ac:dyDescent="0.25">
      <c r="A124" s="22">
        <v>44228</v>
      </c>
      <c r="B124" t="s">
        <v>9</v>
      </c>
      <c r="C124" t="s">
        <v>16</v>
      </c>
      <c r="D124" t="s">
        <v>163</v>
      </c>
      <c r="E124" t="s">
        <v>11</v>
      </c>
      <c r="F124">
        <v>1788</v>
      </c>
      <c r="G124" s="38">
        <v>5.8157426999999986</v>
      </c>
    </row>
    <row r="125" spans="1:7" x14ac:dyDescent="0.25">
      <c r="A125" s="22">
        <v>44228</v>
      </c>
      <c r="B125" t="s">
        <v>9</v>
      </c>
      <c r="C125" t="s">
        <v>16</v>
      </c>
      <c r="D125" t="s">
        <v>176</v>
      </c>
      <c r="E125" t="s">
        <v>11</v>
      </c>
      <c r="F125">
        <v>2082</v>
      </c>
      <c r="G125" s="38">
        <v>8.2880228000000056</v>
      </c>
    </row>
    <row r="126" spans="1:7" x14ac:dyDescent="0.25">
      <c r="A126" s="22">
        <v>44228</v>
      </c>
      <c r="B126" t="s">
        <v>9</v>
      </c>
      <c r="C126" t="s">
        <v>20</v>
      </c>
      <c r="D126" t="s">
        <v>184</v>
      </c>
      <c r="E126" t="s">
        <v>13</v>
      </c>
      <c r="F126">
        <v>606</v>
      </c>
      <c r="G126" s="38">
        <v>0.47273950000000003</v>
      </c>
    </row>
    <row r="127" spans="1:7" x14ac:dyDescent="0.25">
      <c r="A127" s="22">
        <v>44228</v>
      </c>
      <c r="B127" t="s">
        <v>9</v>
      </c>
      <c r="C127" t="s">
        <v>20</v>
      </c>
      <c r="D127" t="s">
        <v>66</v>
      </c>
      <c r="E127" t="s">
        <v>11</v>
      </c>
      <c r="F127">
        <v>916</v>
      </c>
      <c r="G127" s="38">
        <v>1.3098946999999999</v>
      </c>
    </row>
    <row r="128" spans="1:7" x14ac:dyDescent="0.25">
      <c r="A128" s="22">
        <v>44228</v>
      </c>
      <c r="B128" t="s">
        <v>9</v>
      </c>
      <c r="C128" t="s">
        <v>21</v>
      </c>
      <c r="D128" t="s">
        <v>53</v>
      </c>
      <c r="E128" t="s">
        <v>11</v>
      </c>
      <c r="F128">
        <v>834</v>
      </c>
      <c r="G128" s="38">
        <v>3.5623999999999998</v>
      </c>
    </row>
    <row r="129" spans="1:7" x14ac:dyDescent="0.25">
      <c r="A129" s="22">
        <v>44228</v>
      </c>
      <c r="B129" t="s">
        <v>9</v>
      </c>
      <c r="C129" t="s">
        <v>21</v>
      </c>
      <c r="D129" t="s">
        <v>60</v>
      </c>
      <c r="E129" t="s">
        <v>11</v>
      </c>
      <c r="F129">
        <v>597</v>
      </c>
      <c r="G129" s="38">
        <v>1.4638</v>
      </c>
    </row>
    <row r="130" spans="1:7" x14ac:dyDescent="0.25">
      <c r="A130" s="22">
        <v>44228</v>
      </c>
      <c r="B130" t="s">
        <v>9</v>
      </c>
      <c r="C130" t="s">
        <v>21</v>
      </c>
      <c r="D130" t="s">
        <v>66</v>
      </c>
      <c r="E130" t="s">
        <v>11</v>
      </c>
      <c r="F130">
        <v>790</v>
      </c>
      <c r="G130" s="38">
        <v>1.62323</v>
      </c>
    </row>
    <row r="131" spans="1:7" x14ac:dyDescent="0.25">
      <c r="A131" s="22">
        <v>44228</v>
      </c>
      <c r="B131" t="s">
        <v>9</v>
      </c>
      <c r="C131" t="s">
        <v>21</v>
      </c>
      <c r="D131" t="s">
        <v>96</v>
      </c>
      <c r="E131" t="s">
        <v>11</v>
      </c>
      <c r="F131">
        <v>1122</v>
      </c>
      <c r="G131" s="38">
        <v>4.01722</v>
      </c>
    </row>
    <row r="132" spans="1:7" x14ac:dyDescent="0.25">
      <c r="A132" s="22">
        <v>44228</v>
      </c>
      <c r="B132" t="s">
        <v>23</v>
      </c>
      <c r="C132" t="s">
        <v>23</v>
      </c>
      <c r="D132" t="s">
        <v>53</v>
      </c>
      <c r="E132" t="s">
        <v>11</v>
      </c>
      <c r="F132">
        <v>2646</v>
      </c>
      <c r="G132" s="38">
        <v>17.31645082868997</v>
      </c>
    </row>
    <row r="133" spans="1:7" x14ac:dyDescent="0.25">
      <c r="A133" s="22">
        <v>44228</v>
      </c>
      <c r="B133" t="s">
        <v>23</v>
      </c>
      <c r="C133" t="s">
        <v>23</v>
      </c>
      <c r="D133" t="s">
        <v>60</v>
      </c>
      <c r="E133" t="s">
        <v>11</v>
      </c>
      <c r="F133">
        <v>736</v>
      </c>
      <c r="G133" s="38">
        <v>3.4216519110100023</v>
      </c>
    </row>
    <row r="134" spans="1:7" x14ac:dyDescent="0.25">
      <c r="A134" s="22">
        <v>44228</v>
      </c>
      <c r="B134" t="s">
        <v>23</v>
      </c>
      <c r="C134" t="s">
        <v>23</v>
      </c>
      <c r="D134" t="s">
        <v>66</v>
      </c>
      <c r="E134" t="s">
        <v>11</v>
      </c>
      <c r="F134">
        <v>744</v>
      </c>
      <c r="G134" s="38">
        <v>2.3224511708999964</v>
      </c>
    </row>
    <row r="135" spans="1:7" x14ac:dyDescent="0.25">
      <c r="A135" s="22">
        <v>44228</v>
      </c>
      <c r="B135" t="s">
        <v>23</v>
      </c>
      <c r="C135" t="s">
        <v>23</v>
      </c>
      <c r="D135" t="s">
        <v>74</v>
      </c>
      <c r="E135" t="s">
        <v>15</v>
      </c>
      <c r="F135">
        <v>519</v>
      </c>
      <c r="G135" s="38">
        <v>1.546400522419995</v>
      </c>
    </row>
    <row r="136" spans="1:7" x14ac:dyDescent="0.25">
      <c r="A136" s="22">
        <v>44228</v>
      </c>
      <c r="B136" t="s">
        <v>23</v>
      </c>
      <c r="C136" t="s">
        <v>23</v>
      </c>
      <c r="D136" t="s">
        <v>96</v>
      </c>
      <c r="E136" t="s">
        <v>11</v>
      </c>
      <c r="F136">
        <v>2299</v>
      </c>
      <c r="G136" s="38">
        <v>9.1474393979899862</v>
      </c>
    </row>
    <row r="137" spans="1:7" x14ac:dyDescent="0.25">
      <c r="A137" s="22">
        <v>44228</v>
      </c>
      <c r="B137" t="s">
        <v>23</v>
      </c>
      <c r="C137" t="s">
        <v>23</v>
      </c>
      <c r="D137" t="s">
        <v>199</v>
      </c>
      <c r="E137" t="s">
        <v>15</v>
      </c>
      <c r="F137">
        <v>2150</v>
      </c>
      <c r="G137" s="38">
        <v>32.190549171440658</v>
      </c>
    </row>
    <row r="138" spans="1:7" x14ac:dyDescent="0.25">
      <c r="A138" s="22">
        <v>44228</v>
      </c>
      <c r="B138" t="s">
        <v>23</v>
      </c>
      <c r="C138" t="s">
        <v>23</v>
      </c>
      <c r="D138" t="s">
        <v>197</v>
      </c>
      <c r="E138" t="s">
        <v>15</v>
      </c>
      <c r="F138">
        <v>1585</v>
      </c>
      <c r="G138" s="38">
        <v>0.23566332043999988</v>
      </c>
    </row>
    <row r="139" spans="1:7" x14ac:dyDescent="0.25">
      <c r="A139" s="22">
        <v>44228</v>
      </c>
      <c r="B139" t="s">
        <v>23</v>
      </c>
      <c r="C139" t="s">
        <v>23</v>
      </c>
      <c r="D139" t="s">
        <v>126</v>
      </c>
      <c r="E139" t="s">
        <v>11</v>
      </c>
      <c r="F139">
        <v>2016</v>
      </c>
      <c r="G139" s="38">
        <v>12.085465040450011</v>
      </c>
    </row>
    <row r="140" spans="1:7" x14ac:dyDescent="0.25">
      <c r="A140" s="22">
        <v>44228</v>
      </c>
      <c r="B140" t="s">
        <v>24</v>
      </c>
      <c r="C140" t="s">
        <v>26</v>
      </c>
      <c r="D140" t="s">
        <v>74</v>
      </c>
      <c r="E140" t="s">
        <v>15</v>
      </c>
      <c r="F140">
        <v>576</v>
      </c>
      <c r="G140" s="38">
        <v>0.99602880000000005</v>
      </c>
    </row>
    <row r="141" spans="1:7" x14ac:dyDescent="0.25">
      <c r="A141" s="22">
        <v>44228</v>
      </c>
      <c r="B141" t="s">
        <v>24</v>
      </c>
      <c r="C141" t="s">
        <v>27</v>
      </c>
      <c r="D141" t="s">
        <v>60</v>
      </c>
      <c r="E141" t="s">
        <v>11</v>
      </c>
      <c r="F141">
        <v>1920</v>
      </c>
      <c r="G141" s="38">
        <v>3.0105280999999988</v>
      </c>
    </row>
    <row r="142" spans="1:7" x14ac:dyDescent="0.25">
      <c r="A142" s="22">
        <v>44228</v>
      </c>
      <c r="B142" t="s">
        <v>24</v>
      </c>
      <c r="C142" t="s">
        <v>27</v>
      </c>
      <c r="D142" t="s">
        <v>184</v>
      </c>
      <c r="E142" t="s">
        <v>13</v>
      </c>
      <c r="F142">
        <v>1780</v>
      </c>
      <c r="G142" s="38">
        <v>1.2442595999999997</v>
      </c>
    </row>
    <row r="143" spans="1:7" x14ac:dyDescent="0.25">
      <c r="A143" s="22">
        <v>44228</v>
      </c>
      <c r="B143" t="s">
        <v>24</v>
      </c>
      <c r="C143" t="s">
        <v>27</v>
      </c>
      <c r="D143" t="s">
        <v>66</v>
      </c>
      <c r="E143" t="s">
        <v>11</v>
      </c>
      <c r="F143">
        <v>2426</v>
      </c>
      <c r="G143" s="38">
        <v>3.1620225</v>
      </c>
    </row>
    <row r="144" spans="1:7" x14ac:dyDescent="0.25">
      <c r="A144" s="22">
        <v>44228</v>
      </c>
      <c r="B144" t="s">
        <v>24</v>
      </c>
      <c r="C144" t="s">
        <v>27</v>
      </c>
      <c r="D144" t="s">
        <v>74</v>
      </c>
      <c r="E144" t="s">
        <v>15</v>
      </c>
      <c r="F144">
        <v>1317</v>
      </c>
      <c r="G144" s="38">
        <v>2.3367476999999997</v>
      </c>
    </row>
    <row r="145" spans="1:7" x14ac:dyDescent="0.25">
      <c r="A145" s="22">
        <v>44228</v>
      </c>
      <c r="B145" t="s">
        <v>24</v>
      </c>
      <c r="C145" t="s">
        <v>27</v>
      </c>
      <c r="D145" t="s">
        <v>106</v>
      </c>
      <c r="E145" t="s">
        <v>11</v>
      </c>
      <c r="F145">
        <v>1992</v>
      </c>
      <c r="G145" s="38">
        <v>3.4995873999999998</v>
      </c>
    </row>
    <row r="146" spans="1:7" x14ac:dyDescent="0.25">
      <c r="A146" s="22">
        <v>44228</v>
      </c>
      <c r="B146" t="s">
        <v>24</v>
      </c>
      <c r="C146" t="s">
        <v>27</v>
      </c>
      <c r="D146" t="s">
        <v>193</v>
      </c>
      <c r="E146" t="s">
        <v>13</v>
      </c>
      <c r="F146">
        <v>576</v>
      </c>
      <c r="G146" s="38">
        <v>0.3468</v>
      </c>
    </row>
    <row r="147" spans="1:7" x14ac:dyDescent="0.25">
      <c r="A147" s="22">
        <v>44228</v>
      </c>
      <c r="B147" t="s">
        <v>24</v>
      </c>
      <c r="C147" t="s">
        <v>27</v>
      </c>
      <c r="D147" t="s">
        <v>163</v>
      </c>
      <c r="E147" t="s">
        <v>11</v>
      </c>
      <c r="F147">
        <v>984</v>
      </c>
      <c r="G147" s="38">
        <v>2.2840900000000004</v>
      </c>
    </row>
    <row r="148" spans="1:7" x14ac:dyDescent="0.25">
      <c r="A148" s="22">
        <v>44228</v>
      </c>
      <c r="B148" t="s">
        <v>24</v>
      </c>
      <c r="C148" t="s">
        <v>28</v>
      </c>
      <c r="D148" t="s">
        <v>184</v>
      </c>
      <c r="E148" t="s">
        <v>13</v>
      </c>
      <c r="F148">
        <v>2865</v>
      </c>
      <c r="G148" s="38">
        <v>2.0910651000000002</v>
      </c>
    </row>
    <row r="149" spans="1:7" x14ac:dyDescent="0.25">
      <c r="A149" s="22">
        <v>44228</v>
      </c>
      <c r="B149" t="s">
        <v>24</v>
      </c>
      <c r="C149" t="s">
        <v>28</v>
      </c>
      <c r="D149" t="s">
        <v>74</v>
      </c>
      <c r="E149" t="s">
        <v>15</v>
      </c>
      <c r="F149">
        <v>637</v>
      </c>
      <c r="G149" s="38">
        <v>1.1237316999999998</v>
      </c>
    </row>
    <row r="150" spans="1:7" x14ac:dyDescent="0.25">
      <c r="A150" s="22">
        <v>44228</v>
      </c>
      <c r="B150" t="s">
        <v>24</v>
      </c>
      <c r="C150" t="s">
        <v>28</v>
      </c>
      <c r="D150" t="s">
        <v>194</v>
      </c>
      <c r="E150" t="s">
        <v>13</v>
      </c>
      <c r="F150">
        <v>532</v>
      </c>
      <c r="G150" s="38">
        <v>0.79210990000000003</v>
      </c>
    </row>
    <row r="151" spans="1:7" x14ac:dyDescent="0.25">
      <c r="A151" s="22">
        <v>44228</v>
      </c>
      <c r="B151" t="s">
        <v>24</v>
      </c>
      <c r="C151" t="s">
        <v>29</v>
      </c>
      <c r="D151" t="s">
        <v>184</v>
      </c>
      <c r="E151" t="s">
        <v>13</v>
      </c>
      <c r="F151">
        <v>2544</v>
      </c>
      <c r="G151" s="38">
        <v>1.8777012999999998</v>
      </c>
    </row>
    <row r="152" spans="1:7" x14ac:dyDescent="0.25">
      <c r="A152" s="22">
        <v>44228</v>
      </c>
      <c r="B152" t="s">
        <v>24</v>
      </c>
      <c r="C152" t="s">
        <v>29</v>
      </c>
      <c r="D152" t="s">
        <v>66</v>
      </c>
      <c r="E152" t="s">
        <v>11</v>
      </c>
      <c r="F152">
        <v>576</v>
      </c>
      <c r="G152" s="38">
        <v>0.74769329999999989</v>
      </c>
    </row>
    <row r="153" spans="1:7" x14ac:dyDescent="0.25">
      <c r="A153" s="22">
        <v>44228</v>
      </c>
      <c r="B153" t="s">
        <v>24</v>
      </c>
      <c r="C153" t="s">
        <v>29</v>
      </c>
      <c r="D153" t="s">
        <v>74</v>
      </c>
      <c r="E153" t="s">
        <v>15</v>
      </c>
      <c r="F153">
        <v>1344</v>
      </c>
      <c r="G153" s="38">
        <v>2.3709503999999995</v>
      </c>
    </row>
    <row r="154" spans="1:7" x14ac:dyDescent="0.25">
      <c r="A154" s="22">
        <v>44228</v>
      </c>
      <c r="B154" t="s">
        <v>24</v>
      </c>
      <c r="C154" t="s">
        <v>29</v>
      </c>
      <c r="D154" t="s">
        <v>194</v>
      </c>
      <c r="E154" t="s">
        <v>13</v>
      </c>
      <c r="F154">
        <v>884</v>
      </c>
      <c r="G154" s="38">
        <v>1.3162052</v>
      </c>
    </row>
    <row r="155" spans="1:7" x14ac:dyDescent="0.25">
      <c r="A155" s="22">
        <v>44228</v>
      </c>
      <c r="B155" t="s">
        <v>24</v>
      </c>
      <c r="C155" t="s">
        <v>30</v>
      </c>
      <c r="D155" t="s">
        <v>60</v>
      </c>
      <c r="E155" t="s">
        <v>11</v>
      </c>
      <c r="F155">
        <v>1080</v>
      </c>
      <c r="G155" s="38">
        <v>1.6758780000000002</v>
      </c>
    </row>
    <row r="156" spans="1:7" x14ac:dyDescent="0.25">
      <c r="A156" s="22">
        <v>44228</v>
      </c>
      <c r="B156" t="s">
        <v>24</v>
      </c>
      <c r="C156" t="s">
        <v>30</v>
      </c>
      <c r="D156" t="s">
        <v>184</v>
      </c>
      <c r="E156" t="s">
        <v>13</v>
      </c>
      <c r="F156">
        <v>4608</v>
      </c>
      <c r="G156" s="38">
        <v>3.3411752000000003</v>
      </c>
    </row>
    <row r="157" spans="1:7" x14ac:dyDescent="0.25">
      <c r="A157" s="22">
        <v>44228</v>
      </c>
      <c r="B157" t="s">
        <v>24</v>
      </c>
      <c r="C157" t="s">
        <v>30</v>
      </c>
      <c r="D157" t="s">
        <v>66</v>
      </c>
      <c r="E157" t="s">
        <v>11</v>
      </c>
      <c r="F157">
        <v>1188</v>
      </c>
      <c r="G157" s="38">
        <v>1.5315470000000004</v>
      </c>
    </row>
    <row r="158" spans="1:7" x14ac:dyDescent="0.25">
      <c r="A158" s="22">
        <v>44228</v>
      </c>
      <c r="B158" t="s">
        <v>24</v>
      </c>
      <c r="C158" t="s">
        <v>30</v>
      </c>
      <c r="D158" t="s">
        <v>74</v>
      </c>
      <c r="E158" t="s">
        <v>15</v>
      </c>
      <c r="F158">
        <v>2064</v>
      </c>
      <c r="G158" s="38">
        <v>3.6123983999999996</v>
      </c>
    </row>
    <row r="159" spans="1:7" x14ac:dyDescent="0.25">
      <c r="A159" s="22">
        <v>44228</v>
      </c>
      <c r="B159" t="s">
        <v>24</v>
      </c>
      <c r="C159" t="s">
        <v>30</v>
      </c>
      <c r="D159" t="s">
        <v>96</v>
      </c>
      <c r="E159" t="s">
        <v>11</v>
      </c>
      <c r="F159">
        <v>720</v>
      </c>
      <c r="G159" s="38">
        <v>1.78416</v>
      </c>
    </row>
    <row r="160" spans="1:7" x14ac:dyDescent="0.25">
      <c r="A160" s="22">
        <v>44228</v>
      </c>
      <c r="B160" t="s">
        <v>24</v>
      </c>
      <c r="C160" t="s">
        <v>30</v>
      </c>
      <c r="D160" t="s">
        <v>106</v>
      </c>
      <c r="E160" t="s">
        <v>11</v>
      </c>
      <c r="F160">
        <v>636</v>
      </c>
      <c r="G160" s="38">
        <v>1.1113451999999997</v>
      </c>
    </row>
    <row r="161" spans="1:7" x14ac:dyDescent="0.25">
      <c r="A161" s="22">
        <v>44228</v>
      </c>
      <c r="B161" t="s">
        <v>24</v>
      </c>
      <c r="C161" t="s">
        <v>30</v>
      </c>
      <c r="D161" t="s">
        <v>193</v>
      </c>
      <c r="E161" t="s">
        <v>13</v>
      </c>
      <c r="F161">
        <v>1272</v>
      </c>
      <c r="G161" s="38">
        <v>0.75818879999999989</v>
      </c>
    </row>
    <row r="162" spans="1:7" x14ac:dyDescent="0.25">
      <c r="A162" s="22">
        <v>44228</v>
      </c>
      <c r="B162" t="s">
        <v>24</v>
      </c>
      <c r="C162" t="s">
        <v>30</v>
      </c>
      <c r="D162" t="s">
        <v>194</v>
      </c>
      <c r="E162" t="s">
        <v>13</v>
      </c>
      <c r="F162">
        <v>1752</v>
      </c>
      <c r="G162" s="38">
        <v>2.5963691999999998</v>
      </c>
    </row>
    <row r="163" spans="1:7" x14ac:dyDescent="0.25">
      <c r="A163" s="22">
        <v>44256</v>
      </c>
      <c r="B163" t="s">
        <v>23</v>
      </c>
      <c r="C163" t="s">
        <v>23</v>
      </c>
      <c r="D163" t="s">
        <v>53</v>
      </c>
      <c r="E163" t="s">
        <v>11</v>
      </c>
      <c r="F163">
        <v>2584</v>
      </c>
      <c r="G163" s="38">
        <v>16.153500000000001</v>
      </c>
    </row>
    <row r="164" spans="1:7" x14ac:dyDescent="0.25">
      <c r="A164" s="22">
        <v>44256</v>
      </c>
      <c r="B164" t="s">
        <v>23</v>
      </c>
      <c r="C164" t="s">
        <v>23</v>
      </c>
      <c r="D164" t="s">
        <v>60</v>
      </c>
      <c r="E164" t="s">
        <v>11</v>
      </c>
      <c r="F164">
        <v>857</v>
      </c>
      <c r="G164" s="38">
        <v>3.3628499999999999</v>
      </c>
    </row>
    <row r="165" spans="1:7" x14ac:dyDescent="0.25">
      <c r="A165" s="22">
        <v>44256</v>
      </c>
      <c r="B165" t="s">
        <v>23</v>
      </c>
      <c r="C165" t="s">
        <v>23</v>
      </c>
      <c r="D165" t="s">
        <v>64</v>
      </c>
      <c r="E165" t="s">
        <v>13</v>
      </c>
      <c r="F165">
        <v>531</v>
      </c>
      <c r="G165" s="38">
        <v>2.637</v>
      </c>
    </row>
    <row r="166" spans="1:7" x14ac:dyDescent="0.25">
      <c r="A166" s="22">
        <v>44256</v>
      </c>
      <c r="B166" t="s">
        <v>23</v>
      </c>
      <c r="C166" t="s">
        <v>23</v>
      </c>
      <c r="D166" t="s">
        <v>66</v>
      </c>
      <c r="E166" t="s">
        <v>11</v>
      </c>
      <c r="F166">
        <v>1139</v>
      </c>
      <c r="G166" s="38">
        <v>3.41</v>
      </c>
    </row>
    <row r="167" spans="1:7" x14ac:dyDescent="0.25">
      <c r="A167" s="22">
        <v>44256</v>
      </c>
      <c r="B167" t="s">
        <v>23</v>
      </c>
      <c r="C167" t="s">
        <v>23</v>
      </c>
      <c r="D167" t="s">
        <v>74</v>
      </c>
      <c r="E167" t="s">
        <v>15</v>
      </c>
      <c r="F167">
        <v>549</v>
      </c>
      <c r="G167" s="38">
        <v>1.64151</v>
      </c>
    </row>
    <row r="168" spans="1:7" x14ac:dyDescent="0.25">
      <c r="A168" s="22">
        <v>44256</v>
      </c>
      <c r="B168" t="s">
        <v>23</v>
      </c>
      <c r="C168" t="s">
        <v>23</v>
      </c>
      <c r="D168" t="s">
        <v>94</v>
      </c>
      <c r="E168" t="s">
        <v>15</v>
      </c>
      <c r="F168">
        <v>715</v>
      </c>
      <c r="G168" s="38">
        <v>3.3557999999999999</v>
      </c>
    </row>
    <row r="169" spans="1:7" x14ac:dyDescent="0.25">
      <c r="A169" s="22">
        <v>44256</v>
      </c>
      <c r="B169" t="s">
        <v>23</v>
      </c>
      <c r="C169" t="s">
        <v>23</v>
      </c>
      <c r="D169" t="s">
        <v>96</v>
      </c>
      <c r="E169" t="s">
        <v>11</v>
      </c>
      <c r="F169">
        <v>2213</v>
      </c>
      <c r="G169" s="38">
        <v>9.093</v>
      </c>
    </row>
    <row r="170" spans="1:7" x14ac:dyDescent="0.25">
      <c r="A170" s="22">
        <v>44256</v>
      </c>
      <c r="B170" t="s">
        <v>23</v>
      </c>
      <c r="C170" t="s">
        <v>23</v>
      </c>
      <c r="D170" t="s">
        <v>199</v>
      </c>
      <c r="E170" t="s">
        <v>15</v>
      </c>
      <c r="F170">
        <v>2932</v>
      </c>
      <c r="G170" s="38">
        <v>43.905000000000001</v>
      </c>
    </row>
    <row r="171" spans="1:7" x14ac:dyDescent="0.25">
      <c r="A171" s="22">
        <v>44256</v>
      </c>
      <c r="B171" t="s">
        <v>23</v>
      </c>
      <c r="C171" t="s">
        <v>23</v>
      </c>
      <c r="D171" t="s">
        <v>106</v>
      </c>
      <c r="E171" t="s">
        <v>11</v>
      </c>
      <c r="F171">
        <v>522</v>
      </c>
      <c r="G171" s="38">
        <v>1.9379999999999999</v>
      </c>
    </row>
    <row r="172" spans="1:7" x14ac:dyDescent="0.25">
      <c r="A172" s="22">
        <v>44256</v>
      </c>
      <c r="B172" t="s">
        <v>23</v>
      </c>
      <c r="C172" t="s">
        <v>23</v>
      </c>
      <c r="D172" t="s">
        <v>197</v>
      </c>
      <c r="E172" t="s">
        <v>15</v>
      </c>
      <c r="F172">
        <v>711</v>
      </c>
      <c r="G172" s="38">
        <v>0.73140000000000005</v>
      </c>
    </row>
    <row r="173" spans="1:7" x14ac:dyDescent="0.25">
      <c r="A173" s="22">
        <v>44256</v>
      </c>
      <c r="B173" t="s">
        <v>23</v>
      </c>
      <c r="C173" t="s">
        <v>23</v>
      </c>
      <c r="D173" t="s">
        <v>126</v>
      </c>
      <c r="E173" t="s">
        <v>11</v>
      </c>
      <c r="F173">
        <v>1503</v>
      </c>
      <c r="G173" s="38">
        <v>9.0120000000000005</v>
      </c>
    </row>
    <row r="174" spans="1:7" x14ac:dyDescent="0.25">
      <c r="A174" s="22">
        <v>44256</v>
      </c>
      <c r="B174" t="s">
        <v>23</v>
      </c>
      <c r="C174" t="s">
        <v>23</v>
      </c>
      <c r="D174" t="s">
        <v>172</v>
      </c>
      <c r="E174" t="s">
        <v>11</v>
      </c>
      <c r="F174">
        <v>617</v>
      </c>
      <c r="G174" s="38">
        <v>3.085</v>
      </c>
    </row>
    <row r="175" spans="1:7" x14ac:dyDescent="0.25">
      <c r="A175" s="22">
        <v>44256</v>
      </c>
      <c r="B175" t="s">
        <v>23</v>
      </c>
      <c r="C175" t="s">
        <v>23</v>
      </c>
      <c r="D175" t="s">
        <v>176</v>
      </c>
      <c r="E175" t="s">
        <v>11</v>
      </c>
      <c r="F175">
        <v>684</v>
      </c>
      <c r="G175" s="38">
        <v>3.3466999999999998</v>
      </c>
    </row>
    <row r="176" spans="1:7" x14ac:dyDescent="0.25">
      <c r="A176" s="22">
        <v>44256</v>
      </c>
      <c r="B176" t="s">
        <v>24</v>
      </c>
      <c r="C176" t="s">
        <v>27</v>
      </c>
      <c r="D176" t="s">
        <v>60</v>
      </c>
      <c r="E176" t="s">
        <v>11</v>
      </c>
      <c r="F176">
        <v>1776</v>
      </c>
      <c r="G176" s="38">
        <v>2.7698844999999994</v>
      </c>
    </row>
    <row r="177" spans="1:7" x14ac:dyDescent="0.25">
      <c r="A177" s="22">
        <v>44256</v>
      </c>
      <c r="B177" t="s">
        <v>24</v>
      </c>
      <c r="C177" t="s">
        <v>27</v>
      </c>
      <c r="D177" t="s">
        <v>184</v>
      </c>
      <c r="E177" t="s">
        <v>13</v>
      </c>
      <c r="F177">
        <v>1912</v>
      </c>
      <c r="G177" s="38">
        <v>1.3426251999999996</v>
      </c>
    </row>
    <row r="178" spans="1:7" x14ac:dyDescent="0.25">
      <c r="A178" s="22">
        <v>44256</v>
      </c>
      <c r="B178" t="s">
        <v>24</v>
      </c>
      <c r="C178" t="s">
        <v>27</v>
      </c>
      <c r="D178" t="s">
        <v>66</v>
      </c>
      <c r="E178" t="s">
        <v>11</v>
      </c>
      <c r="F178">
        <v>1878</v>
      </c>
      <c r="G178" s="38">
        <v>2.4440268000000001</v>
      </c>
    </row>
    <row r="179" spans="1:7" x14ac:dyDescent="0.25">
      <c r="A179" s="22">
        <v>44256</v>
      </c>
      <c r="B179" t="s">
        <v>24</v>
      </c>
      <c r="C179" t="s">
        <v>27</v>
      </c>
      <c r="D179" t="s">
        <v>74</v>
      </c>
      <c r="E179" t="s">
        <v>15</v>
      </c>
      <c r="F179">
        <v>1247</v>
      </c>
      <c r="G179" s="38">
        <v>2.2228945999999996</v>
      </c>
    </row>
    <row r="180" spans="1:7" x14ac:dyDescent="0.25">
      <c r="A180" s="22">
        <v>44256</v>
      </c>
      <c r="B180" t="s">
        <v>24</v>
      </c>
      <c r="C180" t="s">
        <v>27</v>
      </c>
      <c r="D180" t="s">
        <v>106</v>
      </c>
      <c r="E180" t="s">
        <v>11</v>
      </c>
      <c r="F180">
        <v>1176</v>
      </c>
      <c r="G180" s="38">
        <v>2.0812025999999992</v>
      </c>
    </row>
    <row r="181" spans="1:7" x14ac:dyDescent="0.25">
      <c r="A181" s="22">
        <v>44256</v>
      </c>
      <c r="B181" t="s">
        <v>24</v>
      </c>
      <c r="C181" t="s">
        <v>27</v>
      </c>
      <c r="D181" t="s">
        <v>163</v>
      </c>
      <c r="E181" t="s">
        <v>11</v>
      </c>
      <c r="F181">
        <v>654</v>
      </c>
      <c r="G181" s="38">
        <v>1.5273681000000003</v>
      </c>
    </row>
    <row r="182" spans="1:7" x14ac:dyDescent="0.25">
      <c r="A182" s="22">
        <v>44256</v>
      </c>
      <c r="B182" t="s">
        <v>24</v>
      </c>
      <c r="C182" t="s">
        <v>27</v>
      </c>
      <c r="D182" t="s">
        <v>176</v>
      </c>
      <c r="E182" t="s">
        <v>11</v>
      </c>
      <c r="F182">
        <v>552</v>
      </c>
      <c r="G182" s="38">
        <v>1.5887773999999999</v>
      </c>
    </row>
    <row r="183" spans="1:7" x14ac:dyDescent="0.25">
      <c r="A183" s="22">
        <v>44256</v>
      </c>
      <c r="B183" t="s">
        <v>24</v>
      </c>
      <c r="C183" t="s">
        <v>28</v>
      </c>
      <c r="D183" t="s">
        <v>184</v>
      </c>
      <c r="E183" t="s">
        <v>13</v>
      </c>
      <c r="F183">
        <v>1272</v>
      </c>
      <c r="G183" s="38">
        <v>0.92842799999999992</v>
      </c>
    </row>
    <row r="184" spans="1:7" x14ac:dyDescent="0.25">
      <c r="A184" s="22">
        <v>44256</v>
      </c>
      <c r="B184" t="s">
        <v>24</v>
      </c>
      <c r="C184" t="s">
        <v>28</v>
      </c>
      <c r="D184" t="s">
        <v>74</v>
      </c>
      <c r="E184" t="s">
        <v>15</v>
      </c>
      <c r="F184">
        <v>912</v>
      </c>
      <c r="G184" s="38">
        <v>1.6088591999999995</v>
      </c>
    </row>
    <row r="185" spans="1:7" x14ac:dyDescent="0.25">
      <c r="A185" s="22">
        <v>44256</v>
      </c>
      <c r="B185" t="s">
        <v>24</v>
      </c>
      <c r="C185" t="s">
        <v>29</v>
      </c>
      <c r="D185" t="s">
        <v>60</v>
      </c>
      <c r="E185" t="s">
        <v>11</v>
      </c>
      <c r="F185">
        <v>564</v>
      </c>
      <c r="G185" s="38">
        <v>0.88182420000000017</v>
      </c>
    </row>
    <row r="186" spans="1:7" x14ac:dyDescent="0.25">
      <c r="A186" s="22">
        <v>44256</v>
      </c>
      <c r="B186" t="s">
        <v>24</v>
      </c>
      <c r="C186" t="s">
        <v>29</v>
      </c>
      <c r="D186" t="s">
        <v>184</v>
      </c>
      <c r="E186" t="s">
        <v>13</v>
      </c>
      <c r="F186">
        <v>3168</v>
      </c>
      <c r="G186" s="38">
        <v>2.3353190000000001</v>
      </c>
    </row>
    <row r="187" spans="1:7" x14ac:dyDescent="0.25">
      <c r="A187" s="22">
        <v>44256</v>
      </c>
      <c r="B187" t="s">
        <v>24</v>
      </c>
      <c r="C187" t="s">
        <v>29</v>
      </c>
      <c r="D187" t="s">
        <v>66</v>
      </c>
      <c r="E187" t="s">
        <v>11</v>
      </c>
      <c r="F187">
        <v>840</v>
      </c>
      <c r="G187" s="38">
        <v>1.0903819999999997</v>
      </c>
    </row>
    <row r="188" spans="1:7" x14ac:dyDescent="0.25">
      <c r="A188" s="22">
        <v>44256</v>
      </c>
      <c r="B188" t="s">
        <v>24</v>
      </c>
      <c r="C188" t="s">
        <v>29</v>
      </c>
      <c r="D188" t="s">
        <v>74</v>
      </c>
      <c r="E188" t="s">
        <v>15</v>
      </c>
      <c r="F188">
        <v>1440</v>
      </c>
      <c r="G188" s="38">
        <v>2.5403039999999995</v>
      </c>
    </row>
    <row r="189" spans="1:7" x14ac:dyDescent="0.25">
      <c r="A189" s="22">
        <v>44256</v>
      </c>
      <c r="B189" t="s">
        <v>24</v>
      </c>
      <c r="C189" t="s">
        <v>29</v>
      </c>
      <c r="D189" t="s">
        <v>106</v>
      </c>
      <c r="E189" t="s">
        <v>11</v>
      </c>
      <c r="F189">
        <v>588</v>
      </c>
      <c r="G189" s="38">
        <v>1.0408266999999998</v>
      </c>
    </row>
    <row r="190" spans="1:7" x14ac:dyDescent="0.25">
      <c r="A190" s="22">
        <v>44256</v>
      </c>
      <c r="B190" t="s">
        <v>24</v>
      </c>
      <c r="C190" t="s">
        <v>29</v>
      </c>
      <c r="D190" t="s">
        <v>193</v>
      </c>
      <c r="E190" t="s">
        <v>13</v>
      </c>
      <c r="F190">
        <v>1500</v>
      </c>
      <c r="G190" s="38">
        <v>0.90409440000000008</v>
      </c>
    </row>
    <row r="191" spans="1:7" x14ac:dyDescent="0.25">
      <c r="A191" s="22">
        <v>44256</v>
      </c>
      <c r="B191" t="s">
        <v>24</v>
      </c>
      <c r="C191" t="s">
        <v>29</v>
      </c>
      <c r="D191" t="s">
        <v>194</v>
      </c>
      <c r="E191" t="s">
        <v>13</v>
      </c>
      <c r="F191">
        <v>1104</v>
      </c>
      <c r="G191" s="38">
        <v>1.6437581999999995</v>
      </c>
    </row>
    <row r="192" spans="1:7" x14ac:dyDescent="0.25">
      <c r="A192" s="22">
        <v>44256</v>
      </c>
      <c r="B192" t="s">
        <v>24</v>
      </c>
      <c r="C192" t="s">
        <v>30</v>
      </c>
      <c r="D192" t="s">
        <v>60</v>
      </c>
      <c r="E192" t="s">
        <v>11</v>
      </c>
      <c r="F192">
        <v>876</v>
      </c>
      <c r="G192" s="38">
        <v>1.3696401999999999</v>
      </c>
    </row>
    <row r="193" spans="1:7" x14ac:dyDescent="0.25">
      <c r="A193" s="22">
        <v>44256</v>
      </c>
      <c r="B193" t="s">
        <v>24</v>
      </c>
      <c r="C193" t="s">
        <v>30</v>
      </c>
      <c r="D193" t="s">
        <v>184</v>
      </c>
      <c r="E193" t="s">
        <v>13</v>
      </c>
      <c r="F193">
        <v>2304</v>
      </c>
      <c r="G193" s="38">
        <v>1.6830497</v>
      </c>
    </row>
    <row r="194" spans="1:7" x14ac:dyDescent="0.25">
      <c r="A194" s="22">
        <v>44256</v>
      </c>
      <c r="B194" t="s">
        <v>24</v>
      </c>
      <c r="C194" t="s">
        <v>30</v>
      </c>
      <c r="D194" t="s">
        <v>66</v>
      </c>
      <c r="E194" t="s">
        <v>11</v>
      </c>
      <c r="F194">
        <v>738</v>
      </c>
      <c r="G194" s="38">
        <v>0.95796959999999975</v>
      </c>
    </row>
    <row r="195" spans="1:7" x14ac:dyDescent="0.25">
      <c r="A195" s="22">
        <v>44256</v>
      </c>
      <c r="B195" t="s">
        <v>24</v>
      </c>
      <c r="C195" t="s">
        <v>30</v>
      </c>
      <c r="D195" t="s">
        <v>74</v>
      </c>
      <c r="E195" t="s">
        <v>15</v>
      </c>
      <c r="F195">
        <v>888</v>
      </c>
      <c r="G195" s="38">
        <v>1.5665208000000002</v>
      </c>
    </row>
    <row r="196" spans="1:7" x14ac:dyDescent="0.25">
      <c r="A196" s="22">
        <v>44256</v>
      </c>
      <c r="B196" t="s">
        <v>24</v>
      </c>
      <c r="C196" t="s">
        <v>30</v>
      </c>
      <c r="D196" t="s">
        <v>193</v>
      </c>
      <c r="E196" t="s">
        <v>13</v>
      </c>
      <c r="F196">
        <v>648</v>
      </c>
      <c r="G196" s="38">
        <v>0.39053760000000004</v>
      </c>
    </row>
    <row r="197" spans="1:7" x14ac:dyDescent="0.25">
      <c r="A197" s="22">
        <v>44256</v>
      </c>
      <c r="B197" t="s">
        <v>24</v>
      </c>
      <c r="C197" t="s">
        <v>30</v>
      </c>
      <c r="D197" t="s">
        <v>194</v>
      </c>
      <c r="E197" t="s">
        <v>13</v>
      </c>
      <c r="F197">
        <v>1272</v>
      </c>
      <c r="G197" s="38">
        <v>1.8935231999999997</v>
      </c>
    </row>
    <row r="198" spans="1:7" x14ac:dyDescent="0.25">
      <c r="A198" s="22">
        <v>44256</v>
      </c>
      <c r="B198" t="s">
        <v>24</v>
      </c>
      <c r="C198" t="s">
        <v>26</v>
      </c>
      <c r="D198" t="s">
        <v>184</v>
      </c>
      <c r="E198" t="s">
        <v>13</v>
      </c>
      <c r="F198">
        <v>1872</v>
      </c>
      <c r="G198" s="38">
        <v>1.3872394000000001</v>
      </c>
    </row>
    <row r="199" spans="1:7" x14ac:dyDescent="0.25">
      <c r="A199" s="22">
        <v>44256</v>
      </c>
      <c r="B199" t="s">
        <v>24</v>
      </c>
      <c r="C199" t="s">
        <v>26</v>
      </c>
      <c r="D199" t="s">
        <v>74</v>
      </c>
      <c r="E199" t="s">
        <v>15</v>
      </c>
      <c r="F199">
        <v>576</v>
      </c>
      <c r="G199" s="38">
        <v>1.0060751999999999</v>
      </c>
    </row>
    <row r="200" spans="1:7" x14ac:dyDescent="0.25">
      <c r="A200" s="22">
        <v>44256</v>
      </c>
      <c r="B200" t="s">
        <v>24</v>
      </c>
      <c r="C200" t="s">
        <v>25</v>
      </c>
      <c r="D200" t="s">
        <v>184</v>
      </c>
      <c r="E200" t="s">
        <v>13</v>
      </c>
      <c r="F200">
        <v>624</v>
      </c>
      <c r="G200" s="38">
        <v>0.45535219999999998</v>
      </c>
    </row>
    <row r="201" spans="1:7" x14ac:dyDescent="0.25">
      <c r="A201" s="22">
        <v>44256</v>
      </c>
      <c r="B201" t="s">
        <v>9</v>
      </c>
      <c r="C201" t="s">
        <v>16</v>
      </c>
      <c r="D201" t="s">
        <v>52</v>
      </c>
      <c r="E201" t="s">
        <v>11</v>
      </c>
      <c r="F201">
        <v>1059</v>
      </c>
      <c r="G201" s="38">
        <v>4.5310421999999928</v>
      </c>
    </row>
    <row r="202" spans="1:7" x14ac:dyDescent="0.25">
      <c r="A202" s="22">
        <v>44256</v>
      </c>
      <c r="B202" t="s">
        <v>9</v>
      </c>
      <c r="C202" t="s">
        <v>16</v>
      </c>
      <c r="D202" t="s">
        <v>53</v>
      </c>
      <c r="E202" t="s">
        <v>11</v>
      </c>
      <c r="F202">
        <v>1898</v>
      </c>
      <c r="G202" s="38">
        <v>8.8145109999999995</v>
      </c>
    </row>
    <row r="203" spans="1:7" x14ac:dyDescent="0.25">
      <c r="A203" s="22">
        <v>44256</v>
      </c>
      <c r="B203" t="s">
        <v>9</v>
      </c>
      <c r="C203" t="s">
        <v>16</v>
      </c>
      <c r="D203" t="s">
        <v>60</v>
      </c>
      <c r="E203" t="s">
        <v>11</v>
      </c>
      <c r="F203">
        <v>2824</v>
      </c>
      <c r="G203" s="38">
        <v>7.1658829999999867</v>
      </c>
    </row>
    <row r="204" spans="1:7" x14ac:dyDescent="0.25">
      <c r="A204" s="22">
        <v>44256</v>
      </c>
      <c r="B204" t="s">
        <v>9</v>
      </c>
      <c r="C204" t="s">
        <v>16</v>
      </c>
      <c r="D204" t="s">
        <v>64</v>
      </c>
      <c r="E204" t="s">
        <v>13</v>
      </c>
      <c r="F204">
        <v>969</v>
      </c>
      <c r="G204" s="38">
        <v>3.6849043999999989</v>
      </c>
    </row>
    <row r="205" spans="1:7" x14ac:dyDescent="0.25">
      <c r="A205" s="22">
        <v>44256</v>
      </c>
      <c r="B205" t="s">
        <v>9</v>
      </c>
      <c r="C205" t="s">
        <v>16</v>
      </c>
      <c r="D205" t="s">
        <v>66</v>
      </c>
      <c r="E205" t="s">
        <v>11</v>
      </c>
      <c r="F205">
        <v>3573</v>
      </c>
      <c r="G205" s="38">
        <v>7.5204417999999524</v>
      </c>
    </row>
    <row r="206" spans="1:7" x14ac:dyDescent="0.25">
      <c r="A206" s="22">
        <v>44256</v>
      </c>
      <c r="B206" t="s">
        <v>9</v>
      </c>
      <c r="C206" t="s">
        <v>16</v>
      </c>
      <c r="D206" t="s">
        <v>74</v>
      </c>
      <c r="E206" t="s">
        <v>15</v>
      </c>
      <c r="F206">
        <v>968</v>
      </c>
      <c r="G206" s="38">
        <v>2.6398038000000006</v>
      </c>
    </row>
    <row r="207" spans="1:7" x14ac:dyDescent="0.25">
      <c r="A207" s="22">
        <v>44256</v>
      </c>
      <c r="B207" t="s">
        <v>9</v>
      </c>
      <c r="C207" t="s">
        <v>16</v>
      </c>
      <c r="D207" t="s">
        <v>89</v>
      </c>
      <c r="E207" t="s">
        <v>11</v>
      </c>
      <c r="F207">
        <v>1642</v>
      </c>
      <c r="G207" s="38">
        <v>5.9678846999999928</v>
      </c>
    </row>
    <row r="208" spans="1:7" x14ac:dyDescent="0.25">
      <c r="A208" s="22">
        <v>44256</v>
      </c>
      <c r="B208" t="s">
        <v>9</v>
      </c>
      <c r="C208" t="s">
        <v>16</v>
      </c>
      <c r="D208" t="s">
        <v>96</v>
      </c>
      <c r="E208" t="s">
        <v>11</v>
      </c>
      <c r="F208">
        <v>3361</v>
      </c>
      <c r="G208" s="38">
        <v>11.872210800000026</v>
      </c>
    </row>
    <row r="209" spans="1:7" x14ac:dyDescent="0.25">
      <c r="A209" s="22">
        <v>44256</v>
      </c>
      <c r="B209" t="s">
        <v>9</v>
      </c>
      <c r="C209" t="s">
        <v>16</v>
      </c>
      <c r="D209" t="s">
        <v>103</v>
      </c>
      <c r="E209" t="s">
        <v>11</v>
      </c>
      <c r="F209">
        <v>783</v>
      </c>
      <c r="G209" s="38">
        <v>3.1349166999999998</v>
      </c>
    </row>
    <row r="210" spans="1:7" x14ac:dyDescent="0.25">
      <c r="A210" s="22">
        <v>44256</v>
      </c>
      <c r="B210" t="s">
        <v>9</v>
      </c>
      <c r="C210" t="s">
        <v>16</v>
      </c>
      <c r="D210" t="s">
        <v>106</v>
      </c>
      <c r="E210" t="s">
        <v>11</v>
      </c>
      <c r="F210">
        <v>1550</v>
      </c>
      <c r="G210" s="38">
        <v>4.1669494999999994</v>
      </c>
    </row>
    <row r="211" spans="1:7" x14ac:dyDescent="0.25">
      <c r="A211" s="22">
        <v>44256</v>
      </c>
      <c r="B211" t="s">
        <v>9</v>
      </c>
      <c r="C211" t="s">
        <v>16</v>
      </c>
      <c r="D211" t="s">
        <v>124</v>
      </c>
      <c r="E211" t="s">
        <v>11</v>
      </c>
      <c r="F211">
        <v>744</v>
      </c>
      <c r="G211" s="38">
        <v>1.9039441999999993</v>
      </c>
    </row>
    <row r="212" spans="1:7" x14ac:dyDescent="0.25">
      <c r="A212" s="22">
        <v>44256</v>
      </c>
      <c r="B212" t="s">
        <v>9</v>
      </c>
      <c r="C212" t="s">
        <v>16</v>
      </c>
      <c r="D212" t="s">
        <v>126</v>
      </c>
      <c r="E212" t="s">
        <v>11</v>
      </c>
      <c r="F212">
        <v>1481</v>
      </c>
      <c r="G212" s="38">
        <v>6.6645008000000034</v>
      </c>
    </row>
    <row r="213" spans="1:7" x14ac:dyDescent="0.25">
      <c r="A213" s="22">
        <v>44256</v>
      </c>
      <c r="B213" t="s">
        <v>9</v>
      </c>
      <c r="C213" t="s">
        <v>16</v>
      </c>
      <c r="D213" t="s">
        <v>132</v>
      </c>
      <c r="E213" t="s">
        <v>13</v>
      </c>
      <c r="F213">
        <v>983</v>
      </c>
      <c r="G213" s="38">
        <v>3.7537601</v>
      </c>
    </row>
    <row r="214" spans="1:7" x14ac:dyDescent="0.25">
      <c r="A214" s="22">
        <v>44256</v>
      </c>
      <c r="B214" t="s">
        <v>9</v>
      </c>
      <c r="C214" t="s">
        <v>16</v>
      </c>
      <c r="D214" t="s">
        <v>162</v>
      </c>
      <c r="E214" t="s">
        <v>11</v>
      </c>
      <c r="F214">
        <v>796</v>
      </c>
      <c r="G214" s="38">
        <v>1.9915699999999967</v>
      </c>
    </row>
    <row r="215" spans="1:7" x14ac:dyDescent="0.25">
      <c r="A215" s="22">
        <v>44256</v>
      </c>
      <c r="B215" t="s">
        <v>9</v>
      </c>
      <c r="C215" t="s">
        <v>16</v>
      </c>
      <c r="D215" t="s">
        <v>163</v>
      </c>
      <c r="E215" t="s">
        <v>11</v>
      </c>
      <c r="F215">
        <v>2352</v>
      </c>
      <c r="G215" s="38">
        <v>8.0776636000000046</v>
      </c>
    </row>
    <row r="216" spans="1:7" x14ac:dyDescent="0.25">
      <c r="A216" s="22">
        <v>44256</v>
      </c>
      <c r="B216" t="s">
        <v>9</v>
      </c>
      <c r="C216" t="s">
        <v>16</v>
      </c>
      <c r="D216" t="s">
        <v>176</v>
      </c>
      <c r="E216" t="s">
        <v>11</v>
      </c>
      <c r="F216">
        <v>2283</v>
      </c>
      <c r="G216" s="38">
        <v>9.2431065000000032</v>
      </c>
    </row>
    <row r="217" spans="1:7" x14ac:dyDescent="0.25">
      <c r="A217" s="22">
        <v>44256</v>
      </c>
      <c r="B217" t="s">
        <v>9</v>
      </c>
      <c r="C217" t="s">
        <v>20</v>
      </c>
      <c r="D217" t="s">
        <v>52</v>
      </c>
      <c r="E217" t="s">
        <v>11</v>
      </c>
      <c r="F217">
        <v>615</v>
      </c>
      <c r="G217" s="38">
        <v>1.9987596999999997</v>
      </c>
    </row>
    <row r="218" spans="1:7" x14ac:dyDescent="0.25">
      <c r="A218" s="22">
        <v>44256</v>
      </c>
      <c r="B218" t="s">
        <v>9</v>
      </c>
      <c r="C218" t="s">
        <v>20</v>
      </c>
      <c r="D218" t="s">
        <v>60</v>
      </c>
      <c r="E218" t="s">
        <v>11</v>
      </c>
      <c r="F218">
        <v>598</v>
      </c>
      <c r="G218" s="38">
        <v>1.0300909</v>
      </c>
    </row>
    <row r="219" spans="1:7" x14ac:dyDescent="0.25">
      <c r="A219" s="22">
        <v>44256</v>
      </c>
      <c r="B219" t="s">
        <v>9</v>
      </c>
      <c r="C219" t="s">
        <v>20</v>
      </c>
      <c r="D219" t="s">
        <v>184</v>
      </c>
      <c r="E219" t="s">
        <v>13</v>
      </c>
      <c r="F219">
        <v>1039</v>
      </c>
      <c r="G219" s="38">
        <v>0.81052240000000009</v>
      </c>
    </row>
    <row r="220" spans="1:7" x14ac:dyDescent="0.25">
      <c r="A220" s="22">
        <v>44256</v>
      </c>
      <c r="B220" t="s">
        <v>9</v>
      </c>
      <c r="C220" t="s">
        <v>20</v>
      </c>
      <c r="D220" t="s">
        <v>66</v>
      </c>
      <c r="E220" t="s">
        <v>11</v>
      </c>
      <c r="F220">
        <v>864</v>
      </c>
      <c r="G220" s="38">
        <v>1.2355341</v>
      </c>
    </row>
    <row r="221" spans="1:7" x14ac:dyDescent="0.25">
      <c r="A221" s="22">
        <v>44256</v>
      </c>
      <c r="B221" t="s">
        <v>9</v>
      </c>
      <c r="C221" t="s">
        <v>20</v>
      </c>
      <c r="D221" t="s">
        <v>132</v>
      </c>
      <c r="E221" t="s">
        <v>13</v>
      </c>
      <c r="F221">
        <v>509</v>
      </c>
      <c r="G221" s="38">
        <v>1.6542576999999998</v>
      </c>
    </row>
    <row r="222" spans="1:7" x14ac:dyDescent="0.25">
      <c r="A222" s="22">
        <v>44256</v>
      </c>
      <c r="B222" t="s">
        <v>9</v>
      </c>
      <c r="C222" t="s">
        <v>21</v>
      </c>
      <c r="D222" t="s">
        <v>53</v>
      </c>
      <c r="E222" t="s">
        <v>11</v>
      </c>
      <c r="F222">
        <v>542</v>
      </c>
      <c r="G222" s="38">
        <v>2.4883000000000002</v>
      </c>
    </row>
    <row r="223" spans="1:7" x14ac:dyDescent="0.25">
      <c r="A223" s="22">
        <v>44256</v>
      </c>
      <c r="B223" t="s">
        <v>9</v>
      </c>
      <c r="C223" t="s">
        <v>21</v>
      </c>
      <c r="D223" t="s">
        <v>66</v>
      </c>
      <c r="E223" t="s">
        <v>11</v>
      </c>
      <c r="F223">
        <v>645</v>
      </c>
      <c r="G223" s="38">
        <v>1.40907</v>
      </c>
    </row>
    <row r="224" spans="1:7" x14ac:dyDescent="0.25">
      <c r="A224" s="22">
        <v>44256</v>
      </c>
      <c r="B224" t="s">
        <v>9</v>
      </c>
      <c r="C224" t="s">
        <v>21</v>
      </c>
      <c r="D224" t="s">
        <v>96</v>
      </c>
      <c r="E224" t="s">
        <v>11</v>
      </c>
      <c r="F224">
        <v>1242</v>
      </c>
      <c r="G224" s="38">
        <v>4.36043</v>
      </c>
    </row>
    <row r="225" spans="1:7" x14ac:dyDescent="0.25">
      <c r="A225" s="22">
        <v>44256</v>
      </c>
      <c r="B225" t="s">
        <v>9</v>
      </c>
      <c r="C225" t="s">
        <v>22</v>
      </c>
      <c r="D225" t="s">
        <v>198</v>
      </c>
      <c r="E225" t="s">
        <v>13</v>
      </c>
      <c r="F225">
        <v>971</v>
      </c>
      <c r="G225" s="38">
        <v>5.8259999999999996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5" x14ac:dyDescent="0.25"/>
  <cols>
    <col min="1" max="16384" width="9.140625" style="6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L1" workbookViewId="0">
      <selection activeCell="R37" sqref="R37"/>
    </sheetView>
  </sheetViews>
  <sheetFormatPr defaultRowHeight="15" x14ac:dyDescent="0.25"/>
  <cols>
    <col min="1" max="1" width="14.5703125" bestFit="1" customWidth="1"/>
    <col min="6" max="6" width="17.5703125" bestFit="1" customWidth="1"/>
    <col min="9" max="9" width="14.85546875" bestFit="1" customWidth="1"/>
    <col min="18" max="18" width="18.28515625" bestFit="1" customWidth="1"/>
  </cols>
  <sheetData>
    <row r="1" spans="1:18" x14ac:dyDescent="0.25">
      <c r="A1" s="81" t="s">
        <v>379</v>
      </c>
      <c r="I1" s="91" t="s">
        <v>325</v>
      </c>
      <c r="R1" s="81" t="s">
        <v>380</v>
      </c>
    </row>
    <row r="3" spans="1:18" x14ac:dyDescent="0.25">
      <c r="A3" s="81" t="s">
        <v>319</v>
      </c>
      <c r="R3" s="81" t="s">
        <v>381</v>
      </c>
    </row>
    <row r="5" spans="1:18" x14ac:dyDescent="0.25">
      <c r="A5" s="64"/>
      <c r="B5" s="64"/>
      <c r="C5" s="64"/>
      <c r="D5" s="64"/>
      <c r="E5" s="64"/>
      <c r="F5" s="64"/>
    </row>
    <row r="6" spans="1:18" x14ac:dyDescent="0.25">
      <c r="A6" s="65"/>
      <c r="B6" s="66"/>
      <c r="C6" s="67"/>
      <c r="D6" s="8"/>
      <c r="E6" s="68"/>
      <c r="F6" s="69"/>
    </row>
    <row r="7" spans="1:18" x14ac:dyDescent="0.25">
      <c r="A7" s="65"/>
      <c r="B7" s="66"/>
      <c r="C7" s="67"/>
      <c r="D7" s="8"/>
      <c r="E7" s="70"/>
      <c r="F7" s="69"/>
    </row>
    <row r="8" spans="1:18" x14ac:dyDescent="0.25">
      <c r="A8" s="65"/>
      <c r="B8" s="66"/>
      <c r="C8" s="67"/>
      <c r="D8" s="8"/>
      <c r="E8" s="70"/>
      <c r="F8" s="69"/>
    </row>
    <row r="9" spans="1:18" x14ac:dyDescent="0.25">
      <c r="A9" s="65"/>
      <c r="B9" s="66"/>
      <c r="C9" s="67"/>
      <c r="D9" s="8"/>
      <c r="E9" s="70"/>
      <c r="F9" s="69"/>
    </row>
    <row r="10" spans="1:18" x14ac:dyDescent="0.25">
      <c r="A10" s="64"/>
      <c r="B10" s="71"/>
      <c r="C10" s="71"/>
      <c r="D10" s="72"/>
      <c r="E10" s="73"/>
      <c r="F10" s="73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2"/>
  <sheetViews>
    <sheetView tabSelected="1" topLeftCell="N1" zoomScale="115" zoomScaleNormal="115" workbookViewId="0">
      <selection activeCell="T5" sqref="T5"/>
    </sheetView>
  </sheetViews>
  <sheetFormatPr defaultRowHeight="15" x14ac:dyDescent="0.25"/>
  <cols>
    <col min="1" max="1" width="24" bestFit="1" customWidth="1"/>
    <col min="2" max="2" width="29.85546875" bestFit="1" customWidth="1"/>
    <col min="3" max="3" width="18.28515625" bestFit="1" customWidth="1"/>
    <col min="8" max="8" width="23" bestFit="1" customWidth="1"/>
    <col min="9" max="9" width="12" bestFit="1" customWidth="1"/>
    <col min="10" max="10" width="10.5703125" bestFit="1" customWidth="1"/>
    <col min="11" max="11" width="18.5703125" customWidth="1"/>
    <col min="12" max="12" width="17.42578125" customWidth="1"/>
    <col min="13" max="13" width="18.28515625" customWidth="1"/>
    <col min="16" max="16" width="18" bestFit="1" customWidth="1"/>
    <col min="17" max="17" width="11" bestFit="1" customWidth="1"/>
    <col min="19" max="19" width="18.85546875" bestFit="1" customWidth="1"/>
    <col min="20" max="20" width="17.5703125" bestFit="1" customWidth="1"/>
    <col min="23" max="23" width="52.140625" bestFit="1" customWidth="1"/>
    <col min="24" max="24" width="18.85546875" bestFit="1" customWidth="1"/>
    <col min="25" max="25" width="11" bestFit="1" customWidth="1"/>
    <col min="26" max="26" width="10" bestFit="1" customWidth="1"/>
    <col min="27" max="27" width="17.5703125" bestFit="1" customWidth="1"/>
    <col min="34" max="34" width="6.7109375" bestFit="1" customWidth="1"/>
  </cols>
  <sheetData>
    <row r="1" spans="1:27" x14ac:dyDescent="0.25">
      <c r="A1" s="82" t="s">
        <v>326</v>
      </c>
    </row>
    <row r="2" spans="1:27" x14ac:dyDescent="0.25">
      <c r="A2" s="62"/>
    </row>
    <row r="3" spans="1:27" x14ac:dyDescent="0.25">
      <c r="A3" s="81" t="s">
        <v>19</v>
      </c>
      <c r="B3">
        <f>COUNTA(Analsis!A4:A7)</f>
        <v>4</v>
      </c>
      <c r="H3" s="81" t="s">
        <v>379</v>
      </c>
      <c r="P3" s="81" t="s">
        <v>339</v>
      </c>
      <c r="W3" s="81" t="s">
        <v>342</v>
      </c>
    </row>
    <row r="4" spans="1:27" x14ac:dyDescent="0.25">
      <c r="A4" s="81" t="s">
        <v>2</v>
      </c>
      <c r="B4">
        <f>COUNTA(Feeder!B2:B4)</f>
        <v>3</v>
      </c>
    </row>
    <row r="5" spans="1:27" x14ac:dyDescent="0.25">
      <c r="A5" s="81" t="s">
        <v>35</v>
      </c>
      <c r="B5">
        <f>COUNTA(Feeder!C2:C12)</f>
        <v>11</v>
      </c>
      <c r="H5" s="81" t="s">
        <v>319</v>
      </c>
      <c r="P5" s="81" t="s">
        <v>340</v>
      </c>
      <c r="W5" s="64" t="s">
        <v>4</v>
      </c>
      <c r="X5" s="64" t="s">
        <v>6</v>
      </c>
      <c r="Y5" s="64" t="s">
        <v>320</v>
      </c>
      <c r="Z5" s="64" t="s">
        <v>8</v>
      </c>
      <c r="AA5" s="64" t="s">
        <v>323</v>
      </c>
    </row>
    <row r="6" spans="1:27" x14ac:dyDescent="0.25">
      <c r="A6" s="81" t="s">
        <v>4</v>
      </c>
      <c r="B6">
        <f>COUNTA(Feeder!D:D)</f>
        <v>31</v>
      </c>
      <c r="W6" s="8" t="s">
        <v>52</v>
      </c>
      <c r="X6" s="8" t="str">
        <f>VLOOKUP($W6,'Raw data'!$D:$E,2,FALSE)</f>
        <v>Juices</v>
      </c>
      <c r="Y6" s="66">
        <f>SUMIFS('Raw data'!$G:$G,'Raw data'!$D:$D,Analsis!$W6)</f>
        <v>19.647806899999985</v>
      </c>
      <c r="Z6" s="74">
        <f>SUMIFS('Raw data'!$F:$F,'Raw data'!$D:$D,Analsis!$W6)/1000</f>
        <v>5.0629999999999997</v>
      </c>
      <c r="AA6" s="69">
        <f>Y6/$Y$36</f>
        <v>2.2389721276448327E-2</v>
      </c>
    </row>
    <row r="7" spans="1:27" x14ac:dyDescent="0.25">
      <c r="A7" s="81" t="s">
        <v>6</v>
      </c>
      <c r="B7">
        <f>COUNTA(Feeder!E2:E4)</f>
        <v>3</v>
      </c>
      <c r="H7" s="64" t="s">
        <v>19</v>
      </c>
      <c r="I7" s="64" t="s">
        <v>320</v>
      </c>
      <c r="J7" s="64" t="s">
        <v>8</v>
      </c>
      <c r="K7" s="64" t="s">
        <v>321</v>
      </c>
      <c r="L7" s="64" t="s">
        <v>322</v>
      </c>
      <c r="M7" s="64" t="s">
        <v>323</v>
      </c>
      <c r="P7" s="64" t="s">
        <v>35</v>
      </c>
      <c r="Q7" s="64" t="s">
        <v>320</v>
      </c>
      <c r="R7" s="64" t="s">
        <v>8</v>
      </c>
      <c r="S7" s="64" t="s">
        <v>321</v>
      </c>
      <c r="T7" s="64" t="s">
        <v>323</v>
      </c>
      <c r="W7" s="8" t="s">
        <v>53</v>
      </c>
      <c r="X7" s="8" t="str">
        <f>VLOOKUP($W7,'Raw data'!$D:$E,2,FALSE)</f>
        <v>Juices</v>
      </c>
      <c r="Y7" s="66">
        <f>SUMIFS('Raw data'!$G:$G,'Raw data'!$D:$D,Analsis!$W7)</f>
        <v>122.49252612868997</v>
      </c>
      <c r="Z7" s="74">
        <f>SUMIFS('Raw data'!$F:$F,'Raw data'!$D:$D,Analsis!$W7)/1000</f>
        <v>23.585000000000001</v>
      </c>
      <c r="AA7" s="69">
        <f t="shared" ref="AA7:AA35" si="0">Y7/$Y$36</f>
        <v>0.13958675044131438</v>
      </c>
    </row>
    <row r="8" spans="1:27" x14ac:dyDescent="0.25">
      <c r="A8" s="81" t="s">
        <v>8</v>
      </c>
      <c r="B8" s="63">
        <f>SUM('Raw data'!F:F)</f>
        <v>309781</v>
      </c>
      <c r="H8" s="65">
        <v>44166</v>
      </c>
      <c r="I8" s="66">
        <f>SUMIFS('Raw data'!$G:$G,'Raw data'!$A:$A,Analsis!H8)</f>
        <v>197.38843130000001</v>
      </c>
      <c r="J8" s="67">
        <f>SUMIFS('Raw data'!$F:$F,'Raw data'!$A:$A,Analsis!H8)/1000</f>
        <v>85.427000000000007</v>
      </c>
      <c r="K8" s="8">
        <f>COUNTIFS(Feeder!$I:$I,Analsis!$H8)</f>
        <v>22</v>
      </c>
      <c r="L8" s="68">
        <v>0</v>
      </c>
      <c r="M8" s="69">
        <f>I8/$I$12</f>
        <v>0.22493461903895107</v>
      </c>
      <c r="P8" s="8" t="s">
        <v>16</v>
      </c>
      <c r="Q8" s="66">
        <f>SUMIFS('Raw data'!$G:$G,'Raw data'!$C:$C,Analsis!$P8)</f>
        <v>356.06803710000014</v>
      </c>
      <c r="R8" s="8">
        <f t="shared" ref="R8:R18" si="1">SUMIFS(Qty,Sub_Channels,$P8)/1000</f>
        <v>98.13</v>
      </c>
      <c r="S8" s="8">
        <f>COUNTIFS(Feeder!$Q:$Q,Analsis!$P8)</f>
        <v>21</v>
      </c>
      <c r="T8" s="69">
        <f>Q8/$Q$19</f>
        <v>0.40575847201150328</v>
      </c>
      <c r="W8" s="8" t="s">
        <v>60</v>
      </c>
      <c r="X8" s="8" t="str">
        <f>VLOOKUP($W8,'Raw data'!$D:$E,2,FALSE)</f>
        <v>Juices</v>
      </c>
      <c r="Y8" s="66">
        <f>SUMIFS('Raw data'!$G:$G,'Raw data'!$D:$D,Analsis!$W8)</f>
        <v>60.245174511009978</v>
      </c>
      <c r="Z8" s="74">
        <f>SUMIFS('Raw data'!$F:$F,'Raw data'!$D:$D,Analsis!$W8)/1000</f>
        <v>28.788</v>
      </c>
      <c r="AA8" s="69">
        <f t="shared" si="0"/>
        <v>6.8652581553644218E-2</v>
      </c>
    </row>
    <row r="9" spans="1:27" x14ac:dyDescent="0.25">
      <c r="A9" s="81" t="s">
        <v>206</v>
      </c>
      <c r="B9" s="49">
        <f>SUM('Raw data'!G:G)</f>
        <v>877.53691336334089</v>
      </c>
      <c r="H9" s="65">
        <v>44197</v>
      </c>
      <c r="I9" s="66">
        <f>SUMIFS('Raw data'!$G:$G,'Raw data'!$A:$A,Analsis!H9)</f>
        <v>213.94649439999995</v>
      </c>
      <c r="J9" s="67">
        <f>SUMIFS('Raw data'!$F:$F,'Raw data'!$A:$A,Analsis!H9)/1000</f>
        <v>67.731999999999999</v>
      </c>
      <c r="K9" s="8">
        <f>COUNTIFS(Feeder!$I:$I,Analsis!$H9)</f>
        <v>25</v>
      </c>
      <c r="L9" s="70">
        <f>(I9-I8)/I8</f>
        <v>8.3885681602252751E-2</v>
      </c>
      <c r="M9" s="69">
        <f>I9/$I$12</f>
        <v>0.24380341287297652</v>
      </c>
      <c r="P9" s="8" t="s">
        <v>20</v>
      </c>
      <c r="Q9" s="66">
        <f>SUMIFS('Raw data'!$G:$G,'Raw data'!$C:$C,Analsis!$P9)</f>
        <v>12.075230200000002</v>
      </c>
      <c r="R9" s="8">
        <f t="shared" si="1"/>
        <v>7.34</v>
      </c>
      <c r="S9" s="8">
        <f>COUNTIFS(Feeder!$Q:$Q,Analsis!$P9)</f>
        <v>5</v>
      </c>
      <c r="T9" s="69">
        <f t="shared" ref="T9:T18" si="2">Q9/$Q$19</f>
        <v>1.3760367246226937E-2</v>
      </c>
      <c r="W9" s="8" t="s">
        <v>64</v>
      </c>
      <c r="X9" s="8" t="str">
        <f>VLOOKUP($W9,'Raw data'!$D:$E,2,FALSE)</f>
        <v>Gourmet Nutrition</v>
      </c>
      <c r="Y9" s="66">
        <f>SUMIFS('Raw data'!$G:$G,'Raw data'!$D:$D,Analsis!$W9)</f>
        <v>18.069763699999996</v>
      </c>
      <c r="Z9" s="74">
        <f>SUMIFS('Raw data'!$F:$F,'Raw data'!$D:$D,Analsis!$W9)/1000</f>
        <v>4.6829999999999998</v>
      </c>
      <c r="AA9" s="69">
        <f t="shared" si="0"/>
        <v>2.0591457094088394E-2</v>
      </c>
    </row>
    <row r="10" spans="1:27" x14ac:dyDescent="0.25">
      <c r="H10" s="65">
        <v>44228</v>
      </c>
      <c r="I10" s="66">
        <f>SUMIFS('Raw data'!$G:$G,'Raw data'!$A:$A,Analsis!H10)</f>
        <v>214.92368696334066</v>
      </c>
      <c r="J10" s="67">
        <f>SUMIFS('Raw data'!$F:$F,'Raw data'!$A:$A,Analsis!H10)/1000</f>
        <v>76.393000000000001</v>
      </c>
      <c r="K10" s="8">
        <f>COUNTIFS(Feeder!$I:$I,Analsis!$H10)</f>
        <v>21</v>
      </c>
      <c r="L10" s="70">
        <f>(I10-I9)/I9</f>
        <v>4.5674623745585808E-3</v>
      </c>
      <c r="M10" s="69">
        <f>I10/$I$12</f>
        <v>0.24491697578806282</v>
      </c>
      <c r="P10" s="8" t="s">
        <v>21</v>
      </c>
      <c r="Q10" s="66">
        <f>SUMIFS('Raw data'!$G:$G,'Raw data'!$C:$C,Analsis!$P10)</f>
        <v>37.704149999999998</v>
      </c>
      <c r="R10" s="8">
        <f t="shared" si="1"/>
        <v>11.121</v>
      </c>
      <c r="S10" s="8">
        <f>COUNTIFS(Feeder!$Q:$Q,Analsis!$P10)</f>
        <v>4</v>
      </c>
      <c r="T10" s="69">
        <f t="shared" si="2"/>
        <v>4.2965884882826273E-2</v>
      </c>
      <c r="W10" s="8" t="s">
        <v>124</v>
      </c>
      <c r="X10" s="8" t="str">
        <f>VLOOKUP($W10,'Raw data'!$D:$E,2,FALSE)</f>
        <v>Juices</v>
      </c>
      <c r="Y10" s="66">
        <f>SUMIFS('Raw data'!$G:$G,'Raw data'!$D:$D,Analsis!$W10)</f>
        <v>7.0410562999999993</v>
      </c>
      <c r="Z10" s="74">
        <f>SUMIFS('Raw data'!$F:$F,'Raw data'!$D:$D,Analsis!$W10)/1000</f>
        <v>2.6970000000000001</v>
      </c>
      <c r="AA10" s="69">
        <f t="shared" si="0"/>
        <v>8.0236582561680533E-3</v>
      </c>
    </row>
    <row r="11" spans="1:27" x14ac:dyDescent="0.25">
      <c r="H11" s="65">
        <v>44256</v>
      </c>
      <c r="I11" s="66">
        <f>SUMIFS('Raw data'!$G:$G,'Raw data'!$A:$A,Analsis!H11)</f>
        <v>251.27830069999996</v>
      </c>
      <c r="J11" s="67">
        <f>SUMIFS('Raw data'!$F:$F,'Raw data'!$A:$A,Analsis!H11)/1000</f>
        <v>80.228999999999999</v>
      </c>
      <c r="K11" s="8">
        <f>COUNTIFS(Feeder!$I:$I,Analsis!$H11)</f>
        <v>24</v>
      </c>
      <c r="L11" s="70">
        <f>(I11-I10)/I10</f>
        <v>0.16915126596939628</v>
      </c>
      <c r="M11" s="69">
        <f>I11/$I$12</f>
        <v>0.28634499230000965</v>
      </c>
      <c r="P11" s="8" t="s">
        <v>23</v>
      </c>
      <c r="Q11" s="66">
        <f>SUMIFS('Raw data'!$G:$G,'Raw data'!$C:$C,Analsis!$P11)</f>
        <v>280.4753813633406</v>
      </c>
      <c r="R11" s="8">
        <f t="shared" si="1"/>
        <v>42.78</v>
      </c>
      <c r="S11" s="8">
        <f>COUNTIFS(Feeder!$Q:$Q,Analsis!$P11)</f>
        <v>13</v>
      </c>
      <c r="T11" s="69">
        <f t="shared" si="2"/>
        <v>0.31961661907572747</v>
      </c>
      <c r="W11" s="8" t="s">
        <v>126</v>
      </c>
      <c r="X11" s="8" t="str">
        <f>VLOOKUP($W11,'Raw data'!$D:$E,2,FALSE)</f>
        <v>Juices</v>
      </c>
      <c r="Y11" s="66">
        <f>SUMIFS('Raw data'!$G:$G,'Raw data'!$D:$D,Analsis!$W11)</f>
        <v>47.860626340450018</v>
      </c>
      <c r="Z11" s="74">
        <f>SUMIFS('Raw data'!$F:$F,'Raw data'!$D:$D,Analsis!$W11)/1000</f>
        <v>8.9359999999999999</v>
      </c>
      <c r="AA11" s="69">
        <f t="shared" si="0"/>
        <v>5.4539730023452027E-2</v>
      </c>
    </row>
    <row r="12" spans="1:27" x14ac:dyDescent="0.25">
      <c r="H12" s="64" t="s">
        <v>1</v>
      </c>
      <c r="I12" s="71">
        <f>SUM(I8:I11)</f>
        <v>877.53691336334055</v>
      </c>
      <c r="J12" s="71">
        <f>SUM(J8:J11)</f>
        <v>309.78100000000001</v>
      </c>
      <c r="K12" s="72">
        <f>SUM(K8:K11)</f>
        <v>92</v>
      </c>
      <c r="L12" s="73">
        <f>SUM(L8:L11)</f>
        <v>0.25760440994620759</v>
      </c>
      <c r="M12" s="73">
        <f>SUM(M8:M11)</f>
        <v>1</v>
      </c>
      <c r="P12" s="8" t="s">
        <v>25</v>
      </c>
      <c r="Q12" s="66">
        <f>SUMIFS('Raw data'!$G:$G,'Raw data'!$C:$C,Analsis!$P12)</f>
        <v>3.7533266000000003</v>
      </c>
      <c r="R12" s="8">
        <f t="shared" si="1"/>
        <v>6.0960000000000001</v>
      </c>
      <c r="S12" s="8">
        <f>COUNTIFS(Feeder!$Q:$Q,Analsis!$P12)</f>
        <v>2</v>
      </c>
      <c r="T12" s="69">
        <f t="shared" si="2"/>
        <v>4.2771153473357641E-3</v>
      </c>
      <c r="W12" s="8" t="s">
        <v>149</v>
      </c>
      <c r="X12" s="8" t="str">
        <f>VLOOKUP($W12,'Raw data'!$D:$E,2,FALSE)</f>
        <v>Functional nutrition</v>
      </c>
      <c r="Y12" s="66">
        <f>SUMIFS('Raw data'!$G:$G,'Raw data'!$D:$D,Analsis!$W12)</f>
        <v>15.344106999999999</v>
      </c>
      <c r="Z12" s="74">
        <f>SUMIFS('Raw data'!$F:$F,'Raw data'!$D:$D,Analsis!$W12)/1000</f>
        <v>1.3380000000000001</v>
      </c>
      <c r="AA12" s="69">
        <f t="shared" si="0"/>
        <v>1.7485426272486421E-2</v>
      </c>
    </row>
    <row r="13" spans="1:27" x14ac:dyDescent="0.25">
      <c r="P13" s="8" t="s">
        <v>26</v>
      </c>
      <c r="Q13" s="66">
        <f>SUMIFS('Raw data'!$G:$G,'Raw data'!$C:$C,Analsis!$P13)</f>
        <v>8.1114578000000019</v>
      </c>
      <c r="R13" s="8">
        <f t="shared" si="1"/>
        <v>8.452</v>
      </c>
      <c r="S13" s="8">
        <f>COUNTIFS(Feeder!$Q:$Q,Analsis!$P13)</f>
        <v>4</v>
      </c>
      <c r="T13" s="69">
        <f t="shared" si="2"/>
        <v>9.2434377135329499E-3</v>
      </c>
      <c r="W13" s="8" t="s">
        <v>152</v>
      </c>
      <c r="X13" s="8" t="str">
        <f>VLOOKUP($W13,'Raw data'!$D:$E,2,FALSE)</f>
        <v>Functional nutrition</v>
      </c>
      <c r="Y13" s="66">
        <f>SUMIFS('Raw data'!$G:$G,'Raw data'!$D:$D,Analsis!$W13)</f>
        <v>13.173266699999999</v>
      </c>
      <c r="Z13" s="74">
        <f>SUMIFS('Raw data'!$F:$F,'Raw data'!$D:$D,Analsis!$W13)/1000</f>
        <v>1.179</v>
      </c>
      <c r="AA13" s="69">
        <f t="shared" si="0"/>
        <v>1.501163825634496E-2</v>
      </c>
    </row>
    <row r="14" spans="1:27" x14ac:dyDescent="0.25">
      <c r="P14" s="8" t="s">
        <v>27</v>
      </c>
      <c r="Q14" s="66">
        <f>SUMIFS('Raw data'!$G:$G,'Raw data'!$C:$C,Analsis!$P14)</f>
        <v>62.579463399999995</v>
      </c>
      <c r="R14" s="8">
        <f t="shared" si="1"/>
        <v>40.219000000000001</v>
      </c>
      <c r="S14" s="8">
        <f>COUNTIFS(Feeder!$Q:$Q,Analsis!$P14)</f>
        <v>8</v>
      </c>
      <c r="T14" s="69">
        <f t="shared" si="2"/>
        <v>7.1312627932825431E-2</v>
      </c>
      <c r="W14" s="8" t="s">
        <v>162</v>
      </c>
      <c r="X14" s="8" t="str">
        <f>VLOOKUP($W14,'Raw data'!$D:$E,2,FALSE)</f>
        <v>Juices</v>
      </c>
      <c r="Y14" s="66">
        <f>SUMIFS('Raw data'!$G:$G,'Raw data'!$D:$D,Analsis!$W14)</f>
        <v>7.9874851999999956</v>
      </c>
      <c r="Z14" s="74">
        <f>SUMIFS('Raw data'!$F:$F,'Raw data'!$D:$D,Analsis!$W14)/1000</f>
        <v>3.1829999999999998</v>
      </c>
      <c r="AA14" s="69">
        <f t="shared" si="0"/>
        <v>9.1021643401715327E-3</v>
      </c>
    </row>
    <row r="15" spans="1:27" x14ac:dyDescent="0.25">
      <c r="P15" s="8" t="s">
        <v>28</v>
      </c>
      <c r="Q15" s="66">
        <f>SUMIFS('Raw data'!$G:$G,'Raw data'!$C:$C,Analsis!$P15)</f>
        <v>12.065635500000001</v>
      </c>
      <c r="R15" s="8">
        <f t="shared" si="1"/>
        <v>11.709</v>
      </c>
      <c r="S15" s="8">
        <f>COUNTIFS(Feeder!$Q:$Q,Analsis!$P15)</f>
        <v>6</v>
      </c>
      <c r="T15" s="69">
        <f t="shared" si="2"/>
        <v>1.3749433575114201E-2</v>
      </c>
      <c r="W15" s="8" t="s">
        <v>163</v>
      </c>
      <c r="X15" s="8" t="str">
        <f>VLOOKUP($W15,'Raw data'!$D:$E,2,FALSE)</f>
        <v>Juices</v>
      </c>
      <c r="Y15" s="66">
        <f>SUMIFS('Raw data'!$G:$G,'Raw data'!$D:$D,Analsis!$W15)</f>
        <v>41.432372999999998</v>
      </c>
      <c r="Z15" s="74">
        <f>SUMIFS('Raw data'!$F:$F,'Raw data'!$D:$D,Analsis!$W15)/1000</f>
        <v>13.679</v>
      </c>
      <c r="AA15" s="69">
        <f t="shared" si="0"/>
        <v>4.7214393342385912E-2</v>
      </c>
    </row>
    <row r="16" spans="1:27" x14ac:dyDescent="0.25">
      <c r="H16" s="81" t="s">
        <v>325</v>
      </c>
      <c r="P16" s="8" t="s">
        <v>29</v>
      </c>
      <c r="Q16" s="66">
        <f>SUMIFS('Raw data'!$G:$G,'Raw data'!$C:$C,Analsis!$P16)</f>
        <v>34.463965799999997</v>
      </c>
      <c r="R16" s="8">
        <f t="shared" si="1"/>
        <v>30.864000000000001</v>
      </c>
      <c r="S16" s="8">
        <f>COUNTIFS(Feeder!$Q:$Q,Analsis!$P16)</f>
        <v>9</v>
      </c>
      <c r="T16" s="69">
        <f t="shared" si="2"/>
        <v>3.927352260078696E-2</v>
      </c>
      <c r="W16" s="8" t="s">
        <v>176</v>
      </c>
      <c r="X16" s="8" t="str">
        <f>VLOOKUP($W16,'Raw data'!$D:$E,2,FALSE)</f>
        <v>Juices</v>
      </c>
      <c r="Y16" s="66">
        <f>SUMIFS('Raw data'!$G:$G,'Raw data'!$D:$D,Analsis!$W16)</f>
        <v>45.245824800000008</v>
      </c>
      <c r="Z16" s="74">
        <f>SUMIFS('Raw data'!$F:$F,'Raw data'!$D:$D,Analsis!$W16)/1000</f>
        <v>11.858000000000001</v>
      </c>
      <c r="AA16" s="69">
        <f t="shared" si="0"/>
        <v>5.156002455393708E-2</v>
      </c>
    </row>
    <row r="17" spans="8:27" x14ac:dyDescent="0.25">
      <c r="P17" s="8" t="s">
        <v>30</v>
      </c>
      <c r="Q17" s="66">
        <f>SUMIFS('Raw data'!$G:$G,'Raw data'!$C:$C,Analsis!$P17)</f>
        <v>64.414265599999993</v>
      </c>
      <c r="R17" s="8">
        <f t="shared" si="1"/>
        <v>52.098999999999997</v>
      </c>
      <c r="S17" s="8">
        <f>COUNTIFS(Feeder!$Q:$Q,Analsis!$P17)</f>
        <v>13</v>
      </c>
      <c r="T17" s="69">
        <f t="shared" si="2"/>
        <v>7.3403482655925043E-2</v>
      </c>
      <c r="W17" s="8" t="s">
        <v>66</v>
      </c>
      <c r="X17" s="8" t="str">
        <f>VLOOKUP($W17,'Raw data'!$D:$E,2,FALSE)</f>
        <v>Juices</v>
      </c>
      <c r="Y17" s="66">
        <f>SUMIFS('Raw data'!$G:$G,'Raw data'!$D:$D,Analsis!$W17)</f>
        <v>58.627407270899944</v>
      </c>
      <c r="Z17" s="74">
        <f>SUMIFS('Raw data'!$F:$F,'Raw data'!$D:$D,Analsis!$W17)/1000</f>
        <v>34.378</v>
      </c>
      <c r="AA17" s="69">
        <f t="shared" si="0"/>
        <v>6.6809049714157714E-2</v>
      </c>
    </row>
    <row r="18" spans="8:27" x14ac:dyDescent="0.25">
      <c r="H18" s="64" t="s">
        <v>2</v>
      </c>
      <c r="I18" s="64" t="s">
        <v>320</v>
      </c>
      <c r="J18" s="64" t="s">
        <v>8</v>
      </c>
      <c r="K18" s="64" t="s">
        <v>321</v>
      </c>
      <c r="L18" s="64" t="s">
        <v>323</v>
      </c>
      <c r="P18" s="8" t="s">
        <v>22</v>
      </c>
      <c r="Q18" s="66">
        <f>SUMIFS('Raw data'!$G:$G,'Raw data'!$C:$C,Analsis!$P18)</f>
        <v>5.8259999999999996</v>
      </c>
      <c r="R18" s="8">
        <f t="shared" si="1"/>
        <v>0.97099999999999997</v>
      </c>
      <c r="S18" s="8">
        <f>COUNTIFS(Feeder!$Q:$Q,Analsis!$P18)</f>
        <v>1</v>
      </c>
      <c r="T18" s="69">
        <f t="shared" si="2"/>
        <v>6.6390369581954736E-3</v>
      </c>
      <c r="W18" s="8" t="s">
        <v>96</v>
      </c>
      <c r="X18" s="8" t="str">
        <f>VLOOKUP($W18,'Raw data'!$D:$E,2,FALSE)</f>
        <v>Juices</v>
      </c>
      <c r="Y18" s="66">
        <f>SUMIFS('Raw data'!$G:$G,'Raw data'!$D:$D,Analsis!$W18)</f>
        <v>91.225530097990045</v>
      </c>
      <c r="Z18" s="74">
        <f>SUMIFS('Raw data'!$F:$F,'Raw data'!$D:$D,Analsis!$W18)/1000</f>
        <v>24.731000000000002</v>
      </c>
      <c r="AA18" s="69">
        <f t="shared" si="0"/>
        <v>0.10395634497966522</v>
      </c>
    </row>
    <row r="19" spans="8:27" x14ac:dyDescent="0.25">
      <c r="H19" s="8" t="s">
        <v>9</v>
      </c>
      <c r="I19" s="66">
        <f>SUMIFS(Sales_Value__in_INR_Lakhs,Channel,$H19)</f>
        <v>411.67341729999998</v>
      </c>
      <c r="J19" s="74">
        <f>SUMIFS(Qty,Channel,$H19)/1000</f>
        <v>117.562</v>
      </c>
      <c r="K19" s="8">
        <f>COUNTIFS(Feeder!$M:$M,Analsis!$H19)</f>
        <v>23</v>
      </c>
      <c r="L19" s="69">
        <f>I19/$I$22</f>
        <v>0.46912376109875198</v>
      </c>
      <c r="P19" s="64" t="s">
        <v>1</v>
      </c>
      <c r="Q19" s="71">
        <f>SUM(Q8:Q18)</f>
        <v>877.53691336334089</v>
      </c>
      <c r="R19" s="64">
        <f>SUM(R8:R18)</f>
        <v>309.78099999999995</v>
      </c>
      <c r="S19" s="64">
        <f>SUM(S8:S18)</f>
        <v>86</v>
      </c>
      <c r="T19" s="85">
        <f>SUM(T8:T18)</f>
        <v>0.99999999999999978</v>
      </c>
      <c r="W19" s="8" t="s">
        <v>199</v>
      </c>
      <c r="X19" s="8" t="str">
        <f>VLOOKUP($W19,'Raw data'!$D:$E,2,FALSE)</f>
        <v>Functional nutrition</v>
      </c>
      <c r="Y19" s="66">
        <f>SUMIFS('Raw data'!$G:$G,'Raw data'!$D:$D,Analsis!$W19)</f>
        <v>120.00054917144067</v>
      </c>
      <c r="Z19" s="74">
        <f>SUMIFS('Raw data'!$F:$F,'Raw data'!$D:$D,Analsis!$W19)/1000</f>
        <v>8.0090000000000003</v>
      </c>
      <c r="AA19" s="69">
        <f t="shared" si="0"/>
        <v>0.13674701011894061</v>
      </c>
    </row>
    <row r="20" spans="8:27" x14ac:dyDescent="0.25">
      <c r="H20" s="8" t="s">
        <v>23</v>
      </c>
      <c r="I20" s="66">
        <f>SUMIFS(Sales_Value__in_INR_Lakhs,Channel,$H20)</f>
        <v>280.4753813633406</v>
      </c>
      <c r="J20" s="74">
        <f>SUMIFS(Qty,Channel,$H20)/1000</f>
        <v>42.78</v>
      </c>
      <c r="K20" s="8">
        <f>COUNTIFS(Feeder!$M:$M,Analsis!$H20)</f>
        <v>13</v>
      </c>
      <c r="L20" s="69">
        <f>I20/$I$22</f>
        <v>0.31961661907572764</v>
      </c>
      <c r="W20" s="8" t="s">
        <v>172</v>
      </c>
      <c r="X20" s="8" t="str">
        <f>VLOOKUP($W20,'Raw data'!$D:$E,2,FALSE)</f>
        <v>Juices</v>
      </c>
      <c r="Y20" s="66">
        <f>SUMIFS('Raw data'!$G:$G,'Raw data'!$D:$D,Analsis!$W20)</f>
        <v>6.5250000000000004</v>
      </c>
      <c r="Z20" s="74">
        <f>SUMIFS('Raw data'!$F:$F,'Raw data'!$D:$D,Analsis!$W20)/1000</f>
        <v>1.3049999999999999</v>
      </c>
      <c r="AA20" s="69">
        <f t="shared" si="0"/>
        <v>7.4355846467946234E-3</v>
      </c>
    </row>
    <row r="21" spans="8:27" x14ac:dyDescent="0.25">
      <c r="H21" s="8" t="s">
        <v>24</v>
      </c>
      <c r="I21" s="66">
        <f>SUMIFS(Sales_Value__in_INR_Lakhs,Channel,$H21)</f>
        <v>185.38811469999993</v>
      </c>
      <c r="J21" s="74">
        <f>SUMIFS(Qty,Channel,$H21)/1000</f>
        <v>149.43899999999999</v>
      </c>
      <c r="K21" s="8">
        <f>COUNTIFS(Feeder!$M:$M,Analsis!$H21)</f>
        <v>14</v>
      </c>
      <c r="L21" s="69">
        <f>I21/$I$22</f>
        <v>0.21125961982552038</v>
      </c>
      <c r="W21" s="8" t="s">
        <v>193</v>
      </c>
      <c r="X21" s="8" t="str">
        <f>VLOOKUP($W21,'Raw data'!$D:$E,2,FALSE)</f>
        <v>Gourmet Nutrition</v>
      </c>
      <c r="Y21" s="66">
        <f>SUMIFS('Raw data'!$G:$G,'Raw data'!$D:$D,Analsis!$W21)</f>
        <v>17.420253600000002</v>
      </c>
      <c r="Z21" s="74">
        <f>SUMIFS('Raw data'!$F:$F,'Raw data'!$D:$D,Analsis!$W21)/1000</f>
        <v>28.914999999999999</v>
      </c>
      <c r="AA21" s="69">
        <f t="shared" si="0"/>
        <v>1.9851305779529316E-2</v>
      </c>
    </row>
    <row r="22" spans="8:27" x14ac:dyDescent="0.25">
      <c r="H22" s="76" t="s">
        <v>1</v>
      </c>
      <c r="I22" s="77">
        <f>SUM(I19:I21)</f>
        <v>877.53691336334055</v>
      </c>
      <c r="J22" s="78">
        <f>SUM(J19:J21)</f>
        <v>309.78099999999995</v>
      </c>
      <c r="K22" s="79">
        <f>SUM(K19:K21)</f>
        <v>50</v>
      </c>
      <c r="L22" s="80">
        <f>SUM(L19:L21)</f>
        <v>1</v>
      </c>
      <c r="P22" s="81" t="s">
        <v>341</v>
      </c>
      <c r="W22" s="8" t="s">
        <v>184</v>
      </c>
      <c r="X22" s="8" t="str">
        <f>VLOOKUP($W22,'Raw data'!$D:$E,2,FALSE)</f>
        <v>Gourmet Nutrition</v>
      </c>
      <c r="Y22" s="66">
        <f>SUMIFS('Raw data'!$G:$G,'Raw data'!$D:$D,Analsis!$W22)</f>
        <v>29.332797299999996</v>
      </c>
      <c r="Z22" s="74">
        <f>SUMIFS('Raw data'!$F:$F,'Raw data'!$D:$D,Analsis!$W22)/1000</f>
        <v>40.207000000000001</v>
      </c>
      <c r="AA22" s="69">
        <f t="shared" si="0"/>
        <v>3.3426283103665709E-2</v>
      </c>
    </row>
    <row r="23" spans="8:27" x14ac:dyDescent="0.25">
      <c r="W23" s="8" t="s">
        <v>74</v>
      </c>
      <c r="X23" s="8" t="str">
        <f>VLOOKUP($W23,'Raw data'!$D:$E,2,FALSE)</f>
        <v>Functional nutrition</v>
      </c>
      <c r="Y23" s="66">
        <f>SUMIFS('Raw data'!$G:$G,'Raw data'!$D:$D,Analsis!$W23)</f>
        <v>45.153920822419984</v>
      </c>
      <c r="Z23" s="74">
        <f>SUMIFS('Raw data'!$F:$F,'Raw data'!$D:$D,Analsis!$W23)/1000</f>
        <v>23.501000000000001</v>
      </c>
      <c r="AA23" s="69">
        <f t="shared" si="0"/>
        <v>5.1455295081956488E-2</v>
      </c>
    </row>
    <row r="24" spans="8:27" x14ac:dyDescent="0.25">
      <c r="H24" s="81" t="s">
        <v>343</v>
      </c>
      <c r="P24" s="64" t="s">
        <v>6</v>
      </c>
      <c r="Q24" s="64" t="s">
        <v>320</v>
      </c>
      <c r="R24" s="64" t="s">
        <v>8</v>
      </c>
      <c r="S24" s="64" t="s">
        <v>321</v>
      </c>
      <c r="T24" s="64" t="s">
        <v>323</v>
      </c>
      <c r="W24" s="8" t="s">
        <v>194</v>
      </c>
      <c r="X24" s="8" t="str">
        <f>VLOOKUP($W24,'Raw data'!$D:$E,2,FALSE)</f>
        <v>Gourmet Nutrition</v>
      </c>
      <c r="Y24" s="66">
        <f>SUMIFS('Raw data'!$G:$G,'Raw data'!$D:$D,Analsis!$W24)</f>
        <v>17.176630499999998</v>
      </c>
      <c r="Z24" s="74">
        <f>SUMIFS('Raw data'!$F:$F,'Raw data'!$D:$D,Analsis!$W24)/1000</f>
        <v>11.544</v>
      </c>
      <c r="AA24" s="69">
        <f t="shared" si="0"/>
        <v>1.9573684295703331E-2</v>
      </c>
    </row>
    <row r="25" spans="8:27" x14ac:dyDescent="0.25">
      <c r="P25" s="8" t="s">
        <v>11</v>
      </c>
      <c r="Q25" s="66">
        <f>SUMIFS('Raw data'!$G:$G,'Raw data'!$E:$E,Analsis!$P25)</f>
        <v>563.06389734903985</v>
      </c>
      <c r="R25" s="74">
        <f>SUMIFS('Raw data'!$F:$F,'Raw data'!$E:$E,Analsis!$P25)/1000</f>
        <v>178.148</v>
      </c>
      <c r="S25" s="8">
        <f>COUNTIFS(Feeder!$V:$V,Analsis!$P25)</f>
        <v>15</v>
      </c>
      <c r="T25" s="69">
        <f>Q25/$Q$28</f>
        <v>0.6416412674778339</v>
      </c>
      <c r="W25" s="8" t="s">
        <v>106</v>
      </c>
      <c r="X25" s="8" t="str">
        <f>VLOOKUP($W25,'Raw data'!$D:$E,2,FALSE)</f>
        <v>Juices</v>
      </c>
      <c r="Y25" s="66">
        <f>SUMIFS('Raw data'!$G:$G,'Raw data'!$D:$D,Analsis!$W25)</f>
        <v>28.310312199999991</v>
      </c>
      <c r="Z25" s="74">
        <f>SUMIFS('Raw data'!$F:$F,'Raw data'!$D:$D,Analsis!$W25)/1000</f>
        <v>13.023</v>
      </c>
      <c r="AA25" s="69">
        <f t="shared" si="0"/>
        <v>3.2261106933376617E-2</v>
      </c>
    </row>
    <row r="26" spans="8:27" x14ac:dyDescent="0.25">
      <c r="H26" s="64" t="s">
        <v>343</v>
      </c>
      <c r="I26" s="64" t="s">
        <v>9</v>
      </c>
      <c r="J26" s="64" t="s">
        <v>23</v>
      </c>
      <c r="K26" s="64" t="s">
        <v>24</v>
      </c>
      <c r="P26" s="8" t="s">
        <v>13</v>
      </c>
      <c r="Q26" s="66">
        <f>SUMIFS('Raw data'!$G:$G,'Raw data'!$E:$E,Analsis!$P26)</f>
        <v>98.365157699999983</v>
      </c>
      <c r="R26" s="74">
        <f>SUMIFS('Raw data'!$F:$F,'Raw data'!$E:$E,Analsis!$P26)/1000</f>
        <v>89.278999999999996</v>
      </c>
      <c r="S26" s="8">
        <f>COUNTIFS(Feeder!$V:$V,Analsis!$P26)</f>
        <v>6</v>
      </c>
      <c r="T26" s="69">
        <f>Q26/$Q$28</f>
        <v>0.11209233047872062</v>
      </c>
      <c r="W26" s="8" t="s">
        <v>195</v>
      </c>
      <c r="X26" s="8" t="str">
        <f>VLOOKUP($W26,'Raw data'!$D:$E,2,FALSE)</f>
        <v>Functional nutrition</v>
      </c>
      <c r="Y26" s="66">
        <f>SUMIFS('Raw data'!$G:$G,'Raw data'!$D:$D,Analsis!$W26)</f>
        <v>2.7504664999999999</v>
      </c>
      <c r="Z26" s="74">
        <f>SUMIFS('Raw data'!$F:$F,'Raw data'!$D:$D,Analsis!$W26)/1000</f>
        <v>1.56</v>
      </c>
      <c r="AA26" s="69">
        <f t="shared" si="0"/>
        <v>3.1343029086471942E-3</v>
      </c>
    </row>
    <row r="27" spans="8:27" x14ac:dyDescent="0.25">
      <c r="H27" s="65">
        <v>44166</v>
      </c>
      <c r="I27" s="66">
        <f>SUMIFS('Raw data'!$G:$G,'Raw data'!$A:$A,Analsis!$H27,'Raw data'!$B:$B,Analsis!I$26)</f>
        <v>81.9232303</v>
      </c>
      <c r="J27" s="66">
        <f>SUMIFS('Raw data'!$G:$G,'Raw data'!$A:$A,Analsis!$H27,'Raw data'!$B:$B,Analsis!J$26)</f>
        <v>44.495099999999994</v>
      </c>
      <c r="K27" s="66">
        <f>SUMIFS('Raw data'!$G:$G,'Raw data'!$A:$A,Analsis!$H27,'Raw data'!$B:$B,Analsis!K$26)</f>
        <v>70.970100999999971</v>
      </c>
      <c r="P27" s="8" t="s">
        <v>15</v>
      </c>
      <c r="Q27" s="66">
        <f>SUMIFS('Raw data'!$G:$G,'Raw data'!$E:$E,Analsis!$P27)</f>
        <v>216.10785831430067</v>
      </c>
      <c r="R27" s="74">
        <f>SUMIFS('Raw data'!$F:$F,'Raw data'!$E:$E,Analsis!$P27)/1000</f>
        <v>42.353999999999999</v>
      </c>
      <c r="S27" s="8">
        <f>COUNTIFS(Feeder!$V:$V,Analsis!$P27)</f>
        <v>9</v>
      </c>
      <c r="T27" s="69">
        <f>Q27/$Q$28</f>
        <v>0.24626640204344558</v>
      </c>
      <c r="W27" s="8" t="s">
        <v>196</v>
      </c>
      <c r="X27" s="8" t="str">
        <f>VLOOKUP($W27,'Raw data'!$D:$E,2,FALSE)</f>
        <v>Functional nutrition</v>
      </c>
      <c r="Y27" s="66">
        <f>SUMIFS('Raw data'!$G:$G,'Raw data'!$D:$D,Analsis!$W27)</f>
        <v>2.7081564</v>
      </c>
      <c r="Z27" s="74">
        <f>SUMIFS('Raw data'!$F:$F,'Raw data'!$D:$D,Analsis!$W27)/1000</f>
        <v>1.536</v>
      </c>
      <c r="AA27" s="69">
        <f t="shared" si="0"/>
        <v>3.0860882986909728E-3</v>
      </c>
    </row>
    <row r="28" spans="8:27" x14ac:dyDescent="0.25">
      <c r="H28" s="65">
        <v>44197</v>
      </c>
      <c r="I28" s="66">
        <f>SUMIFS('Raw data'!$G:$G,'Raw data'!$A:$A,Analsis!$H28,'Raw data'!$B:$B,Analsis!I$26)</f>
        <v>124.75709629999999</v>
      </c>
      <c r="J28" s="66">
        <f>SUMIFS('Raw data'!$G:$G,'Raw data'!$A:$A,Analsis!$H28,'Raw data'!$B:$B,Analsis!J$26)</f>
        <v>56.042450000000002</v>
      </c>
      <c r="K28" s="66">
        <f>SUMIFS('Raw data'!$G:$G,'Raw data'!$A:$A,Analsis!$H28,'Raw data'!$B:$B,Analsis!K$26)</f>
        <v>33.146948099999996</v>
      </c>
      <c r="P28" s="64" t="s">
        <v>1</v>
      </c>
      <c r="Q28" s="71">
        <f>SUM(Q25:Q27)</f>
        <v>877.53691336334043</v>
      </c>
      <c r="R28" s="84">
        <f>SUM(R25:R27)</f>
        <v>309.78100000000001</v>
      </c>
      <c r="S28" s="64">
        <f>SUM(S25:S27)</f>
        <v>30</v>
      </c>
      <c r="T28" s="85">
        <f>SUM(T25:T27)</f>
        <v>1</v>
      </c>
      <c r="W28" s="8" t="s">
        <v>65</v>
      </c>
      <c r="X28" s="8" t="str">
        <f>VLOOKUP($W28,'Raw data'!$D:$E,2,FALSE)</f>
        <v>Juices</v>
      </c>
      <c r="Y28" s="66">
        <f>SUMIFS('Raw data'!$G:$G,'Raw data'!$D:$D,Analsis!$W28)</f>
        <v>2.1702926000000002</v>
      </c>
      <c r="Z28" s="74">
        <f>SUMIFS('Raw data'!$F:$F,'Raw data'!$D:$D,Analsis!$W28)/1000</f>
        <v>0.502</v>
      </c>
      <c r="AA28" s="69">
        <f t="shared" si="0"/>
        <v>2.4731638828524118E-3</v>
      </c>
    </row>
    <row r="29" spans="8:27" x14ac:dyDescent="0.25">
      <c r="H29" s="65">
        <v>44228</v>
      </c>
      <c r="I29" s="66">
        <f>SUMIFS('Raw data'!$G:$G,'Raw data'!$A:$A,Analsis!$H29,'Raw data'!$B:$B,Analsis!I$26)</f>
        <v>93.047032800000011</v>
      </c>
      <c r="J29" s="66">
        <f>SUMIFS('Raw data'!$G:$G,'Raw data'!$A:$A,Analsis!$H29,'Raw data'!$B:$B,Analsis!J$26)</f>
        <v>78.266071363340615</v>
      </c>
      <c r="K29" s="66">
        <f>SUMIFS('Raw data'!$G:$G,'Raw data'!$A:$A,Analsis!$H29,'Raw data'!$B:$B,Analsis!K$26)</f>
        <v>43.610582799999996</v>
      </c>
      <c r="W29" s="8" t="s">
        <v>89</v>
      </c>
      <c r="X29" s="8" t="str">
        <f>VLOOKUP($W29,'Raw data'!$D:$E,2,FALSE)</f>
        <v>Juices</v>
      </c>
      <c r="Y29" s="66">
        <f>SUMIFS('Raw data'!$G:$G,'Raw data'!$D:$D,Analsis!$W29)</f>
        <v>15.190807999999993</v>
      </c>
      <c r="Z29" s="74">
        <f>SUMIFS('Raw data'!$F:$F,'Raw data'!$D:$D,Analsis!$W29)/1000</f>
        <v>4.1189999999999998</v>
      </c>
      <c r="AA29" s="69">
        <f t="shared" si="0"/>
        <v>1.7310733906085039E-2</v>
      </c>
    </row>
    <row r="30" spans="8:27" x14ac:dyDescent="0.25">
      <c r="H30" s="65">
        <v>44256</v>
      </c>
      <c r="I30" s="66">
        <f>SUMIFS('Raw data'!$G:$G,'Raw data'!$A:$A,Analsis!$H30,'Raw data'!$B:$B,Analsis!I$26)</f>
        <v>111.94605789999991</v>
      </c>
      <c r="J30" s="66">
        <f>SUMIFS('Raw data'!$G:$G,'Raw data'!$A:$A,Analsis!$H30,'Raw data'!$B:$B,Analsis!J$26)</f>
        <v>101.67175999999999</v>
      </c>
      <c r="K30" s="66">
        <f>SUMIFS('Raw data'!$G:$G,'Raw data'!$A:$A,Analsis!$H30,'Raw data'!$B:$B,Analsis!K$26)</f>
        <v>37.660482799999997</v>
      </c>
      <c r="W30" s="8" t="s">
        <v>103</v>
      </c>
      <c r="X30" s="8" t="str">
        <f>VLOOKUP($W30,'Raw data'!$D:$E,2,FALSE)</f>
        <v>Juices</v>
      </c>
      <c r="Y30" s="66">
        <f>SUMIFS('Raw data'!$G:$G,'Raw data'!$D:$D,Analsis!$W30)</f>
        <v>9.061674</v>
      </c>
      <c r="Z30" s="74">
        <f>SUMIFS('Raw data'!$F:$F,'Raw data'!$D:$D,Analsis!$W30)/1000</f>
        <v>2.3010000000000002</v>
      </c>
      <c r="AA30" s="69">
        <f t="shared" si="0"/>
        <v>1.0326259627380539E-2</v>
      </c>
    </row>
    <row r="31" spans="8:27" x14ac:dyDescent="0.25">
      <c r="H31" s="64" t="s">
        <v>1</v>
      </c>
      <c r="I31" s="71">
        <f>SUM(I27:I30)</f>
        <v>411.67341729999993</v>
      </c>
      <c r="J31" s="71">
        <f>SUM(J27:J30)</f>
        <v>280.4753813633406</v>
      </c>
      <c r="K31" s="71">
        <f>SUM(K27:K30)</f>
        <v>185.38811469999996</v>
      </c>
      <c r="W31" s="8" t="s">
        <v>197</v>
      </c>
      <c r="X31" s="8" t="str">
        <f>VLOOKUP($W31,'Raw data'!$D:$E,2,FALSE)</f>
        <v>Functional nutrition</v>
      </c>
      <c r="Y31" s="66">
        <f>SUMIFS('Raw data'!$G:$G,'Raw data'!$D:$D,Analsis!$W31)</f>
        <v>5.1033753204399996</v>
      </c>
      <c r="Z31" s="74">
        <f>SUMIFS('Raw data'!$F:$F,'Raw data'!$D:$D,Analsis!$W31)/1000</f>
        <v>3.9649999999999999</v>
      </c>
      <c r="AA31" s="69">
        <f t="shared" si="0"/>
        <v>5.8155676903439467E-3</v>
      </c>
    </row>
    <row r="32" spans="8:27" x14ac:dyDescent="0.25">
      <c r="W32" s="8" t="s">
        <v>132</v>
      </c>
      <c r="X32" s="8" t="str">
        <f>VLOOKUP($W32,'Raw data'!$D:$E,2,FALSE)</f>
        <v>Gourmet Nutrition</v>
      </c>
      <c r="Y32" s="66">
        <f>SUMIFS('Raw data'!$G:$G,'Raw data'!$D:$D,Analsis!$W32)</f>
        <v>10.5397126</v>
      </c>
      <c r="Z32" s="74">
        <f>SUMIFS('Raw data'!$F:$F,'Raw data'!$D:$D,Analsis!$W32)/1000</f>
        <v>2.9590000000000001</v>
      </c>
      <c r="AA32" s="69">
        <f t="shared" si="0"/>
        <v>1.2010563247538365E-2</v>
      </c>
    </row>
    <row r="33" spans="1:27" x14ac:dyDescent="0.25">
      <c r="P33" s="64" t="s">
        <v>35</v>
      </c>
      <c r="Q33" s="64" t="s">
        <v>11</v>
      </c>
      <c r="R33" s="64" t="s">
        <v>13</v>
      </c>
      <c r="S33" s="64" t="s">
        <v>15</v>
      </c>
      <c r="W33" s="8" t="s">
        <v>167</v>
      </c>
      <c r="X33" s="8" t="str">
        <f>VLOOKUP($W33,'Raw data'!$D:$E,2,FALSE)</f>
        <v>Functional nutrition</v>
      </c>
      <c r="Y33" s="66">
        <f>SUMIFS('Raw data'!$G:$G,'Raw data'!$D:$D,Analsis!$W33)</f>
        <v>8.5182164</v>
      </c>
      <c r="Z33" s="74">
        <f>SUMIFS('Raw data'!$F:$F,'Raw data'!$D:$D,Analsis!$W33)/1000</f>
        <v>0.55100000000000005</v>
      </c>
      <c r="AA33" s="69">
        <f t="shared" si="0"/>
        <v>9.7069607788374205E-3</v>
      </c>
    </row>
    <row r="34" spans="1:27" x14ac:dyDescent="0.25">
      <c r="H34" s="64" t="s">
        <v>344</v>
      </c>
      <c r="I34" s="64" t="s">
        <v>9</v>
      </c>
      <c r="J34" s="64" t="s">
        <v>23</v>
      </c>
      <c r="K34" s="64" t="s">
        <v>24</v>
      </c>
      <c r="P34" s="8" t="s">
        <v>16</v>
      </c>
      <c r="Q34" s="74">
        <f t="shared" ref="Q34:S44" si="3">SUMIFS(Sales_Value__in_INR_Lakhs,Sub_Channels,$P34,Category,Q$33)</f>
        <v>287.71155749999997</v>
      </c>
      <c r="R34" s="74">
        <f t="shared" si="3"/>
        <v>22.364497500000002</v>
      </c>
      <c r="S34" s="74">
        <f t="shared" si="3"/>
        <v>45.991982099999994</v>
      </c>
      <c r="W34" s="8" t="s">
        <v>94</v>
      </c>
      <c r="X34" s="8" t="str">
        <f>VLOOKUP($W34,'Raw data'!$D:$E,2,FALSE)</f>
        <v>Functional nutrition</v>
      </c>
      <c r="Y34" s="66">
        <f>SUMIFS('Raw data'!$G:$G,'Raw data'!$D:$D,Analsis!$W34)</f>
        <v>3.3557999999999999</v>
      </c>
      <c r="Z34" s="74">
        <f>SUMIFS('Raw data'!$F:$F,'Raw data'!$D:$D,Analsis!$W34)/1000</f>
        <v>0.71499999999999997</v>
      </c>
      <c r="AA34" s="69">
        <f t="shared" si="0"/>
        <v>3.8241126371974551E-3</v>
      </c>
    </row>
    <row r="35" spans="1:27" x14ac:dyDescent="0.25">
      <c r="H35" s="65">
        <v>44166</v>
      </c>
      <c r="I35" s="74">
        <f>SUMIFS('Raw data'!$F:$F,'Raw data'!$A:$A,Analsis!$H35,'Raw data'!$B:$B,Analsis!I$34)/1000</f>
        <v>21.221</v>
      </c>
      <c r="J35" s="74">
        <f>SUMIFS('Raw data'!$F:$F,'Raw data'!$A:$A,Analsis!$H35,'Raw data'!$B:$B,Analsis!J$34)/1000</f>
        <v>6.548</v>
      </c>
      <c r="K35" s="74">
        <f>SUMIFS('Raw data'!$F:$F,'Raw data'!$A:$A,Analsis!$H35,'Raw data'!$B:$B,Analsis!K$34)/1000</f>
        <v>57.658000000000001</v>
      </c>
      <c r="P35" s="8" t="s">
        <v>20</v>
      </c>
      <c r="Q35" s="74">
        <f t="shared" si="3"/>
        <v>9.1377106000000001</v>
      </c>
      <c r="R35" s="74">
        <f t="shared" si="3"/>
        <v>2.9375195999999999</v>
      </c>
      <c r="S35" s="74">
        <f t="shared" si="3"/>
        <v>0</v>
      </c>
      <c r="W35" s="8" t="s">
        <v>198</v>
      </c>
      <c r="X35" s="8" t="str">
        <f>VLOOKUP($W35,'Raw data'!$D:$E,2,FALSE)</f>
        <v>Gourmet Nutrition</v>
      </c>
      <c r="Y35" s="66">
        <f>SUMIFS('Raw data'!$G:$G,'Raw data'!$D:$D,Analsis!$W35)</f>
        <v>5.8259999999999996</v>
      </c>
      <c r="Z35" s="74">
        <f>SUMIFS('Raw data'!$F:$F,'Raw data'!$D:$D,Analsis!$W35)/1000</f>
        <v>0.97099999999999997</v>
      </c>
      <c r="AA35" s="69">
        <f t="shared" si="0"/>
        <v>6.6390369581954744E-3</v>
      </c>
    </row>
    <row r="36" spans="1:27" x14ac:dyDescent="0.25">
      <c r="H36" s="65">
        <v>44197</v>
      </c>
      <c r="I36" s="74">
        <f>SUMIFS('Raw data'!$F:$F,'Raw data'!$A:$A,Analsis!$H36,'Raw data'!$B:$B,Analsis!I$34)/1000</f>
        <v>32.625</v>
      </c>
      <c r="J36" s="74">
        <f>SUMIFS('Raw data'!$F:$F,'Raw data'!$A:$A,Analsis!$H36,'Raw data'!$B:$B,Analsis!J$34)/1000</f>
        <v>7.98</v>
      </c>
      <c r="K36" s="74">
        <f>SUMIFS('Raw data'!$F:$F,'Raw data'!$A:$A,Analsis!$H36,'Raw data'!$B:$B,Analsis!K$34)/1000</f>
        <v>27.126999999999999</v>
      </c>
      <c r="P36" s="8" t="s">
        <v>21</v>
      </c>
      <c r="Q36" s="74">
        <f t="shared" si="3"/>
        <v>37.704149999999998</v>
      </c>
      <c r="R36" s="74">
        <f t="shared" si="3"/>
        <v>0</v>
      </c>
      <c r="S36" s="74">
        <f t="shared" si="3"/>
        <v>0</v>
      </c>
      <c r="W36" s="64" t="s">
        <v>1</v>
      </c>
      <c r="X36" s="64"/>
      <c r="Y36" s="71">
        <f>SUM(Y6:Y35)</f>
        <v>877.53691336334077</v>
      </c>
      <c r="Z36" s="84">
        <f>SUM(Z6:Z35)</f>
        <v>309.78100000000001</v>
      </c>
      <c r="AA36" s="85">
        <f>SUM(AA6:AA35)</f>
        <v>0.99999999999999989</v>
      </c>
    </row>
    <row r="37" spans="1:27" x14ac:dyDescent="0.25">
      <c r="H37" s="65">
        <v>44228</v>
      </c>
      <c r="I37" s="74">
        <f>SUMIFS('Raw data'!$F:$F,'Raw data'!$A:$A,Analsis!$H37,'Raw data'!$B:$B,Analsis!I$34)/1000</f>
        <v>29.425000000000001</v>
      </c>
      <c r="J37" s="74">
        <f>SUMIFS('Raw data'!$F:$F,'Raw data'!$A:$A,Analsis!$H37,'Raw data'!$B:$B,Analsis!J$34)/1000</f>
        <v>12.695</v>
      </c>
      <c r="K37" s="74">
        <f>SUMIFS('Raw data'!$F:$F,'Raw data'!$A:$A,Analsis!$H37,'Raw data'!$B:$B,Analsis!K$34)/1000</f>
        <v>34.273000000000003</v>
      </c>
      <c r="P37" s="8" t="s">
        <v>23</v>
      </c>
      <c r="Q37" s="74">
        <f t="shared" si="3"/>
        <v>147.78570834903996</v>
      </c>
      <c r="R37" s="74">
        <f t="shared" si="3"/>
        <v>2.637</v>
      </c>
      <c r="S37" s="74">
        <f t="shared" si="3"/>
        <v>130.05267301430064</v>
      </c>
    </row>
    <row r="38" spans="1:27" x14ac:dyDescent="0.25">
      <c r="H38" s="65">
        <v>44256</v>
      </c>
      <c r="I38" s="74">
        <f>SUMIFS('Raw data'!$F:$F,'Raw data'!$A:$A,Analsis!$H38,'Raw data'!$B:$B,Analsis!I$34)/1000</f>
        <v>34.290999999999997</v>
      </c>
      <c r="J38" s="74">
        <f>SUMIFS('Raw data'!$F:$F,'Raw data'!$A:$A,Analsis!$H38,'Raw data'!$B:$B,Analsis!J$34)/1000</f>
        <v>15.557</v>
      </c>
      <c r="K38" s="74">
        <f>SUMIFS('Raw data'!$F:$F,'Raw data'!$A:$A,Analsis!$H38,'Raw data'!$B:$B,Analsis!K$34)/1000</f>
        <v>30.381</v>
      </c>
      <c r="P38" s="8" t="s">
        <v>25</v>
      </c>
      <c r="Q38" s="74">
        <f t="shared" si="3"/>
        <v>0</v>
      </c>
      <c r="R38" s="74">
        <f t="shared" si="3"/>
        <v>3.7533266000000003</v>
      </c>
      <c r="S38" s="74">
        <f t="shared" si="3"/>
        <v>0</v>
      </c>
      <c r="W38" s="81" t="s">
        <v>345</v>
      </c>
    </row>
    <row r="39" spans="1:27" x14ac:dyDescent="0.25">
      <c r="H39" s="64" t="s">
        <v>1</v>
      </c>
      <c r="I39" s="84">
        <f>SUM(I35:I38)</f>
        <v>117.562</v>
      </c>
      <c r="J39" s="84">
        <f>SUM(J35:J38)</f>
        <v>42.78</v>
      </c>
      <c r="K39" s="84">
        <f>SUM(K35:K38)</f>
        <v>149.43899999999999</v>
      </c>
      <c r="P39" s="8" t="s">
        <v>26</v>
      </c>
      <c r="Q39" s="74">
        <f t="shared" si="3"/>
        <v>0</v>
      </c>
      <c r="R39" s="74">
        <f t="shared" si="3"/>
        <v>5.0085554000000005</v>
      </c>
      <c r="S39" s="74">
        <f t="shared" si="3"/>
        <v>3.1029024000000005</v>
      </c>
    </row>
    <row r="40" spans="1:27" x14ac:dyDescent="0.25">
      <c r="B40" s="82" t="s">
        <v>376</v>
      </c>
      <c r="C40" s="43"/>
      <c r="P40" s="8" t="s">
        <v>27</v>
      </c>
      <c r="Q40" s="74">
        <f t="shared" si="3"/>
        <v>49.1101077</v>
      </c>
      <c r="R40" s="74">
        <f t="shared" si="3"/>
        <v>5.0908805999999993</v>
      </c>
      <c r="S40" s="74">
        <f t="shared" si="3"/>
        <v>8.3784750999999993</v>
      </c>
      <c r="W40" s="64" t="s">
        <v>4</v>
      </c>
      <c r="X40" s="89">
        <v>44166</v>
      </c>
      <c r="Y40" s="89">
        <v>44197</v>
      </c>
      <c r="Z40" s="89">
        <v>44228</v>
      </c>
      <c r="AA40" s="89">
        <v>44256</v>
      </c>
    </row>
    <row r="41" spans="1:27" x14ac:dyDescent="0.25">
      <c r="A41" s="82" t="s">
        <v>351</v>
      </c>
      <c r="B41" s="43" t="s">
        <v>352</v>
      </c>
      <c r="C41" s="43"/>
      <c r="P41" s="8" t="s">
        <v>28</v>
      </c>
      <c r="Q41" s="74">
        <f t="shared" si="3"/>
        <v>1.8507820999999998</v>
      </c>
      <c r="R41" s="74">
        <f t="shared" si="3"/>
        <v>5.9033930000000003</v>
      </c>
      <c r="S41" s="74">
        <f t="shared" si="3"/>
        <v>4.3114603999999996</v>
      </c>
      <c r="W41" s="8" t="s">
        <v>52</v>
      </c>
      <c r="X41" s="74">
        <f>SUMIFS(Qty,Product_Name,Analsis!$W41,Month,Analsis!X$40)/1000</f>
        <v>1.1160000000000001</v>
      </c>
      <c r="Y41" s="74">
        <f>SUMIFS(Qty,Product_Name,Analsis!$W41,Month,Analsis!Y$40)/1000</f>
        <v>1.224</v>
      </c>
      <c r="Z41" s="74">
        <f>SUMIFS(Qty,Product_Name,Analsis!$W41,Month,Analsis!Z$40)/1000</f>
        <v>1.0489999999999999</v>
      </c>
      <c r="AA41" s="74">
        <f>SUMIFS(Qty,Product_Name,Analsis!$W41,Month,Analsis!AA$40)/1000</f>
        <v>1.6739999999999999</v>
      </c>
    </row>
    <row r="42" spans="1:27" x14ac:dyDescent="0.25">
      <c r="B42" s="43" t="s">
        <v>353</v>
      </c>
      <c r="C42" s="43" t="s">
        <v>358</v>
      </c>
      <c r="P42" s="8" t="s">
        <v>29</v>
      </c>
      <c r="Q42" s="74">
        <f t="shared" si="3"/>
        <v>7.8792106999999998</v>
      </c>
      <c r="R42" s="74">
        <f t="shared" si="3"/>
        <v>16.1708964</v>
      </c>
      <c r="S42" s="74">
        <f t="shared" si="3"/>
        <v>10.413858699999999</v>
      </c>
      <c r="W42" s="8" t="s">
        <v>53</v>
      </c>
      <c r="X42" s="74">
        <f>SUMIFS(Qty,Product_Name,Analsis!$W42,Month,Analsis!X$40)/1000</f>
        <v>7.3659999999999997</v>
      </c>
      <c r="Y42" s="74">
        <f>SUMIFS(Qty,Product_Name,Analsis!$W42,Month,Analsis!Y$40)/1000</f>
        <v>5.8010000000000002</v>
      </c>
      <c r="Z42" s="74">
        <f>SUMIFS(Qty,Product_Name,Analsis!$W42,Month,Analsis!Z$40)/1000</f>
        <v>5.3940000000000001</v>
      </c>
      <c r="AA42" s="74">
        <f>SUMIFS(Qty,Product_Name,Analsis!$W42,Month,Analsis!AA$40)/1000</f>
        <v>5.024</v>
      </c>
    </row>
    <row r="43" spans="1:27" x14ac:dyDescent="0.25">
      <c r="B43" s="43" t="s">
        <v>354</v>
      </c>
      <c r="C43" s="43"/>
      <c r="P43" s="8" t="s">
        <v>30</v>
      </c>
      <c r="Q43" s="74">
        <f t="shared" si="3"/>
        <v>21.884670399999997</v>
      </c>
      <c r="R43" s="74">
        <f t="shared" si="3"/>
        <v>28.673088599999996</v>
      </c>
      <c r="S43" s="74">
        <f t="shared" si="3"/>
        <v>13.856506599999999</v>
      </c>
      <c r="W43" s="8" t="s">
        <v>60</v>
      </c>
      <c r="X43" s="74">
        <f>SUMIFS(Qty,Product_Name,Analsis!$W43,Month,Analsis!X$40)/1000</f>
        <v>7.9660000000000002</v>
      </c>
      <c r="Y43" s="74">
        <f>SUMIFS(Qty,Product_Name,Analsis!$W43,Month,Analsis!Y$40)/1000</f>
        <v>6.46</v>
      </c>
      <c r="Z43" s="74">
        <f>SUMIFS(Qty,Product_Name,Analsis!$W43,Month,Analsis!Z$40)/1000</f>
        <v>6.867</v>
      </c>
      <c r="AA43" s="74">
        <f>SUMIFS(Qty,Product_Name,Analsis!$W43,Month,Analsis!AA$40)/1000</f>
        <v>7.4950000000000001</v>
      </c>
    </row>
    <row r="44" spans="1:27" x14ac:dyDescent="0.25">
      <c r="B44" s="43" t="s">
        <v>355</v>
      </c>
      <c r="C44" s="43" t="s">
        <v>356</v>
      </c>
      <c r="P44" s="8" t="s">
        <v>22</v>
      </c>
      <c r="Q44" s="74">
        <f t="shared" si="3"/>
        <v>0</v>
      </c>
      <c r="R44" s="74">
        <f t="shared" si="3"/>
        <v>5.8259999999999996</v>
      </c>
      <c r="S44" s="74">
        <f t="shared" si="3"/>
        <v>0</v>
      </c>
      <c r="W44" s="8" t="s">
        <v>64</v>
      </c>
      <c r="X44" s="74">
        <f>SUMIFS(Qty,Product_Name,Analsis!$W44,Month,Analsis!X$40)/1000</f>
        <v>1.6160000000000001</v>
      </c>
      <c r="Y44" s="74">
        <f>SUMIFS(Qty,Product_Name,Analsis!$W44,Month,Analsis!Y$40)/1000</f>
        <v>0.73799999999999999</v>
      </c>
      <c r="Z44" s="74">
        <f>SUMIFS(Qty,Product_Name,Analsis!$W44,Month,Analsis!Z$40)/1000</f>
        <v>0.82899999999999996</v>
      </c>
      <c r="AA44" s="74">
        <f>SUMIFS(Qty,Product_Name,Analsis!$W44,Month,Analsis!AA$40)/1000</f>
        <v>1.5</v>
      </c>
    </row>
    <row r="45" spans="1:27" x14ac:dyDescent="0.25">
      <c r="B45" s="43" t="s">
        <v>357</v>
      </c>
      <c r="C45" s="43"/>
      <c r="P45" s="64" t="s">
        <v>1</v>
      </c>
      <c r="Q45" s="84">
        <f>SUM(Q34:Q44)</f>
        <v>563.06389734903985</v>
      </c>
      <c r="R45" s="84">
        <f>SUM(R34:R44)</f>
        <v>98.365157699999997</v>
      </c>
      <c r="S45" s="84">
        <f>SUM(S34:S44)</f>
        <v>216.10785831430061</v>
      </c>
      <c r="W45" s="8" t="s">
        <v>124</v>
      </c>
      <c r="X45" s="74">
        <f>SUMIFS(Qty,Product_Name,Analsis!$W45,Month,Analsis!X$40)/1000</f>
        <v>0.55500000000000005</v>
      </c>
      <c r="Y45" s="74">
        <f>SUMIFS(Qty,Product_Name,Analsis!$W45,Month,Analsis!Y$40)/1000</f>
        <v>0.71299999999999997</v>
      </c>
      <c r="Z45" s="74">
        <f>SUMIFS(Qty,Product_Name,Analsis!$W45,Month,Analsis!Z$40)/1000</f>
        <v>0.68500000000000005</v>
      </c>
      <c r="AA45" s="74">
        <f>SUMIFS(Qty,Product_Name,Analsis!$W45,Month,Analsis!AA$40)/1000</f>
        <v>0.74399999999999999</v>
      </c>
    </row>
    <row r="46" spans="1:27" x14ac:dyDescent="0.25">
      <c r="B46" s="43"/>
      <c r="C46" s="43"/>
      <c r="W46" s="8" t="s">
        <v>126</v>
      </c>
      <c r="X46" s="74">
        <f>SUMIFS(Qty,Product_Name,Analsis!$W46,Month,Analsis!X$40)/1000</f>
        <v>0.874</v>
      </c>
      <c r="Y46" s="74">
        <f>SUMIFS(Qty,Product_Name,Analsis!$W46,Month,Analsis!Y$40)/1000</f>
        <v>1.7330000000000001</v>
      </c>
      <c r="Z46" s="74">
        <f>SUMIFS(Qty,Product_Name,Analsis!$W46,Month,Analsis!Z$40)/1000</f>
        <v>3.3450000000000002</v>
      </c>
      <c r="AA46" s="74">
        <f>SUMIFS(Qty,Product_Name,Analsis!$W46,Month,Analsis!AA$40)/1000</f>
        <v>2.984</v>
      </c>
    </row>
    <row r="47" spans="1:27" x14ac:dyDescent="0.25">
      <c r="A47" s="82" t="s">
        <v>359</v>
      </c>
      <c r="B47" s="43" t="s">
        <v>360</v>
      </c>
      <c r="C47" s="43" t="s">
        <v>361</v>
      </c>
      <c r="W47" s="8" t="s">
        <v>149</v>
      </c>
      <c r="X47" s="74">
        <f>SUMIFS(Qty,Product_Name,Analsis!$W47,Month,Analsis!X$40)/1000</f>
        <v>0.65800000000000003</v>
      </c>
      <c r="Y47" s="74">
        <f>SUMIFS(Qty,Product_Name,Analsis!$W47,Month,Analsis!Y$40)/1000</f>
        <v>0.68</v>
      </c>
      <c r="Z47" s="74">
        <f>SUMIFS(Qty,Product_Name,Analsis!$W47,Month,Analsis!Z$40)/1000</f>
        <v>0</v>
      </c>
      <c r="AA47" s="74">
        <f>SUMIFS(Qty,Product_Name,Analsis!$W47,Month,Analsis!AA$40)/1000</f>
        <v>0</v>
      </c>
    </row>
    <row r="48" spans="1:27" x14ac:dyDescent="0.25">
      <c r="B48" s="43" t="s">
        <v>362</v>
      </c>
      <c r="C48" s="43" t="s">
        <v>363</v>
      </c>
      <c r="W48" s="8" t="s">
        <v>152</v>
      </c>
      <c r="X48" s="74">
        <f>SUMIFS(Qty,Product_Name,Analsis!$W48,Month,Analsis!X$40)/1000</f>
        <v>0.64900000000000002</v>
      </c>
      <c r="Y48" s="74">
        <f>SUMIFS(Qty,Product_Name,Analsis!$W48,Month,Analsis!Y$40)/1000</f>
        <v>0.53</v>
      </c>
      <c r="Z48" s="74">
        <f>SUMIFS(Qty,Product_Name,Analsis!$W48,Month,Analsis!Z$40)/1000</f>
        <v>0</v>
      </c>
      <c r="AA48" s="74">
        <f>SUMIFS(Qty,Product_Name,Analsis!$W48,Month,Analsis!AA$40)/1000</f>
        <v>0</v>
      </c>
    </row>
    <row r="49" spans="1:27" x14ac:dyDescent="0.25">
      <c r="B49" s="43" t="s">
        <v>364</v>
      </c>
      <c r="C49" s="43"/>
      <c r="P49" s="64" t="s">
        <v>35</v>
      </c>
      <c r="Q49" s="64" t="s">
        <v>11</v>
      </c>
      <c r="R49" s="64" t="s">
        <v>13</v>
      </c>
      <c r="S49" s="64" t="s">
        <v>15</v>
      </c>
      <c r="W49" s="8" t="s">
        <v>162</v>
      </c>
      <c r="X49" s="74">
        <f>SUMIFS(Qty,Product_Name,Analsis!$W49,Month,Analsis!X$40)/1000</f>
        <v>0.91</v>
      </c>
      <c r="Y49" s="74">
        <f>SUMIFS(Qty,Product_Name,Analsis!$W49,Month,Analsis!Y$40)/1000</f>
        <v>0.746</v>
      </c>
      <c r="Z49" s="74">
        <f>SUMIFS(Qty,Product_Name,Analsis!$W49,Month,Analsis!Z$40)/1000</f>
        <v>0.73099999999999998</v>
      </c>
      <c r="AA49" s="74">
        <f>SUMIFS(Qty,Product_Name,Analsis!$W49,Month,Analsis!AA$40)/1000</f>
        <v>0.79600000000000004</v>
      </c>
    </row>
    <row r="50" spans="1:27" x14ac:dyDescent="0.25">
      <c r="B50" s="43"/>
      <c r="C50" s="43"/>
      <c r="P50" s="8" t="s">
        <v>16</v>
      </c>
      <c r="Q50" s="74">
        <f t="shared" ref="Q50:S60" si="4">SUMIFS(Qty,Sub_Channels,$P50,Category,Q$49)/1000</f>
        <v>85.540999999999997</v>
      </c>
      <c r="R50" s="74">
        <f t="shared" si="4"/>
        <v>5.99</v>
      </c>
      <c r="S50" s="74">
        <f t="shared" si="4"/>
        <v>6.5990000000000002</v>
      </c>
      <c r="W50" s="8" t="s">
        <v>163</v>
      </c>
      <c r="X50" s="74">
        <f>SUMIFS(Qty,Product_Name,Analsis!$W50,Month,Analsis!X$40)/1000</f>
        <v>5.4080000000000004</v>
      </c>
      <c r="Y50" s="74">
        <f>SUMIFS(Qty,Product_Name,Analsis!$W50,Month,Analsis!Y$40)/1000</f>
        <v>2.4929999999999999</v>
      </c>
      <c r="Z50" s="74">
        <f>SUMIFS(Qty,Product_Name,Analsis!$W50,Month,Analsis!Z$40)/1000</f>
        <v>2.7719999999999998</v>
      </c>
      <c r="AA50" s="74">
        <f>SUMIFS(Qty,Product_Name,Analsis!$W50,Month,Analsis!AA$40)/1000</f>
        <v>3.0059999999999998</v>
      </c>
    </row>
    <row r="51" spans="1:27" x14ac:dyDescent="0.25">
      <c r="A51" s="82" t="s">
        <v>353</v>
      </c>
      <c r="B51" s="43" t="s">
        <v>365</v>
      </c>
      <c r="C51" s="43"/>
      <c r="P51" s="8" t="s">
        <v>20</v>
      </c>
      <c r="Q51" s="74">
        <f t="shared" si="4"/>
        <v>5.1859999999999999</v>
      </c>
      <c r="R51" s="74">
        <f t="shared" si="4"/>
        <v>2.1539999999999999</v>
      </c>
      <c r="S51" s="74">
        <f t="shared" si="4"/>
        <v>0</v>
      </c>
      <c r="W51" s="8" t="s">
        <v>176</v>
      </c>
      <c r="X51" s="74">
        <f>SUMIFS(Qty,Product_Name,Analsis!$W51,Month,Analsis!X$40)/1000</f>
        <v>3.57</v>
      </c>
      <c r="Y51" s="74">
        <f>SUMIFS(Qty,Product_Name,Analsis!$W51,Month,Analsis!Y$40)/1000</f>
        <v>2.6869999999999998</v>
      </c>
      <c r="Z51" s="74">
        <f>SUMIFS(Qty,Product_Name,Analsis!$W51,Month,Analsis!Z$40)/1000</f>
        <v>2.0819999999999999</v>
      </c>
      <c r="AA51" s="74">
        <f>SUMIFS(Qty,Product_Name,Analsis!$W51,Month,Analsis!AA$40)/1000</f>
        <v>3.5190000000000001</v>
      </c>
    </row>
    <row r="52" spans="1:27" x14ac:dyDescent="0.25">
      <c r="B52" s="43" t="s">
        <v>366</v>
      </c>
      <c r="C52" s="43"/>
      <c r="P52" s="8" t="s">
        <v>21</v>
      </c>
      <c r="Q52" s="74">
        <f t="shared" si="4"/>
        <v>11.121</v>
      </c>
      <c r="R52" s="74">
        <f t="shared" si="4"/>
        <v>0</v>
      </c>
      <c r="S52" s="74">
        <f t="shared" si="4"/>
        <v>0</v>
      </c>
      <c r="W52" s="8" t="s">
        <v>66</v>
      </c>
      <c r="X52" s="74">
        <f>SUMIFS(Qty,Product_Name,Analsis!$W52,Month,Analsis!X$40)/1000</f>
        <v>6.4779999999999998</v>
      </c>
      <c r="Y52" s="74">
        <f>SUMIFS(Qty,Product_Name,Analsis!$W52,Month,Analsis!Y$40)/1000</f>
        <v>8.2379999999999995</v>
      </c>
      <c r="Z52" s="74">
        <f>SUMIFS(Qty,Product_Name,Analsis!$W52,Month,Analsis!Z$40)/1000</f>
        <v>9.9849999999999994</v>
      </c>
      <c r="AA52" s="74">
        <f>SUMIFS(Qty,Product_Name,Analsis!$W52,Month,Analsis!AA$40)/1000</f>
        <v>9.6769999999999996</v>
      </c>
    </row>
    <row r="53" spans="1:27" x14ac:dyDescent="0.25">
      <c r="B53" s="43" t="s">
        <v>367</v>
      </c>
      <c r="C53" s="43"/>
      <c r="P53" s="8" t="s">
        <v>23</v>
      </c>
      <c r="Q53" s="74">
        <f t="shared" si="4"/>
        <v>29.202000000000002</v>
      </c>
      <c r="R53" s="74">
        <f t="shared" si="4"/>
        <v>0.53100000000000003</v>
      </c>
      <c r="S53" s="74">
        <f t="shared" si="4"/>
        <v>13.047000000000001</v>
      </c>
      <c r="W53" s="8" t="s">
        <v>96</v>
      </c>
      <c r="X53" s="74">
        <f>SUMIFS(Qty,Product_Name,Analsis!$W53,Month,Analsis!X$40)/1000</f>
        <v>3.516</v>
      </c>
      <c r="Y53" s="74">
        <f>SUMIFS(Qty,Product_Name,Analsis!$W53,Month,Analsis!Y$40)/1000</f>
        <v>6.88</v>
      </c>
      <c r="Z53" s="74">
        <f>SUMIFS(Qty,Product_Name,Analsis!$W53,Month,Analsis!Z$40)/1000</f>
        <v>7.5190000000000001</v>
      </c>
      <c r="AA53" s="74">
        <f>SUMIFS(Qty,Product_Name,Analsis!$W53,Month,Analsis!AA$40)/1000</f>
        <v>6.8159999999999998</v>
      </c>
    </row>
    <row r="54" spans="1:27" x14ac:dyDescent="0.25">
      <c r="A54" s="82" t="s">
        <v>354</v>
      </c>
      <c r="B54" s="43"/>
      <c r="C54" s="43"/>
      <c r="P54" s="8" t="s">
        <v>25</v>
      </c>
      <c r="Q54" s="74">
        <f t="shared" si="4"/>
        <v>0</v>
      </c>
      <c r="R54" s="74">
        <f t="shared" si="4"/>
        <v>6.0960000000000001</v>
      </c>
      <c r="S54" s="74">
        <f t="shared" si="4"/>
        <v>0</v>
      </c>
      <c r="W54" s="8" t="s">
        <v>199</v>
      </c>
      <c r="X54" s="74">
        <f>SUMIFS(Qty,Product_Name,Analsis!$W54,Month,Analsis!X$40)/1000</f>
        <v>1.175</v>
      </c>
      <c r="Y54" s="74">
        <f>SUMIFS(Qty,Product_Name,Analsis!$W54,Month,Analsis!Y$40)/1000</f>
        <v>1.752</v>
      </c>
      <c r="Z54" s="74">
        <f>SUMIFS(Qty,Product_Name,Analsis!$W54,Month,Analsis!Z$40)/1000</f>
        <v>2.15</v>
      </c>
      <c r="AA54" s="74">
        <f>SUMIFS(Qty,Product_Name,Analsis!$W54,Month,Analsis!AA$40)/1000</f>
        <v>2.9319999999999999</v>
      </c>
    </row>
    <row r="55" spans="1:27" x14ac:dyDescent="0.25">
      <c r="B55" s="43"/>
      <c r="C55" s="43"/>
      <c r="P55" s="8" t="s">
        <v>26</v>
      </c>
      <c r="Q55" s="74">
        <f t="shared" si="4"/>
        <v>0</v>
      </c>
      <c r="R55" s="74">
        <f t="shared" si="4"/>
        <v>6.6760000000000002</v>
      </c>
      <c r="S55" s="74">
        <f t="shared" si="4"/>
        <v>1.776</v>
      </c>
      <c r="W55" s="8" t="s">
        <v>172</v>
      </c>
      <c r="X55" s="74">
        <f>SUMIFS(Qty,Product_Name,Analsis!$W55,Month,Analsis!X$40)/1000</f>
        <v>0.68799999999999994</v>
      </c>
      <c r="Y55" s="74">
        <f>SUMIFS(Qty,Product_Name,Analsis!$W55,Month,Analsis!Y$40)/1000</f>
        <v>0</v>
      </c>
      <c r="Z55" s="74">
        <f>SUMIFS(Qty,Product_Name,Analsis!$W55,Month,Analsis!Z$40)/1000</f>
        <v>0</v>
      </c>
      <c r="AA55" s="74">
        <f>SUMIFS(Qty,Product_Name,Analsis!$W55,Month,Analsis!AA$40)/1000</f>
        <v>0.61699999999999999</v>
      </c>
    </row>
    <row r="56" spans="1:27" x14ac:dyDescent="0.25">
      <c r="B56" s="43" t="s">
        <v>369</v>
      </c>
      <c r="C56" s="43"/>
      <c r="P56" s="8" t="s">
        <v>27</v>
      </c>
      <c r="Q56" s="74">
        <f t="shared" si="4"/>
        <v>28.053000000000001</v>
      </c>
      <c r="R56" s="74">
        <f t="shared" si="4"/>
        <v>7.4539999999999997</v>
      </c>
      <c r="S56" s="74">
        <f t="shared" si="4"/>
        <v>4.7119999999999997</v>
      </c>
      <c r="W56" s="8" t="s">
        <v>193</v>
      </c>
      <c r="X56" s="74">
        <f>SUMIFS(Qty,Product_Name,Analsis!$W56,Month,Analsis!X$40)/1000</f>
        <v>16.07</v>
      </c>
      <c r="Y56" s="74">
        <f>SUMIFS(Qty,Product_Name,Analsis!$W56,Month,Analsis!Y$40)/1000</f>
        <v>8.8490000000000002</v>
      </c>
      <c r="Z56" s="74">
        <f>SUMIFS(Qty,Product_Name,Analsis!$W56,Month,Analsis!Z$40)/1000</f>
        <v>1.8480000000000001</v>
      </c>
      <c r="AA56" s="74">
        <f>SUMIFS(Qty,Product_Name,Analsis!$W56,Month,Analsis!AA$40)/1000</f>
        <v>2.1480000000000001</v>
      </c>
    </row>
    <row r="57" spans="1:27" x14ac:dyDescent="0.25">
      <c r="A57" s="82" t="s">
        <v>368</v>
      </c>
      <c r="B57" s="43" t="s">
        <v>370</v>
      </c>
      <c r="C57" s="43"/>
      <c r="P57" s="8" t="s">
        <v>28</v>
      </c>
      <c r="Q57" s="74">
        <f t="shared" si="4"/>
        <v>1.3080000000000001</v>
      </c>
      <c r="R57" s="74">
        <f t="shared" si="4"/>
        <v>7.9569999999999999</v>
      </c>
      <c r="S57" s="74">
        <f t="shared" si="4"/>
        <v>2.444</v>
      </c>
      <c r="W57" s="8" t="s">
        <v>184</v>
      </c>
      <c r="X57" s="74">
        <f>SUMIFS(Qty,Product_Name,Analsis!$W57,Month,Analsis!X$40)/1000</f>
        <v>12.382999999999999</v>
      </c>
      <c r="Y57" s="74">
        <f>SUMIFS(Qty,Product_Name,Analsis!$W57,Month,Analsis!Y$40)/1000</f>
        <v>3.23</v>
      </c>
      <c r="Z57" s="74">
        <f>SUMIFS(Qty,Product_Name,Analsis!$W57,Month,Analsis!Z$40)/1000</f>
        <v>12.403</v>
      </c>
      <c r="AA57" s="74">
        <f>SUMIFS(Qty,Product_Name,Analsis!$W57,Month,Analsis!AA$40)/1000</f>
        <v>12.191000000000001</v>
      </c>
    </row>
    <row r="58" spans="1:27" x14ac:dyDescent="0.25">
      <c r="A58" t="s">
        <v>371</v>
      </c>
      <c r="B58" s="43" t="s">
        <v>372</v>
      </c>
      <c r="C58" s="43"/>
      <c r="P58" s="8" t="s">
        <v>29</v>
      </c>
      <c r="Q58" s="74">
        <f t="shared" si="4"/>
        <v>5.3280000000000003</v>
      </c>
      <c r="R58" s="74">
        <f t="shared" si="4"/>
        <v>19.632000000000001</v>
      </c>
      <c r="S58" s="74">
        <f t="shared" si="4"/>
        <v>5.9039999999999999</v>
      </c>
      <c r="W58" s="8" t="s">
        <v>74</v>
      </c>
      <c r="X58" s="74">
        <f>SUMIFS(Qty,Product_Name,Analsis!$W58,Month,Analsis!X$40)/1000</f>
        <v>4.2</v>
      </c>
      <c r="Y58" s="74">
        <f>SUMIFS(Qty,Product_Name,Analsis!$W58,Month,Analsis!Y$40)/1000</f>
        <v>5.4409999999999998</v>
      </c>
      <c r="Z58" s="74">
        <f>SUMIFS(Qty,Product_Name,Analsis!$W58,Month,Analsis!Z$40)/1000</f>
        <v>7.28</v>
      </c>
      <c r="AA58" s="74">
        <f>SUMIFS(Qty,Product_Name,Analsis!$W58,Month,Analsis!AA$40)/1000</f>
        <v>6.58</v>
      </c>
    </row>
    <row r="59" spans="1:27" x14ac:dyDescent="0.25">
      <c r="B59" s="43"/>
      <c r="C59" s="43"/>
      <c r="P59" s="8" t="s">
        <v>30</v>
      </c>
      <c r="Q59" s="74">
        <f t="shared" si="4"/>
        <v>12.409000000000001</v>
      </c>
      <c r="R59" s="74">
        <f t="shared" si="4"/>
        <v>31.818000000000001</v>
      </c>
      <c r="S59" s="74">
        <f t="shared" si="4"/>
        <v>7.8719999999999999</v>
      </c>
      <c r="W59" s="8" t="s">
        <v>194</v>
      </c>
      <c r="X59" s="74">
        <f>SUMIFS(Qty,Product_Name,Analsis!$W59,Month,Analsis!X$40)/1000</f>
        <v>4.1639999999999997</v>
      </c>
      <c r="Y59" s="74">
        <f>SUMIFS(Qty,Product_Name,Analsis!$W59,Month,Analsis!Y$40)/1000</f>
        <v>1.8360000000000001</v>
      </c>
      <c r="Z59" s="74">
        <f>SUMIFS(Qty,Product_Name,Analsis!$W59,Month,Analsis!Z$40)/1000</f>
        <v>3.1680000000000001</v>
      </c>
      <c r="AA59" s="74">
        <f>SUMIFS(Qty,Product_Name,Analsis!$W59,Month,Analsis!AA$40)/1000</f>
        <v>2.3759999999999999</v>
      </c>
    </row>
    <row r="60" spans="1:27" x14ac:dyDescent="0.25">
      <c r="B60" s="43"/>
      <c r="C60" s="43"/>
      <c r="P60" s="8" t="s">
        <v>22</v>
      </c>
      <c r="Q60" s="74">
        <f t="shared" si="4"/>
        <v>0</v>
      </c>
      <c r="R60" s="74">
        <f t="shared" si="4"/>
        <v>0.97099999999999997</v>
      </c>
      <c r="S60" s="74">
        <f t="shared" si="4"/>
        <v>0</v>
      </c>
      <c r="W60" s="8" t="s">
        <v>106</v>
      </c>
      <c r="X60" s="74">
        <f>SUMIFS(Qty,Product_Name,Analsis!$W60,Month,Analsis!X$40)/1000</f>
        <v>2.9689999999999999</v>
      </c>
      <c r="Y60" s="74">
        <f>SUMIFS(Qty,Product_Name,Analsis!$W60,Month,Analsis!Y$40)/1000</f>
        <v>2.2370000000000001</v>
      </c>
      <c r="Z60" s="74">
        <f>SUMIFS(Qty,Product_Name,Analsis!$W60,Month,Analsis!Z$40)/1000</f>
        <v>3.9809999999999999</v>
      </c>
      <c r="AA60" s="74">
        <f>SUMIFS(Qty,Product_Name,Analsis!$W60,Month,Analsis!AA$40)/1000</f>
        <v>3.8359999999999999</v>
      </c>
    </row>
    <row r="61" spans="1:27" x14ac:dyDescent="0.25">
      <c r="A61" s="82" t="s">
        <v>357</v>
      </c>
      <c r="B61" s="43"/>
      <c r="C61" s="43"/>
      <c r="P61" s="64" t="s">
        <v>1</v>
      </c>
      <c r="Q61" s="84">
        <f>SUM(Q50:Q60)</f>
        <v>178.148</v>
      </c>
      <c r="R61" s="84">
        <f>SUM(R50:R60)</f>
        <v>89.279000000000011</v>
      </c>
      <c r="S61" s="84">
        <f>SUM(S50:S60)</f>
        <v>42.353999999999999</v>
      </c>
      <c r="W61" s="8" t="s">
        <v>195</v>
      </c>
      <c r="X61" s="74">
        <f>SUMIFS(Qty,Product_Name,Analsis!$W61,Month,Analsis!X$40)/1000</f>
        <v>1.56</v>
      </c>
      <c r="Y61" s="74">
        <f>SUMIFS(Qty,Product_Name,Analsis!$W61,Month,Analsis!Y$40)/1000</f>
        <v>0</v>
      </c>
      <c r="Z61" s="74">
        <f>SUMIFS(Qty,Product_Name,Analsis!$W61,Month,Analsis!Z$40)/1000</f>
        <v>0</v>
      </c>
      <c r="AA61" s="74">
        <f>SUMIFS(Qty,Product_Name,Analsis!$W61,Month,Analsis!AA$40)/1000</f>
        <v>0</v>
      </c>
    </row>
    <row r="62" spans="1:27" x14ac:dyDescent="0.25">
      <c r="B62" s="43"/>
      <c r="C62" s="43"/>
      <c r="W62" s="8" t="s">
        <v>196</v>
      </c>
      <c r="X62" s="74">
        <f>SUMIFS(Qty,Product_Name,Analsis!$W62,Month,Analsis!X$40)/1000</f>
        <v>1.536</v>
      </c>
      <c r="Y62" s="74">
        <f>SUMIFS(Qty,Product_Name,Analsis!$W62,Month,Analsis!Y$40)/1000</f>
        <v>0</v>
      </c>
      <c r="Z62" s="74">
        <f>SUMIFS(Qty,Product_Name,Analsis!$W62,Month,Analsis!Z$40)/1000</f>
        <v>0</v>
      </c>
      <c r="AA62" s="74">
        <f>SUMIFS(Qty,Product_Name,Analsis!$W62,Month,Analsis!AA$40)/1000</f>
        <v>0</v>
      </c>
    </row>
    <row r="63" spans="1:27" x14ac:dyDescent="0.25">
      <c r="B63" s="43"/>
      <c r="C63" s="43"/>
      <c r="W63" s="8" t="s">
        <v>65</v>
      </c>
      <c r="X63" s="74">
        <f>SUMIFS(Qty,Product_Name,Analsis!$W63,Month,Analsis!X$40)/1000</f>
        <v>0</v>
      </c>
      <c r="Y63" s="74">
        <f>SUMIFS(Qty,Product_Name,Analsis!$W63,Month,Analsis!Y$40)/1000</f>
        <v>0.502</v>
      </c>
      <c r="Z63" s="74">
        <f>SUMIFS(Qty,Product_Name,Analsis!$W63,Month,Analsis!Z$40)/1000</f>
        <v>0</v>
      </c>
      <c r="AA63" s="74">
        <f>SUMIFS(Qty,Product_Name,Analsis!$W63,Month,Analsis!AA$40)/1000</f>
        <v>0</v>
      </c>
    </row>
    <row r="64" spans="1:27" x14ac:dyDescent="0.25">
      <c r="A64" s="82" t="s">
        <v>373</v>
      </c>
      <c r="B64" s="43" t="s">
        <v>356</v>
      </c>
      <c r="C64" s="43"/>
      <c r="W64" s="8" t="s">
        <v>89</v>
      </c>
      <c r="X64" s="74">
        <f>SUMIFS(Qty,Product_Name,Analsis!$W64,Month,Analsis!X$40)/1000</f>
        <v>0</v>
      </c>
      <c r="Y64" s="74">
        <f>SUMIFS(Qty,Product_Name,Analsis!$W64,Month,Analsis!Y$40)/1000</f>
        <v>1.25</v>
      </c>
      <c r="Z64" s="74">
        <f>SUMIFS(Qty,Product_Name,Analsis!$W64,Month,Analsis!Z$40)/1000</f>
        <v>1.2270000000000001</v>
      </c>
      <c r="AA64" s="74">
        <f>SUMIFS(Qty,Product_Name,Analsis!$W64,Month,Analsis!AA$40)/1000</f>
        <v>1.6419999999999999</v>
      </c>
    </row>
    <row r="65" spans="1:27" x14ac:dyDescent="0.25">
      <c r="A65" t="s">
        <v>377</v>
      </c>
      <c r="B65" s="43" t="s">
        <v>378</v>
      </c>
      <c r="C65" s="43"/>
      <c r="W65" s="8" t="s">
        <v>103</v>
      </c>
      <c r="X65" s="74">
        <f>SUMIFS(Qty,Product_Name,Analsis!$W65,Month,Analsis!X$40)/1000</f>
        <v>0</v>
      </c>
      <c r="Y65" s="74">
        <f>SUMIFS(Qty,Product_Name,Analsis!$W65,Month,Analsis!Y$40)/1000</f>
        <v>0.879</v>
      </c>
      <c r="Z65" s="74">
        <f>SUMIFS(Qty,Product_Name,Analsis!$W65,Month,Analsis!Z$40)/1000</f>
        <v>0.63900000000000001</v>
      </c>
      <c r="AA65" s="74">
        <f>SUMIFS(Qty,Product_Name,Analsis!$W65,Month,Analsis!AA$40)/1000</f>
        <v>0.78300000000000003</v>
      </c>
    </row>
    <row r="66" spans="1:27" x14ac:dyDescent="0.25">
      <c r="A66" s="82" t="s">
        <v>374</v>
      </c>
      <c r="B66" s="43" t="s">
        <v>375</v>
      </c>
      <c r="C66" s="43"/>
      <c r="W66" s="8" t="s">
        <v>197</v>
      </c>
      <c r="X66" s="74">
        <f>SUMIFS(Qty,Product_Name,Analsis!$W66,Month,Analsis!X$40)/1000</f>
        <v>0</v>
      </c>
      <c r="Y66" s="74">
        <f>SUMIFS(Qty,Product_Name,Analsis!$W66,Month,Analsis!Y$40)/1000</f>
        <v>1.669</v>
      </c>
      <c r="Z66" s="74">
        <f>SUMIFS(Qty,Product_Name,Analsis!$W66,Month,Analsis!Z$40)/1000</f>
        <v>1.585</v>
      </c>
      <c r="AA66" s="74">
        <f>SUMIFS(Qty,Product_Name,Analsis!$W66,Month,Analsis!AA$40)/1000</f>
        <v>0.71099999999999997</v>
      </c>
    </row>
    <row r="67" spans="1:27" x14ac:dyDescent="0.25">
      <c r="W67" s="8" t="s">
        <v>132</v>
      </c>
      <c r="X67" s="74">
        <f>SUMIFS(Qty,Product_Name,Analsis!$W67,Month,Analsis!X$40)/1000</f>
        <v>0</v>
      </c>
      <c r="Y67" s="74">
        <f>SUMIFS(Qty,Product_Name,Analsis!$W67,Month,Analsis!Y$40)/1000</f>
        <v>0.61299999999999999</v>
      </c>
      <c r="Z67" s="74">
        <f>SUMIFS(Qty,Product_Name,Analsis!$W67,Month,Analsis!Z$40)/1000</f>
        <v>0.85399999999999998</v>
      </c>
      <c r="AA67" s="74">
        <f>SUMIFS(Qty,Product_Name,Analsis!$W67,Month,Analsis!AA$40)/1000</f>
        <v>1.492</v>
      </c>
    </row>
    <row r="68" spans="1:27" x14ac:dyDescent="0.25">
      <c r="W68" s="8" t="s">
        <v>167</v>
      </c>
      <c r="X68" s="74">
        <f>SUMIFS(Qty,Product_Name,Analsis!$W68,Month,Analsis!X$40)/1000</f>
        <v>0</v>
      </c>
      <c r="Y68" s="74">
        <f>SUMIFS(Qty,Product_Name,Analsis!$W68,Month,Analsis!Y$40)/1000</f>
        <v>0.55100000000000005</v>
      </c>
      <c r="Z68" s="74">
        <f>SUMIFS(Qty,Product_Name,Analsis!$W68,Month,Analsis!Z$40)/1000</f>
        <v>0</v>
      </c>
      <c r="AA68" s="74">
        <f>SUMIFS(Qty,Product_Name,Analsis!$W68,Month,Analsis!AA$40)/1000</f>
        <v>0</v>
      </c>
    </row>
    <row r="69" spans="1:27" x14ac:dyDescent="0.25">
      <c r="W69" s="8" t="s">
        <v>94</v>
      </c>
      <c r="X69" s="74">
        <f>SUMIFS(Qty,Product_Name,Analsis!$W69,Month,Analsis!X$40)/1000</f>
        <v>0</v>
      </c>
      <c r="Y69" s="74">
        <f>SUMIFS(Qty,Product_Name,Analsis!$W69,Month,Analsis!Y$40)/1000</f>
        <v>0</v>
      </c>
      <c r="Z69" s="74">
        <f>SUMIFS(Qty,Product_Name,Analsis!$W69,Month,Analsis!Z$40)/1000</f>
        <v>0</v>
      </c>
      <c r="AA69" s="74">
        <f>SUMIFS(Qty,Product_Name,Analsis!$W69,Month,Analsis!AA$40)/1000</f>
        <v>0.71499999999999997</v>
      </c>
    </row>
    <row r="70" spans="1:27" x14ac:dyDescent="0.25">
      <c r="W70" s="8" t="s">
        <v>198</v>
      </c>
      <c r="X70" s="74">
        <f>SUMIFS(Qty,Product_Name,Analsis!$W70,Month,Analsis!X$40)/1000</f>
        <v>0</v>
      </c>
      <c r="Y70" s="74">
        <f>SUMIFS(Qty,Product_Name,Analsis!$W70,Month,Analsis!Y$40)/1000</f>
        <v>0</v>
      </c>
      <c r="Z70" s="74">
        <f>SUMIFS(Qty,Product_Name,Analsis!$W70,Month,Analsis!Z$40)/1000</f>
        <v>0</v>
      </c>
      <c r="AA70" s="74">
        <f>SUMIFS(Qty,Product_Name,Analsis!$W70,Month,Analsis!AA$40)/1000</f>
        <v>0.97099999999999997</v>
      </c>
    </row>
    <row r="71" spans="1:27" x14ac:dyDescent="0.25">
      <c r="W71" s="64" t="s">
        <v>1</v>
      </c>
      <c r="X71" s="84">
        <f>SUM(X41:X70)</f>
        <v>85.427000000000007</v>
      </c>
      <c r="Y71" s="84">
        <f>SUM(Y41:Y70)</f>
        <v>67.732000000000014</v>
      </c>
      <c r="Z71" s="84">
        <f>SUM(Z41:Z70)</f>
        <v>76.392999999999986</v>
      </c>
      <c r="AA71" s="84">
        <f>SUM(AA41:AA70)</f>
        <v>80.229000000000013</v>
      </c>
    </row>
    <row r="72" spans="1:27" x14ac:dyDescent="0.25">
      <c r="X72" s="46"/>
      <c r="Y72" s="46"/>
      <c r="Z72" s="46"/>
      <c r="AA72" s="46"/>
    </row>
    <row r="74" spans="1:27" x14ac:dyDescent="0.25">
      <c r="W74" s="81" t="s">
        <v>346</v>
      </c>
    </row>
    <row r="76" spans="1:27" x14ac:dyDescent="0.25">
      <c r="W76" s="64" t="s">
        <v>4</v>
      </c>
      <c r="X76" s="64" t="s">
        <v>9</v>
      </c>
      <c r="Y76" s="64" t="s">
        <v>23</v>
      </c>
      <c r="Z76" s="64" t="s">
        <v>24</v>
      </c>
      <c r="AA76" s="87"/>
    </row>
    <row r="77" spans="1:27" x14ac:dyDescent="0.25">
      <c r="W77" s="8" t="s">
        <v>52</v>
      </c>
      <c r="X77" s="46">
        <f t="shared" ref="X77:Z106" si="5">SUMIFS(Qty,Product_Name,$W77,Channel,X$76)/1000</f>
        <v>5.0629999999999997</v>
      </c>
      <c r="Y77" s="46">
        <f t="shared" si="5"/>
        <v>0</v>
      </c>
      <c r="Z77" s="46">
        <f t="shared" si="5"/>
        <v>0</v>
      </c>
    </row>
    <row r="78" spans="1:27" x14ac:dyDescent="0.25">
      <c r="W78" s="8" t="s">
        <v>53</v>
      </c>
      <c r="X78" s="46">
        <f t="shared" si="5"/>
        <v>12.237</v>
      </c>
      <c r="Y78" s="46">
        <f t="shared" si="5"/>
        <v>10.7</v>
      </c>
      <c r="Z78" s="46">
        <f t="shared" si="5"/>
        <v>0.64800000000000002</v>
      </c>
    </row>
    <row r="79" spans="1:27" x14ac:dyDescent="0.25">
      <c r="W79" s="8" t="s">
        <v>60</v>
      </c>
      <c r="X79" s="46">
        <f t="shared" si="5"/>
        <v>13.731999999999999</v>
      </c>
      <c r="Y79" s="46">
        <f t="shared" si="5"/>
        <v>1.593</v>
      </c>
      <c r="Z79" s="46">
        <f t="shared" si="5"/>
        <v>13.462999999999999</v>
      </c>
    </row>
    <row r="80" spans="1:27" x14ac:dyDescent="0.25">
      <c r="W80" s="8" t="s">
        <v>64</v>
      </c>
      <c r="X80" s="46">
        <f t="shared" si="5"/>
        <v>3.54</v>
      </c>
      <c r="Y80" s="46">
        <f t="shared" si="5"/>
        <v>0.53100000000000003</v>
      </c>
      <c r="Z80" s="46">
        <f t="shared" si="5"/>
        <v>0.61199999999999999</v>
      </c>
    </row>
    <row r="81" spans="23:26" x14ac:dyDescent="0.25">
      <c r="W81" s="8" t="s">
        <v>124</v>
      </c>
      <c r="X81" s="46">
        <f t="shared" si="5"/>
        <v>2.6970000000000001</v>
      </c>
      <c r="Y81" s="46">
        <f t="shared" si="5"/>
        <v>0</v>
      </c>
      <c r="Z81" s="46">
        <f t="shared" si="5"/>
        <v>0</v>
      </c>
    </row>
    <row r="82" spans="23:26" x14ac:dyDescent="0.25">
      <c r="W82" s="8" t="s">
        <v>126</v>
      </c>
      <c r="X82" s="46">
        <f t="shared" si="5"/>
        <v>4.4539999999999997</v>
      </c>
      <c r="Y82" s="46">
        <f t="shared" si="5"/>
        <v>4.4820000000000002</v>
      </c>
      <c r="Z82" s="46">
        <f t="shared" si="5"/>
        <v>0</v>
      </c>
    </row>
    <row r="83" spans="23:26" x14ac:dyDescent="0.25">
      <c r="W83" s="8" t="s">
        <v>149</v>
      </c>
      <c r="X83" s="46">
        <f t="shared" si="5"/>
        <v>1.3380000000000001</v>
      </c>
      <c r="Y83" s="46">
        <f t="shared" si="5"/>
        <v>0</v>
      </c>
      <c r="Z83" s="46">
        <f t="shared" si="5"/>
        <v>0</v>
      </c>
    </row>
    <row r="84" spans="23:26" x14ac:dyDescent="0.25">
      <c r="W84" s="8" t="s">
        <v>152</v>
      </c>
      <c r="X84" s="46">
        <f t="shared" si="5"/>
        <v>1.179</v>
      </c>
      <c r="Y84" s="46">
        <f t="shared" si="5"/>
        <v>0</v>
      </c>
      <c r="Z84" s="46">
        <f t="shared" si="5"/>
        <v>0</v>
      </c>
    </row>
    <row r="85" spans="23:26" x14ac:dyDescent="0.25">
      <c r="W85" s="8" t="s">
        <v>162</v>
      </c>
      <c r="X85" s="46">
        <f t="shared" si="5"/>
        <v>3.1829999999999998</v>
      </c>
      <c r="Y85" s="46">
        <f t="shared" si="5"/>
        <v>0</v>
      </c>
      <c r="Z85" s="46">
        <f t="shared" si="5"/>
        <v>0</v>
      </c>
    </row>
    <row r="86" spans="23:26" x14ac:dyDescent="0.25">
      <c r="W86" s="8" t="s">
        <v>163</v>
      </c>
      <c r="X86" s="46">
        <f t="shared" si="5"/>
        <v>10.042999999999999</v>
      </c>
      <c r="Y86" s="46">
        <f t="shared" si="5"/>
        <v>0</v>
      </c>
      <c r="Z86" s="46">
        <f t="shared" si="5"/>
        <v>3.6360000000000001</v>
      </c>
    </row>
    <row r="87" spans="23:26" x14ac:dyDescent="0.25">
      <c r="W87" s="8" t="s">
        <v>176</v>
      </c>
      <c r="X87" s="46">
        <f t="shared" si="5"/>
        <v>8.0779999999999994</v>
      </c>
      <c r="Y87" s="46">
        <f t="shared" si="5"/>
        <v>0.68400000000000005</v>
      </c>
      <c r="Z87" s="46">
        <f t="shared" si="5"/>
        <v>3.0960000000000001</v>
      </c>
    </row>
    <row r="88" spans="23:26" x14ac:dyDescent="0.25">
      <c r="W88" s="8" t="s">
        <v>66</v>
      </c>
      <c r="X88" s="46">
        <f t="shared" si="5"/>
        <v>16.18</v>
      </c>
      <c r="Y88" s="46">
        <f t="shared" si="5"/>
        <v>1.883</v>
      </c>
      <c r="Z88" s="46">
        <f t="shared" si="5"/>
        <v>16.315000000000001</v>
      </c>
    </row>
    <row r="89" spans="23:26" x14ac:dyDescent="0.25">
      <c r="W89" s="8" t="s">
        <v>96</v>
      </c>
      <c r="X89" s="46">
        <f t="shared" si="5"/>
        <v>14.897</v>
      </c>
      <c r="Y89" s="46">
        <f t="shared" si="5"/>
        <v>8.0329999999999995</v>
      </c>
      <c r="Z89" s="46">
        <f t="shared" si="5"/>
        <v>1.8009999999999999</v>
      </c>
    </row>
    <row r="90" spans="23:26" x14ac:dyDescent="0.25">
      <c r="W90" s="8" t="s">
        <v>199</v>
      </c>
      <c r="X90" s="46">
        <f t="shared" si="5"/>
        <v>0</v>
      </c>
      <c r="Y90" s="46">
        <f t="shared" si="5"/>
        <v>8.0090000000000003</v>
      </c>
      <c r="Z90" s="46">
        <f t="shared" si="5"/>
        <v>0</v>
      </c>
    </row>
    <row r="91" spans="23:26" x14ac:dyDescent="0.25">
      <c r="W91" s="8" t="s">
        <v>172</v>
      </c>
      <c r="X91" s="46">
        <f t="shared" si="5"/>
        <v>0</v>
      </c>
      <c r="Y91" s="46">
        <f t="shared" si="5"/>
        <v>1.3049999999999999</v>
      </c>
      <c r="Z91" s="46">
        <f t="shared" si="5"/>
        <v>0</v>
      </c>
    </row>
    <row r="92" spans="23:26" x14ac:dyDescent="0.25">
      <c r="W92" s="8" t="s">
        <v>193</v>
      </c>
      <c r="X92" s="46">
        <f t="shared" si="5"/>
        <v>0</v>
      </c>
      <c r="Y92" s="46">
        <f t="shared" si="5"/>
        <v>0</v>
      </c>
      <c r="Z92" s="46">
        <f t="shared" si="5"/>
        <v>28.914999999999999</v>
      </c>
    </row>
    <row r="93" spans="23:26" x14ac:dyDescent="0.25">
      <c r="W93" s="8" t="s">
        <v>184</v>
      </c>
      <c r="X93" s="46">
        <f t="shared" si="5"/>
        <v>1.645</v>
      </c>
      <c r="Y93" s="46">
        <f t="shared" si="5"/>
        <v>0</v>
      </c>
      <c r="Z93" s="46">
        <f t="shared" si="5"/>
        <v>38.561999999999998</v>
      </c>
    </row>
    <row r="94" spans="23:26" x14ac:dyDescent="0.25">
      <c r="W94" s="8" t="s">
        <v>74</v>
      </c>
      <c r="X94" s="46">
        <f t="shared" si="5"/>
        <v>2.8210000000000002</v>
      </c>
      <c r="Y94" s="46">
        <f t="shared" si="5"/>
        <v>1.0680000000000001</v>
      </c>
      <c r="Z94" s="46">
        <f t="shared" si="5"/>
        <v>19.611999999999998</v>
      </c>
    </row>
    <row r="95" spans="23:26" x14ac:dyDescent="0.25">
      <c r="W95" s="8" t="s">
        <v>194</v>
      </c>
      <c r="X95" s="46">
        <f t="shared" si="5"/>
        <v>0</v>
      </c>
      <c r="Y95" s="46">
        <f t="shared" si="5"/>
        <v>0</v>
      </c>
      <c r="Z95" s="46">
        <f t="shared" si="5"/>
        <v>11.544</v>
      </c>
    </row>
    <row r="96" spans="23:26" x14ac:dyDescent="0.25">
      <c r="W96" s="8" t="s">
        <v>106</v>
      </c>
      <c r="X96" s="46">
        <f t="shared" si="5"/>
        <v>4.3620000000000001</v>
      </c>
      <c r="Y96" s="46">
        <f t="shared" si="5"/>
        <v>0.52200000000000002</v>
      </c>
      <c r="Z96" s="46">
        <f t="shared" si="5"/>
        <v>8.1389999999999993</v>
      </c>
    </row>
    <row r="97" spans="23:40" x14ac:dyDescent="0.25">
      <c r="W97" s="8" t="s">
        <v>195</v>
      </c>
      <c r="X97" s="46">
        <f t="shared" si="5"/>
        <v>0</v>
      </c>
      <c r="Y97" s="46">
        <f t="shared" si="5"/>
        <v>0</v>
      </c>
      <c r="Z97" s="46">
        <f t="shared" si="5"/>
        <v>1.56</v>
      </c>
    </row>
    <row r="98" spans="23:40" x14ac:dyDescent="0.25">
      <c r="W98" s="8" t="s">
        <v>196</v>
      </c>
      <c r="X98" s="46">
        <f t="shared" si="5"/>
        <v>0</v>
      </c>
      <c r="Y98" s="46">
        <f t="shared" si="5"/>
        <v>0</v>
      </c>
      <c r="Z98" s="46">
        <f t="shared" si="5"/>
        <v>1.536</v>
      </c>
    </row>
    <row r="99" spans="23:40" x14ac:dyDescent="0.25">
      <c r="W99" s="8" t="s">
        <v>65</v>
      </c>
      <c r="X99" s="46">
        <f t="shared" si="5"/>
        <v>0.502</v>
      </c>
      <c r="Y99" s="46">
        <f t="shared" si="5"/>
        <v>0</v>
      </c>
      <c r="Z99" s="46">
        <f t="shared" si="5"/>
        <v>0</v>
      </c>
    </row>
    <row r="100" spans="23:40" x14ac:dyDescent="0.25">
      <c r="W100" s="8" t="s">
        <v>89</v>
      </c>
      <c r="X100" s="46">
        <f t="shared" si="5"/>
        <v>4.1189999999999998</v>
      </c>
      <c r="Y100" s="46">
        <f t="shared" si="5"/>
        <v>0</v>
      </c>
      <c r="Z100" s="46">
        <f t="shared" si="5"/>
        <v>0</v>
      </c>
    </row>
    <row r="101" spans="23:40" x14ac:dyDescent="0.25">
      <c r="W101" s="8" t="s">
        <v>103</v>
      </c>
      <c r="X101" s="46">
        <f t="shared" si="5"/>
        <v>2.3010000000000002</v>
      </c>
      <c r="Y101" s="46">
        <f t="shared" si="5"/>
        <v>0</v>
      </c>
      <c r="Z101" s="46">
        <f t="shared" si="5"/>
        <v>0</v>
      </c>
    </row>
    <row r="102" spans="23:40" x14ac:dyDescent="0.25">
      <c r="W102" s="8" t="s">
        <v>197</v>
      </c>
      <c r="X102" s="46">
        <f t="shared" si="5"/>
        <v>0.71</v>
      </c>
      <c r="Y102" s="46">
        <f t="shared" si="5"/>
        <v>3.2549999999999999</v>
      </c>
      <c r="Z102" s="46">
        <f t="shared" si="5"/>
        <v>0</v>
      </c>
    </row>
    <row r="103" spans="23:40" x14ac:dyDescent="0.25">
      <c r="W103" s="8" t="s">
        <v>132</v>
      </c>
      <c r="X103" s="46">
        <f t="shared" si="5"/>
        <v>2.9590000000000001</v>
      </c>
      <c r="Y103" s="46">
        <f t="shared" si="5"/>
        <v>0</v>
      </c>
      <c r="Z103" s="46">
        <f t="shared" si="5"/>
        <v>0</v>
      </c>
    </row>
    <row r="104" spans="23:40" x14ac:dyDescent="0.25">
      <c r="W104" s="8" t="s">
        <v>167</v>
      </c>
      <c r="X104" s="46">
        <f t="shared" si="5"/>
        <v>0.55100000000000005</v>
      </c>
      <c r="Y104" s="46">
        <f t="shared" si="5"/>
        <v>0</v>
      </c>
      <c r="Z104" s="46">
        <f t="shared" si="5"/>
        <v>0</v>
      </c>
    </row>
    <row r="105" spans="23:40" x14ac:dyDescent="0.25">
      <c r="W105" s="8" t="s">
        <v>94</v>
      </c>
      <c r="X105" s="46">
        <f t="shared" si="5"/>
        <v>0</v>
      </c>
      <c r="Y105" s="46">
        <f t="shared" si="5"/>
        <v>0.71499999999999997</v>
      </c>
      <c r="Z105" s="46">
        <f t="shared" si="5"/>
        <v>0</v>
      </c>
    </row>
    <row r="106" spans="23:40" x14ac:dyDescent="0.25">
      <c r="W106" s="8" t="s">
        <v>198</v>
      </c>
      <c r="X106" s="46">
        <f t="shared" si="5"/>
        <v>0.97099999999999997</v>
      </c>
      <c r="Y106" s="46">
        <f t="shared" si="5"/>
        <v>0</v>
      </c>
      <c r="Z106" s="46">
        <f t="shared" si="5"/>
        <v>0</v>
      </c>
    </row>
    <row r="107" spans="23:40" x14ac:dyDescent="0.25">
      <c r="W107" s="64" t="s">
        <v>1</v>
      </c>
      <c r="X107" s="83">
        <f>SUM(X77:X106)</f>
        <v>117.56200000000001</v>
      </c>
      <c r="Y107" s="83">
        <f>SUM(Y77:Y106)</f>
        <v>42.78</v>
      </c>
      <c r="Z107" s="83">
        <f>SUM(Z77:Z106)</f>
        <v>149.43899999999999</v>
      </c>
    </row>
    <row r="109" spans="23:40" x14ac:dyDescent="0.25">
      <c r="W109" s="81" t="s">
        <v>347</v>
      </c>
    </row>
    <row r="111" spans="23:40" x14ac:dyDescent="0.25">
      <c r="W111" s="64" t="s">
        <v>4</v>
      </c>
      <c r="X111" s="64" t="s">
        <v>16</v>
      </c>
      <c r="Y111" s="64" t="s">
        <v>20</v>
      </c>
      <c r="Z111" s="64" t="s">
        <v>21</v>
      </c>
      <c r="AA111" s="64" t="s">
        <v>23</v>
      </c>
      <c r="AB111" s="64" t="s">
        <v>25</v>
      </c>
      <c r="AC111" s="64" t="s">
        <v>26</v>
      </c>
      <c r="AD111" s="64" t="s">
        <v>27</v>
      </c>
      <c r="AE111" s="64" t="s">
        <v>28</v>
      </c>
      <c r="AF111" s="64" t="s">
        <v>29</v>
      </c>
      <c r="AG111" s="64" t="s">
        <v>30</v>
      </c>
      <c r="AH111" s="64" t="s">
        <v>22</v>
      </c>
    </row>
    <row r="112" spans="23:40" x14ac:dyDescent="0.25">
      <c r="W112" s="8" t="s">
        <v>52</v>
      </c>
      <c r="X112" s="74">
        <f t="shared" ref="X112:AH121" si="6">SUMIFS(Qty,Product_Name,$W112,Sub_Channels,X$111)/1000</f>
        <v>4.4480000000000004</v>
      </c>
      <c r="Y112" s="74">
        <f t="shared" si="6"/>
        <v>0.61499999999999999</v>
      </c>
      <c r="Z112" s="74">
        <f t="shared" si="6"/>
        <v>0</v>
      </c>
      <c r="AA112" s="74">
        <f t="shared" si="6"/>
        <v>0</v>
      </c>
      <c r="AB112" s="74">
        <f t="shared" si="6"/>
        <v>0</v>
      </c>
      <c r="AC112" s="74">
        <f t="shared" si="6"/>
        <v>0</v>
      </c>
      <c r="AD112" s="74">
        <f t="shared" si="6"/>
        <v>0</v>
      </c>
      <c r="AE112" s="74">
        <f t="shared" si="6"/>
        <v>0</v>
      </c>
      <c r="AF112" s="74">
        <f t="shared" si="6"/>
        <v>0</v>
      </c>
      <c r="AG112" s="74">
        <f t="shared" si="6"/>
        <v>0</v>
      </c>
      <c r="AH112" s="74">
        <f t="shared" si="6"/>
        <v>0</v>
      </c>
      <c r="AI112" s="46"/>
      <c r="AJ112" s="46"/>
      <c r="AK112" s="46"/>
      <c r="AL112" s="46"/>
      <c r="AM112" s="46"/>
      <c r="AN112" s="46"/>
    </row>
    <row r="113" spans="23:34" x14ac:dyDescent="0.25">
      <c r="W113" s="8" t="s">
        <v>53</v>
      </c>
      <c r="X113" s="74">
        <f t="shared" si="6"/>
        <v>9.3710000000000004</v>
      </c>
      <c r="Y113" s="74">
        <f t="shared" si="6"/>
        <v>0</v>
      </c>
      <c r="Z113" s="74">
        <f t="shared" si="6"/>
        <v>2.8660000000000001</v>
      </c>
      <c r="AA113" s="74">
        <f t="shared" si="6"/>
        <v>10.7</v>
      </c>
      <c r="AB113" s="74">
        <f t="shared" si="6"/>
        <v>0</v>
      </c>
      <c r="AC113" s="74">
        <f t="shared" si="6"/>
        <v>0</v>
      </c>
      <c r="AD113" s="74">
        <f t="shared" si="6"/>
        <v>0</v>
      </c>
      <c r="AE113" s="74">
        <f t="shared" si="6"/>
        <v>0</v>
      </c>
      <c r="AF113" s="74">
        <f t="shared" si="6"/>
        <v>0</v>
      </c>
      <c r="AG113" s="74">
        <f t="shared" si="6"/>
        <v>0.64800000000000002</v>
      </c>
      <c r="AH113" s="74">
        <f t="shared" si="6"/>
        <v>0</v>
      </c>
    </row>
    <row r="114" spans="23:34" x14ac:dyDescent="0.25">
      <c r="W114" s="8" t="s">
        <v>60</v>
      </c>
      <c r="X114" s="74">
        <f t="shared" si="6"/>
        <v>11.076000000000001</v>
      </c>
      <c r="Y114" s="74">
        <f t="shared" si="6"/>
        <v>2.0590000000000002</v>
      </c>
      <c r="Z114" s="74">
        <f t="shared" si="6"/>
        <v>0.59699999999999998</v>
      </c>
      <c r="AA114" s="74">
        <f t="shared" si="6"/>
        <v>1.593</v>
      </c>
      <c r="AB114" s="74">
        <f t="shared" si="6"/>
        <v>0</v>
      </c>
      <c r="AC114" s="74">
        <f t="shared" si="6"/>
        <v>0</v>
      </c>
      <c r="AD114" s="74">
        <f t="shared" si="6"/>
        <v>7.5350000000000001</v>
      </c>
      <c r="AE114" s="74">
        <f t="shared" si="6"/>
        <v>0.57599999999999996</v>
      </c>
      <c r="AF114" s="74">
        <f t="shared" si="6"/>
        <v>1.4159999999999999</v>
      </c>
      <c r="AG114" s="74">
        <f t="shared" si="6"/>
        <v>3.9359999999999999</v>
      </c>
      <c r="AH114" s="74">
        <f t="shared" si="6"/>
        <v>0</v>
      </c>
    </row>
    <row r="115" spans="23:34" x14ac:dyDescent="0.25">
      <c r="W115" s="8" t="s">
        <v>64</v>
      </c>
      <c r="X115" s="74">
        <f t="shared" si="6"/>
        <v>3.54</v>
      </c>
      <c r="Y115" s="74">
        <f t="shared" si="6"/>
        <v>0</v>
      </c>
      <c r="Z115" s="74">
        <f t="shared" si="6"/>
        <v>0</v>
      </c>
      <c r="AA115" s="74">
        <f t="shared" si="6"/>
        <v>0.53100000000000003</v>
      </c>
      <c r="AB115" s="74">
        <f t="shared" si="6"/>
        <v>0</v>
      </c>
      <c r="AC115" s="74">
        <f t="shared" si="6"/>
        <v>0</v>
      </c>
      <c r="AD115" s="74">
        <f t="shared" si="6"/>
        <v>0</v>
      </c>
      <c r="AE115" s="74">
        <f t="shared" si="6"/>
        <v>0</v>
      </c>
      <c r="AF115" s="74">
        <f t="shared" si="6"/>
        <v>0</v>
      </c>
      <c r="AG115" s="74">
        <f t="shared" si="6"/>
        <v>0.61199999999999999</v>
      </c>
      <c r="AH115" s="74">
        <f t="shared" si="6"/>
        <v>0</v>
      </c>
    </row>
    <row r="116" spans="23:34" x14ac:dyDescent="0.25">
      <c r="W116" s="8" t="s">
        <v>124</v>
      </c>
      <c r="X116" s="74">
        <f t="shared" si="6"/>
        <v>2.6970000000000001</v>
      </c>
      <c r="Y116" s="74">
        <f t="shared" si="6"/>
        <v>0</v>
      </c>
      <c r="Z116" s="74">
        <f t="shared" si="6"/>
        <v>0</v>
      </c>
      <c r="AA116" s="74">
        <f t="shared" si="6"/>
        <v>0</v>
      </c>
      <c r="AB116" s="74">
        <f t="shared" si="6"/>
        <v>0</v>
      </c>
      <c r="AC116" s="74">
        <f t="shared" si="6"/>
        <v>0</v>
      </c>
      <c r="AD116" s="74">
        <f t="shared" si="6"/>
        <v>0</v>
      </c>
      <c r="AE116" s="74">
        <f t="shared" si="6"/>
        <v>0</v>
      </c>
      <c r="AF116" s="74">
        <f t="shared" si="6"/>
        <v>0</v>
      </c>
      <c r="AG116" s="74">
        <f t="shared" si="6"/>
        <v>0</v>
      </c>
      <c r="AH116" s="74">
        <f t="shared" si="6"/>
        <v>0</v>
      </c>
    </row>
    <row r="117" spans="23:34" x14ac:dyDescent="0.25">
      <c r="W117" s="8" t="s">
        <v>126</v>
      </c>
      <c r="X117" s="74">
        <f t="shared" si="6"/>
        <v>4.4539999999999997</v>
      </c>
      <c r="Y117" s="74">
        <f t="shared" si="6"/>
        <v>0</v>
      </c>
      <c r="Z117" s="74">
        <f t="shared" si="6"/>
        <v>0</v>
      </c>
      <c r="AA117" s="74">
        <f t="shared" si="6"/>
        <v>4.4820000000000002</v>
      </c>
      <c r="AB117" s="74">
        <f t="shared" si="6"/>
        <v>0</v>
      </c>
      <c r="AC117" s="74">
        <f t="shared" si="6"/>
        <v>0</v>
      </c>
      <c r="AD117" s="74">
        <f t="shared" si="6"/>
        <v>0</v>
      </c>
      <c r="AE117" s="74">
        <f t="shared" si="6"/>
        <v>0</v>
      </c>
      <c r="AF117" s="74">
        <f t="shared" si="6"/>
        <v>0</v>
      </c>
      <c r="AG117" s="74">
        <f t="shared" si="6"/>
        <v>0</v>
      </c>
      <c r="AH117" s="74">
        <f t="shared" si="6"/>
        <v>0</v>
      </c>
    </row>
    <row r="118" spans="23:34" x14ac:dyDescent="0.25">
      <c r="W118" s="8" t="s">
        <v>149</v>
      </c>
      <c r="X118" s="74">
        <f t="shared" si="6"/>
        <v>1.3380000000000001</v>
      </c>
      <c r="Y118" s="74">
        <f t="shared" si="6"/>
        <v>0</v>
      </c>
      <c r="Z118" s="74">
        <f t="shared" si="6"/>
        <v>0</v>
      </c>
      <c r="AA118" s="74">
        <f t="shared" si="6"/>
        <v>0</v>
      </c>
      <c r="AB118" s="74">
        <f t="shared" si="6"/>
        <v>0</v>
      </c>
      <c r="AC118" s="74">
        <f t="shared" si="6"/>
        <v>0</v>
      </c>
      <c r="AD118" s="74">
        <f t="shared" si="6"/>
        <v>0</v>
      </c>
      <c r="AE118" s="74">
        <f t="shared" si="6"/>
        <v>0</v>
      </c>
      <c r="AF118" s="74">
        <f t="shared" si="6"/>
        <v>0</v>
      </c>
      <c r="AG118" s="74">
        <f t="shared" si="6"/>
        <v>0</v>
      </c>
      <c r="AH118" s="74">
        <f t="shared" si="6"/>
        <v>0</v>
      </c>
    </row>
    <row r="119" spans="23:34" x14ac:dyDescent="0.25">
      <c r="W119" s="8" t="s">
        <v>152</v>
      </c>
      <c r="X119" s="74">
        <f t="shared" si="6"/>
        <v>1.179</v>
      </c>
      <c r="Y119" s="74">
        <f t="shared" si="6"/>
        <v>0</v>
      </c>
      <c r="Z119" s="74">
        <f t="shared" si="6"/>
        <v>0</v>
      </c>
      <c r="AA119" s="74">
        <f t="shared" si="6"/>
        <v>0</v>
      </c>
      <c r="AB119" s="74">
        <f t="shared" si="6"/>
        <v>0</v>
      </c>
      <c r="AC119" s="74">
        <f t="shared" si="6"/>
        <v>0</v>
      </c>
      <c r="AD119" s="74">
        <f t="shared" si="6"/>
        <v>0</v>
      </c>
      <c r="AE119" s="74">
        <f t="shared" si="6"/>
        <v>0</v>
      </c>
      <c r="AF119" s="74">
        <f t="shared" si="6"/>
        <v>0</v>
      </c>
      <c r="AG119" s="74">
        <f t="shared" si="6"/>
        <v>0</v>
      </c>
      <c r="AH119" s="74">
        <f t="shared" si="6"/>
        <v>0</v>
      </c>
    </row>
    <row r="120" spans="23:34" x14ac:dyDescent="0.25">
      <c r="W120" s="8" t="s">
        <v>162</v>
      </c>
      <c r="X120" s="74">
        <f t="shared" si="6"/>
        <v>3.1829999999999998</v>
      </c>
      <c r="Y120" s="74">
        <f t="shared" si="6"/>
        <v>0</v>
      </c>
      <c r="Z120" s="74">
        <f t="shared" si="6"/>
        <v>0</v>
      </c>
      <c r="AA120" s="74">
        <f t="shared" si="6"/>
        <v>0</v>
      </c>
      <c r="AB120" s="74">
        <f t="shared" si="6"/>
        <v>0</v>
      </c>
      <c r="AC120" s="74">
        <f t="shared" si="6"/>
        <v>0</v>
      </c>
      <c r="AD120" s="74">
        <f t="shared" si="6"/>
        <v>0</v>
      </c>
      <c r="AE120" s="74">
        <f t="shared" si="6"/>
        <v>0</v>
      </c>
      <c r="AF120" s="74">
        <f t="shared" si="6"/>
        <v>0</v>
      </c>
      <c r="AG120" s="74">
        <f t="shared" si="6"/>
        <v>0</v>
      </c>
      <c r="AH120" s="74">
        <f t="shared" si="6"/>
        <v>0</v>
      </c>
    </row>
    <row r="121" spans="23:34" x14ac:dyDescent="0.25">
      <c r="W121" s="8" t="s">
        <v>163</v>
      </c>
      <c r="X121" s="74">
        <f t="shared" si="6"/>
        <v>10.042999999999999</v>
      </c>
      <c r="Y121" s="74">
        <f t="shared" si="6"/>
        <v>0</v>
      </c>
      <c r="Z121" s="74">
        <f t="shared" si="6"/>
        <v>0</v>
      </c>
      <c r="AA121" s="74">
        <f t="shared" si="6"/>
        <v>0</v>
      </c>
      <c r="AB121" s="74">
        <f t="shared" si="6"/>
        <v>0</v>
      </c>
      <c r="AC121" s="74">
        <f t="shared" si="6"/>
        <v>0</v>
      </c>
      <c r="AD121" s="74">
        <f t="shared" si="6"/>
        <v>2.952</v>
      </c>
      <c r="AE121" s="74">
        <f t="shared" si="6"/>
        <v>0</v>
      </c>
      <c r="AF121" s="74">
        <f t="shared" si="6"/>
        <v>0</v>
      </c>
      <c r="AG121" s="74">
        <f t="shared" si="6"/>
        <v>0.68400000000000005</v>
      </c>
      <c r="AH121" s="74">
        <f t="shared" si="6"/>
        <v>0</v>
      </c>
    </row>
    <row r="122" spans="23:34" x14ac:dyDescent="0.25">
      <c r="W122" s="8" t="s">
        <v>176</v>
      </c>
      <c r="X122" s="74">
        <f t="shared" ref="X122:AH131" si="7">SUMIFS(Qty,Product_Name,$W122,Sub_Channels,X$111)/1000</f>
        <v>8.0779999999999994</v>
      </c>
      <c r="Y122" s="74">
        <f t="shared" si="7"/>
        <v>0</v>
      </c>
      <c r="Z122" s="74">
        <f t="shared" si="7"/>
        <v>0</v>
      </c>
      <c r="AA122" s="74">
        <f t="shared" si="7"/>
        <v>0.68400000000000005</v>
      </c>
      <c r="AB122" s="74">
        <f t="shared" si="7"/>
        <v>0</v>
      </c>
      <c r="AC122" s="74">
        <f t="shared" si="7"/>
        <v>0</v>
      </c>
      <c r="AD122" s="74">
        <f t="shared" si="7"/>
        <v>3.0960000000000001</v>
      </c>
      <c r="AE122" s="74">
        <f t="shared" si="7"/>
        <v>0</v>
      </c>
      <c r="AF122" s="74">
        <f t="shared" si="7"/>
        <v>0</v>
      </c>
      <c r="AG122" s="74">
        <f t="shared" si="7"/>
        <v>0</v>
      </c>
      <c r="AH122" s="74">
        <f t="shared" si="7"/>
        <v>0</v>
      </c>
    </row>
    <row r="123" spans="23:34" x14ac:dyDescent="0.25">
      <c r="W123" s="8" t="s">
        <v>66</v>
      </c>
      <c r="X123" s="74">
        <f t="shared" si="7"/>
        <v>10.851000000000001</v>
      </c>
      <c r="Y123" s="74">
        <f t="shared" si="7"/>
        <v>2.512</v>
      </c>
      <c r="Z123" s="74">
        <f t="shared" si="7"/>
        <v>2.8170000000000002</v>
      </c>
      <c r="AA123" s="74">
        <f t="shared" si="7"/>
        <v>1.883</v>
      </c>
      <c r="AB123" s="74">
        <f t="shared" si="7"/>
        <v>0</v>
      </c>
      <c r="AC123" s="74">
        <f t="shared" si="7"/>
        <v>0</v>
      </c>
      <c r="AD123" s="74">
        <f t="shared" si="7"/>
        <v>9.0239999999999991</v>
      </c>
      <c r="AE123" s="74">
        <f t="shared" si="7"/>
        <v>0.73199999999999998</v>
      </c>
      <c r="AF123" s="74">
        <f t="shared" si="7"/>
        <v>2.6520000000000001</v>
      </c>
      <c r="AG123" s="74">
        <f t="shared" si="7"/>
        <v>3.907</v>
      </c>
      <c r="AH123" s="74">
        <f t="shared" si="7"/>
        <v>0</v>
      </c>
    </row>
    <row r="124" spans="23:34" x14ac:dyDescent="0.25">
      <c r="W124" s="8" t="s">
        <v>96</v>
      </c>
      <c r="X124" s="74">
        <f t="shared" si="7"/>
        <v>10.055999999999999</v>
      </c>
      <c r="Y124" s="74">
        <f t="shared" si="7"/>
        <v>0</v>
      </c>
      <c r="Z124" s="74">
        <f t="shared" si="7"/>
        <v>4.8410000000000002</v>
      </c>
      <c r="AA124" s="74">
        <f t="shared" si="7"/>
        <v>8.0329999999999995</v>
      </c>
      <c r="AB124" s="74">
        <f t="shared" si="7"/>
        <v>0</v>
      </c>
      <c r="AC124" s="74">
        <f t="shared" si="7"/>
        <v>0</v>
      </c>
      <c r="AD124" s="74">
        <f t="shared" si="7"/>
        <v>0</v>
      </c>
      <c r="AE124" s="74">
        <f t="shared" si="7"/>
        <v>0</v>
      </c>
      <c r="AF124" s="74">
        <f t="shared" si="7"/>
        <v>0</v>
      </c>
      <c r="AG124" s="74">
        <f t="shared" si="7"/>
        <v>1.8009999999999999</v>
      </c>
      <c r="AH124" s="74">
        <f t="shared" si="7"/>
        <v>0</v>
      </c>
    </row>
    <row r="125" spans="23:34" x14ac:dyDescent="0.25">
      <c r="W125" s="8" t="s">
        <v>199</v>
      </c>
      <c r="X125" s="74">
        <f t="shared" si="7"/>
        <v>0</v>
      </c>
      <c r="Y125" s="74">
        <f t="shared" si="7"/>
        <v>0</v>
      </c>
      <c r="Z125" s="74">
        <f t="shared" si="7"/>
        <v>0</v>
      </c>
      <c r="AA125" s="74">
        <f t="shared" si="7"/>
        <v>8.0090000000000003</v>
      </c>
      <c r="AB125" s="74">
        <f t="shared" si="7"/>
        <v>0</v>
      </c>
      <c r="AC125" s="74">
        <f t="shared" si="7"/>
        <v>0</v>
      </c>
      <c r="AD125" s="74">
        <f t="shared" si="7"/>
        <v>0</v>
      </c>
      <c r="AE125" s="74">
        <f t="shared" si="7"/>
        <v>0</v>
      </c>
      <c r="AF125" s="74">
        <f t="shared" si="7"/>
        <v>0</v>
      </c>
      <c r="AG125" s="74">
        <f t="shared" si="7"/>
        <v>0</v>
      </c>
      <c r="AH125" s="74">
        <f t="shared" si="7"/>
        <v>0</v>
      </c>
    </row>
    <row r="126" spans="23:34" x14ac:dyDescent="0.25">
      <c r="W126" s="8" t="s">
        <v>172</v>
      </c>
      <c r="X126" s="74">
        <f t="shared" si="7"/>
        <v>0</v>
      </c>
      <c r="Y126" s="74">
        <f t="shared" si="7"/>
        <v>0</v>
      </c>
      <c r="Z126" s="74">
        <f t="shared" si="7"/>
        <v>0</v>
      </c>
      <c r="AA126" s="74">
        <f t="shared" si="7"/>
        <v>1.3049999999999999</v>
      </c>
      <c r="AB126" s="74">
        <f t="shared" si="7"/>
        <v>0</v>
      </c>
      <c r="AC126" s="74">
        <f t="shared" si="7"/>
        <v>0</v>
      </c>
      <c r="AD126" s="74">
        <f t="shared" si="7"/>
        <v>0</v>
      </c>
      <c r="AE126" s="74">
        <f t="shared" si="7"/>
        <v>0</v>
      </c>
      <c r="AF126" s="74">
        <f t="shared" si="7"/>
        <v>0</v>
      </c>
      <c r="AG126" s="74">
        <f t="shared" si="7"/>
        <v>0</v>
      </c>
      <c r="AH126" s="74">
        <f t="shared" si="7"/>
        <v>0</v>
      </c>
    </row>
    <row r="127" spans="23:34" x14ac:dyDescent="0.25">
      <c r="W127" s="8" t="s">
        <v>193</v>
      </c>
      <c r="X127" s="74">
        <f t="shared" si="7"/>
        <v>0</v>
      </c>
      <c r="Y127" s="74">
        <f t="shared" si="7"/>
        <v>0</v>
      </c>
      <c r="Z127" s="74">
        <f t="shared" si="7"/>
        <v>0</v>
      </c>
      <c r="AA127" s="74">
        <f t="shared" si="7"/>
        <v>0</v>
      </c>
      <c r="AB127" s="74">
        <f t="shared" si="7"/>
        <v>5.4720000000000004</v>
      </c>
      <c r="AC127" s="74">
        <f t="shared" si="7"/>
        <v>2.2559999999999998</v>
      </c>
      <c r="AD127" s="74">
        <f t="shared" si="7"/>
        <v>1.494</v>
      </c>
      <c r="AE127" s="74">
        <f t="shared" si="7"/>
        <v>2.4239999999999999</v>
      </c>
      <c r="AF127" s="74">
        <f t="shared" si="7"/>
        <v>5.3959999999999999</v>
      </c>
      <c r="AG127" s="74">
        <f t="shared" si="7"/>
        <v>11.872999999999999</v>
      </c>
      <c r="AH127" s="74">
        <f t="shared" si="7"/>
        <v>0</v>
      </c>
    </row>
    <row r="128" spans="23:34" x14ac:dyDescent="0.25">
      <c r="W128" s="8" t="s">
        <v>184</v>
      </c>
      <c r="X128" s="74">
        <f t="shared" si="7"/>
        <v>0</v>
      </c>
      <c r="Y128" s="74">
        <f t="shared" si="7"/>
        <v>1.645</v>
      </c>
      <c r="Z128" s="74">
        <f t="shared" si="7"/>
        <v>0</v>
      </c>
      <c r="AA128" s="74">
        <f t="shared" si="7"/>
        <v>0</v>
      </c>
      <c r="AB128" s="74">
        <f t="shared" si="7"/>
        <v>0.624</v>
      </c>
      <c r="AC128" s="74">
        <f t="shared" si="7"/>
        <v>3.8919999999999999</v>
      </c>
      <c r="AD128" s="74">
        <f t="shared" si="7"/>
        <v>5.96</v>
      </c>
      <c r="AE128" s="74">
        <f t="shared" si="7"/>
        <v>5.0010000000000003</v>
      </c>
      <c r="AF128" s="74">
        <f t="shared" si="7"/>
        <v>10.988</v>
      </c>
      <c r="AG128" s="74">
        <f t="shared" si="7"/>
        <v>12.097</v>
      </c>
      <c r="AH128" s="74">
        <f t="shared" si="7"/>
        <v>0</v>
      </c>
    </row>
    <row r="129" spans="23:34" x14ac:dyDescent="0.25">
      <c r="W129" s="8" t="s">
        <v>74</v>
      </c>
      <c r="X129" s="74">
        <f t="shared" si="7"/>
        <v>2.8210000000000002</v>
      </c>
      <c r="Y129" s="74">
        <f t="shared" si="7"/>
        <v>0</v>
      </c>
      <c r="Z129" s="74">
        <f t="shared" si="7"/>
        <v>0</v>
      </c>
      <c r="AA129" s="74">
        <f t="shared" si="7"/>
        <v>1.0680000000000001</v>
      </c>
      <c r="AB129" s="74">
        <f t="shared" si="7"/>
        <v>0</v>
      </c>
      <c r="AC129" s="74">
        <f t="shared" si="7"/>
        <v>1.776</v>
      </c>
      <c r="AD129" s="74">
        <f t="shared" si="7"/>
        <v>4.7119999999999997</v>
      </c>
      <c r="AE129" s="74">
        <f t="shared" si="7"/>
        <v>2.444</v>
      </c>
      <c r="AF129" s="74">
        <f t="shared" si="7"/>
        <v>4.2</v>
      </c>
      <c r="AG129" s="74">
        <f t="shared" si="7"/>
        <v>6.48</v>
      </c>
      <c r="AH129" s="74">
        <f t="shared" si="7"/>
        <v>0</v>
      </c>
    </row>
    <row r="130" spans="23:34" x14ac:dyDescent="0.25">
      <c r="W130" s="8" t="s">
        <v>194</v>
      </c>
      <c r="X130" s="74">
        <f t="shared" si="7"/>
        <v>0</v>
      </c>
      <c r="Y130" s="74">
        <f t="shared" si="7"/>
        <v>0</v>
      </c>
      <c r="Z130" s="74">
        <f t="shared" si="7"/>
        <v>0</v>
      </c>
      <c r="AA130" s="74">
        <f t="shared" si="7"/>
        <v>0</v>
      </c>
      <c r="AB130" s="74">
        <f t="shared" si="7"/>
        <v>0</v>
      </c>
      <c r="AC130" s="74">
        <f t="shared" si="7"/>
        <v>0.52800000000000002</v>
      </c>
      <c r="AD130" s="74">
        <f t="shared" si="7"/>
        <v>0</v>
      </c>
      <c r="AE130" s="74">
        <f t="shared" si="7"/>
        <v>0.53200000000000003</v>
      </c>
      <c r="AF130" s="74">
        <f t="shared" si="7"/>
        <v>3.2480000000000002</v>
      </c>
      <c r="AG130" s="74">
        <f t="shared" si="7"/>
        <v>7.2359999999999998</v>
      </c>
      <c r="AH130" s="74">
        <f t="shared" si="7"/>
        <v>0</v>
      </c>
    </row>
    <row r="131" spans="23:34" x14ac:dyDescent="0.25">
      <c r="W131" s="8" t="s">
        <v>106</v>
      </c>
      <c r="X131" s="74">
        <f t="shared" si="7"/>
        <v>4.3620000000000001</v>
      </c>
      <c r="Y131" s="74">
        <f t="shared" si="7"/>
        <v>0</v>
      </c>
      <c r="Z131" s="74">
        <f t="shared" si="7"/>
        <v>0</v>
      </c>
      <c r="AA131" s="74">
        <f t="shared" si="7"/>
        <v>0.52200000000000002</v>
      </c>
      <c r="AB131" s="74">
        <f t="shared" si="7"/>
        <v>0</v>
      </c>
      <c r="AC131" s="74">
        <f t="shared" si="7"/>
        <v>0</v>
      </c>
      <c r="AD131" s="74">
        <f t="shared" si="7"/>
        <v>5.4459999999999997</v>
      </c>
      <c r="AE131" s="74">
        <f t="shared" si="7"/>
        <v>0</v>
      </c>
      <c r="AF131" s="74">
        <f t="shared" si="7"/>
        <v>1.26</v>
      </c>
      <c r="AG131" s="74">
        <f t="shared" si="7"/>
        <v>1.4330000000000001</v>
      </c>
      <c r="AH131" s="74">
        <f t="shared" si="7"/>
        <v>0</v>
      </c>
    </row>
    <row r="132" spans="23:34" x14ac:dyDescent="0.25">
      <c r="W132" s="8" t="s">
        <v>195</v>
      </c>
      <c r="X132" s="74">
        <f t="shared" ref="X132:AH141" si="8">SUMIFS(Qty,Product_Name,$W132,Sub_Channels,X$111)/1000</f>
        <v>0</v>
      </c>
      <c r="Y132" s="74">
        <f t="shared" si="8"/>
        <v>0</v>
      </c>
      <c r="Z132" s="74">
        <f t="shared" si="8"/>
        <v>0</v>
      </c>
      <c r="AA132" s="74">
        <f t="shared" si="8"/>
        <v>0</v>
      </c>
      <c r="AB132" s="74">
        <f t="shared" si="8"/>
        <v>0</v>
      </c>
      <c r="AC132" s="74">
        <f t="shared" si="8"/>
        <v>0</v>
      </c>
      <c r="AD132" s="74">
        <f t="shared" si="8"/>
        <v>0</v>
      </c>
      <c r="AE132" s="74">
        <f t="shared" si="8"/>
        <v>0</v>
      </c>
      <c r="AF132" s="74">
        <f t="shared" si="8"/>
        <v>0.86399999999999999</v>
      </c>
      <c r="AG132" s="74">
        <f t="shared" si="8"/>
        <v>0.69599999999999995</v>
      </c>
      <c r="AH132" s="74">
        <f t="shared" si="8"/>
        <v>0</v>
      </c>
    </row>
    <row r="133" spans="23:34" x14ac:dyDescent="0.25">
      <c r="W133" s="8" t="s">
        <v>196</v>
      </c>
      <c r="X133" s="74">
        <f t="shared" si="8"/>
        <v>0</v>
      </c>
      <c r="Y133" s="74">
        <f t="shared" si="8"/>
        <v>0</v>
      </c>
      <c r="Z133" s="74">
        <f t="shared" si="8"/>
        <v>0</v>
      </c>
      <c r="AA133" s="74">
        <f t="shared" si="8"/>
        <v>0</v>
      </c>
      <c r="AB133" s="74">
        <f t="shared" si="8"/>
        <v>0</v>
      </c>
      <c r="AC133" s="74">
        <f t="shared" si="8"/>
        <v>0</v>
      </c>
      <c r="AD133" s="74">
        <f t="shared" si="8"/>
        <v>0</v>
      </c>
      <c r="AE133" s="74">
        <f t="shared" si="8"/>
        <v>0</v>
      </c>
      <c r="AF133" s="74">
        <f t="shared" si="8"/>
        <v>0.84</v>
      </c>
      <c r="AG133" s="74">
        <f t="shared" si="8"/>
        <v>0.69599999999999995</v>
      </c>
      <c r="AH133" s="74">
        <f t="shared" si="8"/>
        <v>0</v>
      </c>
    </row>
    <row r="134" spans="23:34" x14ac:dyDescent="0.25">
      <c r="W134" s="8" t="s">
        <v>65</v>
      </c>
      <c r="X134" s="74">
        <f t="shared" si="8"/>
        <v>0.502</v>
      </c>
      <c r="Y134" s="74">
        <f t="shared" si="8"/>
        <v>0</v>
      </c>
      <c r="Z134" s="74">
        <f t="shared" si="8"/>
        <v>0</v>
      </c>
      <c r="AA134" s="74">
        <f t="shared" si="8"/>
        <v>0</v>
      </c>
      <c r="AB134" s="74">
        <f t="shared" si="8"/>
        <v>0</v>
      </c>
      <c r="AC134" s="74">
        <f t="shared" si="8"/>
        <v>0</v>
      </c>
      <c r="AD134" s="74">
        <f t="shared" si="8"/>
        <v>0</v>
      </c>
      <c r="AE134" s="74">
        <f t="shared" si="8"/>
        <v>0</v>
      </c>
      <c r="AF134" s="74">
        <f t="shared" si="8"/>
        <v>0</v>
      </c>
      <c r="AG134" s="74">
        <f t="shared" si="8"/>
        <v>0</v>
      </c>
      <c r="AH134" s="74">
        <f t="shared" si="8"/>
        <v>0</v>
      </c>
    </row>
    <row r="135" spans="23:34" x14ac:dyDescent="0.25">
      <c r="W135" s="8" t="s">
        <v>89</v>
      </c>
      <c r="X135" s="74">
        <f t="shared" si="8"/>
        <v>4.1189999999999998</v>
      </c>
      <c r="Y135" s="74">
        <f t="shared" si="8"/>
        <v>0</v>
      </c>
      <c r="Z135" s="74">
        <f t="shared" si="8"/>
        <v>0</v>
      </c>
      <c r="AA135" s="74">
        <f t="shared" si="8"/>
        <v>0</v>
      </c>
      <c r="AB135" s="74">
        <f t="shared" si="8"/>
        <v>0</v>
      </c>
      <c r="AC135" s="74">
        <f t="shared" si="8"/>
        <v>0</v>
      </c>
      <c r="AD135" s="74">
        <f t="shared" si="8"/>
        <v>0</v>
      </c>
      <c r="AE135" s="74">
        <f t="shared" si="8"/>
        <v>0</v>
      </c>
      <c r="AF135" s="74">
        <f t="shared" si="8"/>
        <v>0</v>
      </c>
      <c r="AG135" s="74">
        <f t="shared" si="8"/>
        <v>0</v>
      </c>
      <c r="AH135" s="74">
        <f t="shared" si="8"/>
        <v>0</v>
      </c>
    </row>
    <row r="136" spans="23:34" x14ac:dyDescent="0.25">
      <c r="W136" s="8" t="s">
        <v>103</v>
      </c>
      <c r="X136" s="74">
        <f t="shared" si="8"/>
        <v>2.3010000000000002</v>
      </c>
      <c r="Y136" s="74">
        <f t="shared" si="8"/>
        <v>0</v>
      </c>
      <c r="Z136" s="74">
        <f t="shared" si="8"/>
        <v>0</v>
      </c>
      <c r="AA136" s="74">
        <f t="shared" si="8"/>
        <v>0</v>
      </c>
      <c r="AB136" s="74">
        <f t="shared" si="8"/>
        <v>0</v>
      </c>
      <c r="AC136" s="74">
        <f t="shared" si="8"/>
        <v>0</v>
      </c>
      <c r="AD136" s="74">
        <f t="shared" si="8"/>
        <v>0</v>
      </c>
      <c r="AE136" s="74">
        <f t="shared" si="8"/>
        <v>0</v>
      </c>
      <c r="AF136" s="74">
        <f t="shared" si="8"/>
        <v>0</v>
      </c>
      <c r="AG136" s="74">
        <f t="shared" si="8"/>
        <v>0</v>
      </c>
      <c r="AH136" s="74">
        <f t="shared" si="8"/>
        <v>0</v>
      </c>
    </row>
    <row r="137" spans="23:34" x14ac:dyDescent="0.25">
      <c r="W137" s="8" t="s">
        <v>197</v>
      </c>
      <c r="X137" s="74">
        <f t="shared" si="8"/>
        <v>0.71</v>
      </c>
      <c r="Y137" s="74">
        <f t="shared" si="8"/>
        <v>0</v>
      </c>
      <c r="Z137" s="74">
        <f t="shared" si="8"/>
        <v>0</v>
      </c>
      <c r="AA137" s="74">
        <f t="shared" si="8"/>
        <v>3.2549999999999999</v>
      </c>
      <c r="AB137" s="74">
        <f t="shared" si="8"/>
        <v>0</v>
      </c>
      <c r="AC137" s="74">
        <f t="shared" si="8"/>
        <v>0</v>
      </c>
      <c r="AD137" s="74">
        <f t="shared" si="8"/>
        <v>0</v>
      </c>
      <c r="AE137" s="74">
        <f t="shared" si="8"/>
        <v>0</v>
      </c>
      <c r="AF137" s="74">
        <f t="shared" si="8"/>
        <v>0</v>
      </c>
      <c r="AG137" s="74">
        <f t="shared" si="8"/>
        <v>0</v>
      </c>
      <c r="AH137" s="74">
        <f t="shared" si="8"/>
        <v>0</v>
      </c>
    </row>
    <row r="138" spans="23:34" x14ac:dyDescent="0.25">
      <c r="W138" s="8" t="s">
        <v>132</v>
      </c>
      <c r="X138" s="74">
        <f t="shared" si="8"/>
        <v>2.4500000000000002</v>
      </c>
      <c r="Y138" s="74">
        <f t="shared" si="8"/>
        <v>0.50900000000000001</v>
      </c>
      <c r="Z138" s="74">
        <f t="shared" si="8"/>
        <v>0</v>
      </c>
      <c r="AA138" s="74">
        <f t="shared" si="8"/>
        <v>0</v>
      </c>
      <c r="AB138" s="74">
        <f t="shared" si="8"/>
        <v>0</v>
      </c>
      <c r="AC138" s="74">
        <f t="shared" si="8"/>
        <v>0</v>
      </c>
      <c r="AD138" s="74">
        <f t="shared" si="8"/>
        <v>0</v>
      </c>
      <c r="AE138" s="74">
        <f t="shared" si="8"/>
        <v>0</v>
      </c>
      <c r="AF138" s="74">
        <f t="shared" si="8"/>
        <v>0</v>
      </c>
      <c r="AG138" s="74">
        <f t="shared" si="8"/>
        <v>0</v>
      </c>
      <c r="AH138" s="74">
        <f t="shared" si="8"/>
        <v>0</v>
      </c>
    </row>
    <row r="139" spans="23:34" x14ac:dyDescent="0.25">
      <c r="W139" s="8" t="s">
        <v>167</v>
      </c>
      <c r="X139" s="74">
        <f t="shared" si="8"/>
        <v>0.55100000000000005</v>
      </c>
      <c r="Y139" s="74">
        <f t="shared" si="8"/>
        <v>0</v>
      </c>
      <c r="Z139" s="74">
        <f t="shared" si="8"/>
        <v>0</v>
      </c>
      <c r="AA139" s="74">
        <f t="shared" si="8"/>
        <v>0</v>
      </c>
      <c r="AB139" s="74">
        <f t="shared" si="8"/>
        <v>0</v>
      </c>
      <c r="AC139" s="74">
        <f t="shared" si="8"/>
        <v>0</v>
      </c>
      <c r="AD139" s="74">
        <f t="shared" si="8"/>
        <v>0</v>
      </c>
      <c r="AE139" s="74">
        <f t="shared" si="8"/>
        <v>0</v>
      </c>
      <c r="AF139" s="74">
        <f t="shared" si="8"/>
        <v>0</v>
      </c>
      <c r="AG139" s="74">
        <f t="shared" si="8"/>
        <v>0</v>
      </c>
      <c r="AH139" s="74">
        <f t="shared" si="8"/>
        <v>0</v>
      </c>
    </row>
    <row r="140" spans="23:34" x14ac:dyDescent="0.25">
      <c r="W140" s="8" t="s">
        <v>94</v>
      </c>
      <c r="X140" s="74">
        <f t="shared" si="8"/>
        <v>0</v>
      </c>
      <c r="Y140" s="74">
        <f t="shared" si="8"/>
        <v>0</v>
      </c>
      <c r="Z140" s="74">
        <f t="shared" si="8"/>
        <v>0</v>
      </c>
      <c r="AA140" s="74">
        <f t="shared" si="8"/>
        <v>0.71499999999999997</v>
      </c>
      <c r="AB140" s="74">
        <f t="shared" si="8"/>
        <v>0</v>
      </c>
      <c r="AC140" s="74">
        <f t="shared" si="8"/>
        <v>0</v>
      </c>
      <c r="AD140" s="74">
        <f t="shared" si="8"/>
        <v>0</v>
      </c>
      <c r="AE140" s="74">
        <f t="shared" si="8"/>
        <v>0</v>
      </c>
      <c r="AF140" s="74">
        <f t="shared" si="8"/>
        <v>0</v>
      </c>
      <c r="AG140" s="74">
        <f t="shared" si="8"/>
        <v>0</v>
      </c>
      <c r="AH140" s="74">
        <f t="shared" si="8"/>
        <v>0</v>
      </c>
    </row>
    <row r="141" spans="23:34" x14ac:dyDescent="0.25">
      <c r="W141" s="8" t="s">
        <v>198</v>
      </c>
      <c r="X141" s="74">
        <f t="shared" si="8"/>
        <v>0</v>
      </c>
      <c r="Y141" s="74">
        <f t="shared" si="8"/>
        <v>0</v>
      </c>
      <c r="Z141" s="74">
        <f t="shared" si="8"/>
        <v>0</v>
      </c>
      <c r="AA141" s="74">
        <f t="shared" si="8"/>
        <v>0</v>
      </c>
      <c r="AB141" s="74">
        <f t="shared" si="8"/>
        <v>0</v>
      </c>
      <c r="AC141" s="74">
        <f t="shared" si="8"/>
        <v>0</v>
      </c>
      <c r="AD141" s="74">
        <f t="shared" si="8"/>
        <v>0</v>
      </c>
      <c r="AE141" s="74">
        <f t="shared" si="8"/>
        <v>0</v>
      </c>
      <c r="AF141" s="74">
        <f t="shared" si="8"/>
        <v>0</v>
      </c>
      <c r="AG141" s="74">
        <f t="shared" si="8"/>
        <v>0</v>
      </c>
      <c r="AH141" s="74">
        <f t="shared" si="8"/>
        <v>0.97099999999999997</v>
      </c>
    </row>
    <row r="142" spans="23:34" x14ac:dyDescent="0.25">
      <c r="W142" s="64" t="s">
        <v>1</v>
      </c>
      <c r="X142" s="86">
        <f t="shared" ref="X142:AH142" si="9">SUM(X112:X141)</f>
        <v>98.129999999999981</v>
      </c>
      <c r="Y142" s="86">
        <f t="shared" si="9"/>
        <v>7.34</v>
      </c>
      <c r="Z142" s="90">
        <f t="shared" si="9"/>
        <v>11.121</v>
      </c>
      <c r="AA142" s="90">
        <f t="shared" si="9"/>
        <v>42.78</v>
      </c>
      <c r="AB142" s="90">
        <f t="shared" si="9"/>
        <v>6.0960000000000001</v>
      </c>
      <c r="AC142" s="90">
        <f t="shared" si="9"/>
        <v>8.452</v>
      </c>
      <c r="AD142" s="90">
        <f t="shared" si="9"/>
        <v>40.218999999999994</v>
      </c>
      <c r="AE142" s="90">
        <f t="shared" si="9"/>
        <v>11.709</v>
      </c>
      <c r="AF142" s="90">
        <f t="shared" si="9"/>
        <v>30.864000000000001</v>
      </c>
      <c r="AG142" s="90">
        <f t="shared" si="9"/>
        <v>52.09899999999999</v>
      </c>
      <c r="AH142" s="90">
        <f t="shared" si="9"/>
        <v>0.97099999999999997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207</v>
      </c>
      <c r="B1" t="s">
        <v>252</v>
      </c>
      <c r="C1" t="s">
        <v>253</v>
      </c>
    </row>
    <row r="2" spans="1:3" x14ac:dyDescent="0.25">
      <c r="A2">
        <v>4566</v>
      </c>
      <c r="B2">
        <v>34</v>
      </c>
      <c r="C2">
        <f>IFERROR(A2/B2,0)</f>
        <v>134.29411764705881</v>
      </c>
    </row>
    <row r="3" spans="1:3" x14ac:dyDescent="0.25">
      <c r="A3">
        <v>5677</v>
      </c>
      <c r="B3">
        <v>0</v>
      </c>
      <c r="C3">
        <f>IFERROR(A3/B3,0)</f>
        <v>0</v>
      </c>
    </row>
    <row r="4" spans="1:3" x14ac:dyDescent="0.25">
      <c r="A4">
        <v>7866</v>
      </c>
      <c r="B4">
        <v>78</v>
      </c>
      <c r="C4">
        <f>IFERROR(A4/B4,0)</f>
        <v>100.84615384615384</v>
      </c>
    </row>
    <row r="5" spans="1:3" x14ac:dyDescent="0.25">
      <c r="A5">
        <v>8766</v>
      </c>
      <c r="B5">
        <v>0</v>
      </c>
      <c r="C5">
        <f>IFERROR(A5/B5,0)</f>
        <v>0</v>
      </c>
    </row>
    <row r="6" spans="1:3" x14ac:dyDescent="0.25">
      <c r="A6">
        <v>4322</v>
      </c>
      <c r="B6">
        <v>90</v>
      </c>
      <c r="C6">
        <f>IFERROR(A6/B6,0)</f>
        <v>48.022222222222226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workbookViewId="0">
      <selection activeCell="AB1" sqref="AB1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15.42578125" bestFit="1" customWidth="1"/>
    <col min="4" max="4" width="51.5703125" bestFit="1" customWidth="1"/>
    <col min="5" max="5" width="18.85546875" bestFit="1" customWidth="1"/>
    <col min="9" max="9" width="9.85546875" bestFit="1" customWidth="1"/>
    <col min="10" max="10" width="51.5703125" bestFit="1" customWidth="1"/>
    <col min="13" max="13" width="12" bestFit="1" customWidth="1"/>
    <col min="14" max="14" width="51.5703125" bestFit="1" customWidth="1"/>
    <col min="17" max="17" width="15.42578125" bestFit="1" customWidth="1"/>
    <col min="18" max="18" width="51.5703125" bestFit="1" customWidth="1"/>
    <col min="21" max="21" width="51.5703125" bestFit="1" customWidth="1"/>
    <col min="22" max="22" width="18.85546875" bestFit="1" customWidth="1"/>
    <col min="26" max="26" width="51.5703125" bestFit="1" customWidth="1"/>
  </cols>
  <sheetData>
    <row r="1" spans="1:26" x14ac:dyDescent="0.25">
      <c r="A1" s="45" t="s">
        <v>19</v>
      </c>
      <c r="B1" s="45" t="s">
        <v>2</v>
      </c>
      <c r="C1" s="45" t="s">
        <v>35</v>
      </c>
      <c r="D1" s="45" t="s">
        <v>4</v>
      </c>
      <c r="E1" s="45" t="s">
        <v>6</v>
      </c>
      <c r="I1" s="45" t="s">
        <v>19</v>
      </c>
      <c r="J1" s="45" t="s">
        <v>4</v>
      </c>
      <c r="M1" s="45" t="s">
        <v>2</v>
      </c>
      <c r="N1" s="45" t="s">
        <v>4</v>
      </c>
      <c r="Q1" s="45" t="s">
        <v>35</v>
      </c>
      <c r="R1" s="45" t="s">
        <v>4</v>
      </c>
      <c r="U1" s="45" t="s">
        <v>4</v>
      </c>
      <c r="V1" s="45" t="s">
        <v>6</v>
      </c>
      <c r="Z1" s="45"/>
    </row>
    <row r="2" spans="1:26" x14ac:dyDescent="0.25">
      <c r="A2" s="22">
        <v>44166</v>
      </c>
      <c r="B2" t="s">
        <v>9</v>
      </c>
      <c r="C2" t="s">
        <v>16</v>
      </c>
      <c r="D2" t="s">
        <v>52</v>
      </c>
      <c r="E2" t="s">
        <v>11</v>
      </c>
      <c r="I2" s="22">
        <v>44166</v>
      </c>
      <c r="J2" t="s">
        <v>52</v>
      </c>
      <c r="M2" t="s">
        <v>9</v>
      </c>
      <c r="N2" t="s">
        <v>52</v>
      </c>
      <c r="Q2" t="s">
        <v>16</v>
      </c>
      <c r="R2" t="s">
        <v>52</v>
      </c>
      <c r="U2" t="s">
        <v>52</v>
      </c>
      <c r="V2" t="s">
        <v>11</v>
      </c>
    </row>
    <row r="3" spans="1:26" x14ac:dyDescent="0.25">
      <c r="A3" s="22">
        <v>44197</v>
      </c>
      <c r="B3" t="s">
        <v>23</v>
      </c>
      <c r="C3" t="s">
        <v>20</v>
      </c>
      <c r="D3" t="s">
        <v>53</v>
      </c>
      <c r="E3" t="s">
        <v>13</v>
      </c>
      <c r="I3" s="22">
        <v>44166</v>
      </c>
      <c r="J3" t="s">
        <v>53</v>
      </c>
      <c r="M3" t="s">
        <v>9</v>
      </c>
      <c r="N3" t="s">
        <v>53</v>
      </c>
      <c r="Q3" t="s">
        <v>16</v>
      </c>
      <c r="R3" t="s">
        <v>53</v>
      </c>
      <c r="U3" t="s">
        <v>53</v>
      </c>
      <c r="V3" t="s">
        <v>11</v>
      </c>
    </row>
    <row r="4" spans="1:26" x14ac:dyDescent="0.25">
      <c r="A4" s="22">
        <v>44228</v>
      </c>
      <c r="B4" t="s">
        <v>24</v>
      </c>
      <c r="C4" t="s">
        <v>21</v>
      </c>
      <c r="D4" t="s">
        <v>60</v>
      </c>
      <c r="E4" t="s">
        <v>15</v>
      </c>
      <c r="I4" s="22">
        <v>44166</v>
      </c>
      <c r="J4" t="s">
        <v>60</v>
      </c>
      <c r="M4" t="s">
        <v>9</v>
      </c>
      <c r="N4" t="s">
        <v>60</v>
      </c>
      <c r="Q4" t="s">
        <v>16</v>
      </c>
      <c r="R4" t="s">
        <v>60</v>
      </c>
      <c r="U4" t="s">
        <v>60</v>
      </c>
      <c r="V4" t="s">
        <v>11</v>
      </c>
    </row>
    <row r="5" spans="1:26" x14ac:dyDescent="0.25">
      <c r="A5" s="22">
        <v>44256</v>
      </c>
      <c r="C5" t="s">
        <v>23</v>
      </c>
      <c r="D5" t="s">
        <v>64</v>
      </c>
      <c r="I5" s="22">
        <v>44166</v>
      </c>
      <c r="J5" t="s">
        <v>64</v>
      </c>
      <c r="M5" t="s">
        <v>9</v>
      </c>
      <c r="N5" t="s">
        <v>64</v>
      </c>
      <c r="Q5" t="s">
        <v>16</v>
      </c>
      <c r="R5" t="s">
        <v>64</v>
      </c>
      <c r="U5" t="s">
        <v>64</v>
      </c>
      <c r="V5" t="s">
        <v>13</v>
      </c>
    </row>
    <row r="6" spans="1:26" x14ac:dyDescent="0.25">
      <c r="C6" t="s">
        <v>25</v>
      </c>
      <c r="D6" t="s">
        <v>124</v>
      </c>
      <c r="I6" s="22">
        <v>44166</v>
      </c>
      <c r="J6" t="s">
        <v>124</v>
      </c>
      <c r="M6" t="s">
        <v>9</v>
      </c>
      <c r="N6" t="s">
        <v>124</v>
      </c>
      <c r="Q6" t="s">
        <v>16</v>
      </c>
      <c r="R6" t="s">
        <v>124</v>
      </c>
      <c r="U6" t="s">
        <v>124</v>
      </c>
      <c r="V6" t="s">
        <v>11</v>
      </c>
    </row>
    <row r="7" spans="1:26" x14ac:dyDescent="0.25">
      <c r="C7" t="s">
        <v>26</v>
      </c>
      <c r="D7" t="s">
        <v>126</v>
      </c>
      <c r="I7" s="22">
        <v>44166</v>
      </c>
      <c r="J7" t="s">
        <v>126</v>
      </c>
      <c r="M7" t="s">
        <v>9</v>
      </c>
      <c r="N7" t="s">
        <v>126</v>
      </c>
      <c r="Q7" t="s">
        <v>16</v>
      </c>
      <c r="R7" t="s">
        <v>126</v>
      </c>
      <c r="U7" t="s">
        <v>126</v>
      </c>
      <c r="V7" t="s">
        <v>11</v>
      </c>
    </row>
    <row r="8" spans="1:26" x14ac:dyDescent="0.25">
      <c r="C8" t="s">
        <v>27</v>
      </c>
      <c r="D8" t="s">
        <v>149</v>
      </c>
      <c r="I8" s="22">
        <v>44166</v>
      </c>
      <c r="J8" t="s">
        <v>149</v>
      </c>
      <c r="M8" t="s">
        <v>9</v>
      </c>
      <c r="N8" t="s">
        <v>149</v>
      </c>
      <c r="Q8" t="s">
        <v>16</v>
      </c>
      <c r="R8" t="s">
        <v>149</v>
      </c>
      <c r="U8" t="s">
        <v>149</v>
      </c>
      <c r="V8" t="s">
        <v>15</v>
      </c>
    </row>
    <row r="9" spans="1:26" x14ac:dyDescent="0.25">
      <c r="C9" t="s">
        <v>28</v>
      </c>
      <c r="D9" t="s">
        <v>152</v>
      </c>
      <c r="I9" s="22">
        <v>44166</v>
      </c>
      <c r="J9" t="s">
        <v>152</v>
      </c>
      <c r="M9" t="s">
        <v>9</v>
      </c>
      <c r="N9" t="s">
        <v>152</v>
      </c>
      <c r="Q9" t="s">
        <v>16</v>
      </c>
      <c r="R9" t="s">
        <v>152</v>
      </c>
      <c r="U9" t="s">
        <v>152</v>
      </c>
      <c r="V9" t="s">
        <v>15</v>
      </c>
    </row>
    <row r="10" spans="1:26" x14ac:dyDescent="0.25">
      <c r="C10" t="s">
        <v>29</v>
      </c>
      <c r="D10" t="s">
        <v>162</v>
      </c>
      <c r="I10" s="22">
        <v>44166</v>
      </c>
      <c r="J10" t="s">
        <v>162</v>
      </c>
      <c r="M10" t="s">
        <v>9</v>
      </c>
      <c r="N10" t="s">
        <v>162</v>
      </c>
      <c r="Q10" t="s">
        <v>16</v>
      </c>
      <c r="R10" t="s">
        <v>162</v>
      </c>
      <c r="U10" t="s">
        <v>162</v>
      </c>
      <c r="V10" t="s">
        <v>11</v>
      </c>
    </row>
    <row r="11" spans="1:26" x14ac:dyDescent="0.25">
      <c r="C11" t="s">
        <v>30</v>
      </c>
      <c r="D11" t="s">
        <v>163</v>
      </c>
      <c r="I11" s="22">
        <v>44166</v>
      </c>
      <c r="J11" t="s">
        <v>163</v>
      </c>
      <c r="M11" t="s">
        <v>9</v>
      </c>
      <c r="N11" t="s">
        <v>163</v>
      </c>
      <c r="Q11" t="s">
        <v>16</v>
      </c>
      <c r="R11" t="s">
        <v>163</v>
      </c>
      <c r="U11" t="s">
        <v>163</v>
      </c>
      <c r="V11" t="s">
        <v>11</v>
      </c>
    </row>
    <row r="12" spans="1:26" x14ac:dyDescent="0.25">
      <c r="C12" t="s">
        <v>22</v>
      </c>
      <c r="D12" t="s">
        <v>176</v>
      </c>
      <c r="I12" s="22">
        <v>44166</v>
      </c>
      <c r="J12" t="s">
        <v>176</v>
      </c>
      <c r="M12" t="s">
        <v>9</v>
      </c>
      <c r="N12" t="s">
        <v>176</v>
      </c>
      <c r="Q12" t="s">
        <v>16</v>
      </c>
      <c r="R12" t="s">
        <v>176</v>
      </c>
      <c r="U12" t="s">
        <v>176</v>
      </c>
      <c r="V12" t="s">
        <v>11</v>
      </c>
    </row>
    <row r="13" spans="1:26" x14ac:dyDescent="0.25">
      <c r="D13" t="s">
        <v>66</v>
      </c>
      <c r="I13" s="22">
        <v>44166</v>
      </c>
      <c r="J13" t="s">
        <v>66</v>
      </c>
      <c r="M13" t="s">
        <v>9</v>
      </c>
      <c r="N13" t="s">
        <v>66</v>
      </c>
      <c r="Q13" t="s">
        <v>20</v>
      </c>
      <c r="R13" t="s">
        <v>60</v>
      </c>
      <c r="U13" t="s">
        <v>66</v>
      </c>
      <c r="V13" t="s">
        <v>11</v>
      </c>
    </row>
    <row r="14" spans="1:26" x14ac:dyDescent="0.25">
      <c r="D14" t="s">
        <v>96</v>
      </c>
      <c r="I14" s="22">
        <v>44166</v>
      </c>
      <c r="J14" t="s">
        <v>96</v>
      </c>
      <c r="M14" t="s">
        <v>9</v>
      </c>
      <c r="N14" t="s">
        <v>96</v>
      </c>
      <c r="Q14" t="s">
        <v>20</v>
      </c>
      <c r="R14" t="s">
        <v>66</v>
      </c>
      <c r="U14" t="s">
        <v>96</v>
      </c>
      <c r="V14" t="s">
        <v>11</v>
      </c>
    </row>
    <row r="15" spans="1:26" x14ac:dyDescent="0.25">
      <c r="D15" t="s">
        <v>199</v>
      </c>
      <c r="I15" s="22">
        <v>44166</v>
      </c>
      <c r="J15" t="s">
        <v>199</v>
      </c>
      <c r="M15" t="s">
        <v>23</v>
      </c>
      <c r="N15" t="s">
        <v>53</v>
      </c>
      <c r="Q15" t="s">
        <v>21</v>
      </c>
      <c r="R15" t="s">
        <v>53</v>
      </c>
      <c r="U15" t="s">
        <v>199</v>
      </c>
      <c r="V15" t="s">
        <v>15</v>
      </c>
    </row>
    <row r="16" spans="1:26" x14ac:dyDescent="0.25">
      <c r="D16" t="s">
        <v>172</v>
      </c>
      <c r="I16" s="22">
        <v>44166</v>
      </c>
      <c r="J16" t="s">
        <v>172</v>
      </c>
      <c r="M16" t="s">
        <v>23</v>
      </c>
      <c r="N16" t="s">
        <v>96</v>
      </c>
      <c r="Q16" t="s">
        <v>21</v>
      </c>
      <c r="R16" t="s">
        <v>66</v>
      </c>
      <c r="U16" t="s">
        <v>172</v>
      </c>
      <c r="V16" t="s">
        <v>11</v>
      </c>
    </row>
    <row r="17" spans="4:22" x14ac:dyDescent="0.25">
      <c r="D17" t="s">
        <v>193</v>
      </c>
      <c r="I17" s="22">
        <v>44166</v>
      </c>
      <c r="J17" t="s">
        <v>193</v>
      </c>
      <c r="M17" t="s">
        <v>23</v>
      </c>
      <c r="N17" t="s">
        <v>199</v>
      </c>
      <c r="Q17" t="s">
        <v>21</v>
      </c>
      <c r="R17" t="s">
        <v>96</v>
      </c>
      <c r="U17" t="s">
        <v>193</v>
      </c>
      <c r="V17" t="s">
        <v>13</v>
      </c>
    </row>
    <row r="18" spans="4:22" x14ac:dyDescent="0.25">
      <c r="D18" t="s">
        <v>184</v>
      </c>
      <c r="I18" s="22">
        <v>44166</v>
      </c>
      <c r="J18" t="s">
        <v>184</v>
      </c>
      <c r="M18" t="s">
        <v>23</v>
      </c>
      <c r="N18" t="s">
        <v>172</v>
      </c>
      <c r="Q18" t="s">
        <v>23</v>
      </c>
      <c r="R18" t="s">
        <v>53</v>
      </c>
      <c r="U18" t="s">
        <v>184</v>
      </c>
      <c r="V18" t="s">
        <v>13</v>
      </c>
    </row>
    <row r="19" spans="4:22" x14ac:dyDescent="0.25">
      <c r="D19" t="s">
        <v>74</v>
      </c>
      <c r="I19" s="22">
        <v>44166</v>
      </c>
      <c r="J19" t="s">
        <v>74</v>
      </c>
      <c r="M19" t="s">
        <v>24</v>
      </c>
      <c r="N19" t="s">
        <v>193</v>
      </c>
      <c r="Q19" t="s">
        <v>23</v>
      </c>
      <c r="R19" t="s">
        <v>96</v>
      </c>
      <c r="U19" t="s">
        <v>74</v>
      </c>
      <c r="V19" t="s">
        <v>15</v>
      </c>
    </row>
    <row r="20" spans="4:22" x14ac:dyDescent="0.25">
      <c r="D20" t="s">
        <v>194</v>
      </c>
      <c r="I20" s="22">
        <v>44166</v>
      </c>
      <c r="J20" t="s">
        <v>194</v>
      </c>
      <c r="M20" t="s">
        <v>24</v>
      </c>
      <c r="N20" t="s">
        <v>184</v>
      </c>
      <c r="Q20" t="s">
        <v>23</v>
      </c>
      <c r="R20" t="s">
        <v>199</v>
      </c>
      <c r="U20" t="s">
        <v>194</v>
      </c>
      <c r="V20" t="s">
        <v>13</v>
      </c>
    </row>
    <row r="21" spans="4:22" x14ac:dyDescent="0.25">
      <c r="D21" t="s">
        <v>106</v>
      </c>
      <c r="I21" s="22">
        <v>44166</v>
      </c>
      <c r="J21" t="s">
        <v>106</v>
      </c>
      <c r="M21" t="s">
        <v>24</v>
      </c>
      <c r="N21" t="s">
        <v>74</v>
      </c>
      <c r="Q21" t="s">
        <v>23</v>
      </c>
      <c r="R21" t="s">
        <v>172</v>
      </c>
      <c r="U21" t="s">
        <v>106</v>
      </c>
      <c r="V21" t="s">
        <v>11</v>
      </c>
    </row>
    <row r="22" spans="4:22" x14ac:dyDescent="0.25">
      <c r="D22" t="s">
        <v>195</v>
      </c>
      <c r="I22" s="22">
        <v>44166</v>
      </c>
      <c r="J22" t="s">
        <v>195</v>
      </c>
      <c r="M22" t="s">
        <v>24</v>
      </c>
      <c r="N22" t="s">
        <v>194</v>
      </c>
      <c r="Q22" t="s">
        <v>25</v>
      </c>
      <c r="R22" t="s">
        <v>193</v>
      </c>
      <c r="U22" t="s">
        <v>195</v>
      </c>
      <c r="V22" t="s">
        <v>15</v>
      </c>
    </row>
    <row r="23" spans="4:22" x14ac:dyDescent="0.25">
      <c r="D23" t="s">
        <v>196</v>
      </c>
      <c r="I23" s="22">
        <v>44166</v>
      </c>
      <c r="J23" t="s">
        <v>196</v>
      </c>
      <c r="M23" t="s">
        <v>24</v>
      </c>
      <c r="N23" t="s">
        <v>60</v>
      </c>
      <c r="Q23" t="s">
        <v>26</v>
      </c>
      <c r="R23" t="s">
        <v>184</v>
      </c>
      <c r="U23" t="s">
        <v>196</v>
      </c>
      <c r="V23" t="s">
        <v>15</v>
      </c>
    </row>
    <row r="24" spans="4:22" x14ac:dyDescent="0.25">
      <c r="D24" t="s">
        <v>65</v>
      </c>
      <c r="I24" s="22">
        <v>44197</v>
      </c>
      <c r="J24" t="s">
        <v>52</v>
      </c>
      <c r="M24" t="s">
        <v>24</v>
      </c>
      <c r="N24" t="s">
        <v>66</v>
      </c>
      <c r="Q24" t="s">
        <v>26</v>
      </c>
      <c r="R24" t="s">
        <v>74</v>
      </c>
      <c r="U24" t="s">
        <v>65</v>
      </c>
      <c r="V24" t="s">
        <v>11</v>
      </c>
    </row>
    <row r="25" spans="4:22" x14ac:dyDescent="0.25">
      <c r="D25" t="s">
        <v>89</v>
      </c>
      <c r="I25" s="22">
        <v>44197</v>
      </c>
      <c r="J25" t="s">
        <v>53</v>
      </c>
      <c r="M25" t="s">
        <v>24</v>
      </c>
      <c r="N25" t="s">
        <v>106</v>
      </c>
      <c r="Q25" t="s">
        <v>26</v>
      </c>
      <c r="R25" t="s">
        <v>193</v>
      </c>
      <c r="U25" t="s">
        <v>89</v>
      </c>
      <c r="V25" t="s">
        <v>11</v>
      </c>
    </row>
    <row r="26" spans="4:22" x14ac:dyDescent="0.25">
      <c r="D26" t="s">
        <v>103</v>
      </c>
      <c r="I26" s="22">
        <v>44197</v>
      </c>
      <c r="J26" t="s">
        <v>60</v>
      </c>
      <c r="M26" t="s">
        <v>24</v>
      </c>
      <c r="N26" t="s">
        <v>163</v>
      </c>
      <c r="Q26" t="s">
        <v>26</v>
      </c>
      <c r="R26" t="s">
        <v>194</v>
      </c>
      <c r="U26" t="s">
        <v>103</v>
      </c>
      <c r="V26" t="s">
        <v>11</v>
      </c>
    </row>
    <row r="27" spans="4:22" x14ac:dyDescent="0.25">
      <c r="D27" t="s">
        <v>197</v>
      </c>
      <c r="I27" s="22">
        <v>44197</v>
      </c>
      <c r="J27" t="s">
        <v>64</v>
      </c>
      <c r="M27" t="s">
        <v>24</v>
      </c>
      <c r="N27" t="s">
        <v>176</v>
      </c>
      <c r="Q27" t="s">
        <v>27</v>
      </c>
      <c r="R27" t="s">
        <v>60</v>
      </c>
      <c r="U27" t="s">
        <v>197</v>
      </c>
      <c r="V27" t="s">
        <v>15</v>
      </c>
    </row>
    <row r="28" spans="4:22" x14ac:dyDescent="0.25">
      <c r="D28" t="s">
        <v>132</v>
      </c>
      <c r="I28" s="22">
        <v>44197</v>
      </c>
      <c r="J28" t="s">
        <v>65</v>
      </c>
      <c r="M28" t="s">
        <v>24</v>
      </c>
      <c r="N28" t="s">
        <v>195</v>
      </c>
      <c r="Q28" t="s">
        <v>27</v>
      </c>
      <c r="R28" t="s">
        <v>184</v>
      </c>
      <c r="U28" t="s">
        <v>132</v>
      </c>
      <c r="V28" t="s">
        <v>13</v>
      </c>
    </row>
    <row r="29" spans="4:22" x14ac:dyDescent="0.25">
      <c r="D29" t="s">
        <v>167</v>
      </c>
      <c r="I29" s="22">
        <v>44197</v>
      </c>
      <c r="J29" t="s">
        <v>66</v>
      </c>
      <c r="M29" t="s">
        <v>24</v>
      </c>
      <c r="N29" t="s">
        <v>196</v>
      </c>
      <c r="Q29" t="s">
        <v>27</v>
      </c>
      <c r="R29" t="s">
        <v>66</v>
      </c>
      <c r="U29" t="s">
        <v>167</v>
      </c>
      <c r="V29" t="s">
        <v>15</v>
      </c>
    </row>
    <row r="30" spans="4:22" x14ac:dyDescent="0.25">
      <c r="D30" t="s">
        <v>94</v>
      </c>
      <c r="I30" s="22">
        <v>44197</v>
      </c>
      <c r="J30" t="s">
        <v>74</v>
      </c>
      <c r="M30" t="s">
        <v>24</v>
      </c>
      <c r="N30" t="s">
        <v>53</v>
      </c>
      <c r="Q30" t="s">
        <v>27</v>
      </c>
      <c r="R30" t="s">
        <v>74</v>
      </c>
      <c r="U30" t="s">
        <v>94</v>
      </c>
      <c r="V30" t="s">
        <v>15</v>
      </c>
    </row>
    <row r="31" spans="4:22" x14ac:dyDescent="0.25">
      <c r="D31" t="s">
        <v>198</v>
      </c>
      <c r="I31" s="22">
        <v>44197</v>
      </c>
      <c r="J31" t="s">
        <v>89</v>
      </c>
      <c r="M31" t="s">
        <v>24</v>
      </c>
      <c r="N31" t="s">
        <v>64</v>
      </c>
      <c r="Q31" t="s">
        <v>27</v>
      </c>
      <c r="R31" t="s">
        <v>106</v>
      </c>
      <c r="U31" t="s">
        <v>198</v>
      </c>
      <c r="V31" t="s">
        <v>13</v>
      </c>
    </row>
    <row r="32" spans="4:22" x14ac:dyDescent="0.25">
      <c r="I32" s="22">
        <v>44197</v>
      </c>
      <c r="J32" t="s">
        <v>96</v>
      </c>
      <c r="M32" t="s">
        <v>24</v>
      </c>
      <c r="N32" t="s">
        <v>96</v>
      </c>
      <c r="Q32" t="s">
        <v>27</v>
      </c>
      <c r="R32" t="s">
        <v>193</v>
      </c>
    </row>
    <row r="33" spans="9:18" x14ac:dyDescent="0.25">
      <c r="I33" s="22">
        <v>44197</v>
      </c>
      <c r="J33" t="s">
        <v>103</v>
      </c>
      <c r="M33" t="s">
        <v>9</v>
      </c>
      <c r="N33" t="s">
        <v>65</v>
      </c>
      <c r="Q33" t="s">
        <v>27</v>
      </c>
      <c r="R33" t="s">
        <v>163</v>
      </c>
    </row>
    <row r="34" spans="9:18" x14ac:dyDescent="0.25">
      <c r="I34" s="22">
        <v>44197</v>
      </c>
      <c r="J34" t="s">
        <v>106</v>
      </c>
      <c r="M34" t="s">
        <v>9</v>
      </c>
      <c r="N34" t="s">
        <v>74</v>
      </c>
      <c r="Q34" t="s">
        <v>27</v>
      </c>
      <c r="R34" t="s">
        <v>176</v>
      </c>
    </row>
    <row r="35" spans="9:18" x14ac:dyDescent="0.25">
      <c r="I35" s="22">
        <v>44197</v>
      </c>
      <c r="J35" t="s">
        <v>197</v>
      </c>
      <c r="M35" t="s">
        <v>9</v>
      </c>
      <c r="N35" t="s">
        <v>89</v>
      </c>
      <c r="Q35" t="s">
        <v>28</v>
      </c>
      <c r="R35" t="s">
        <v>184</v>
      </c>
    </row>
    <row r="36" spans="9:18" x14ac:dyDescent="0.25">
      <c r="I36" s="22">
        <v>44197</v>
      </c>
      <c r="J36" t="s">
        <v>124</v>
      </c>
      <c r="M36" t="s">
        <v>9</v>
      </c>
      <c r="N36" t="s">
        <v>103</v>
      </c>
      <c r="Q36" t="s">
        <v>28</v>
      </c>
      <c r="R36" t="s">
        <v>193</v>
      </c>
    </row>
    <row r="37" spans="9:18" x14ac:dyDescent="0.25">
      <c r="I37" s="22">
        <v>44197</v>
      </c>
      <c r="J37" t="s">
        <v>126</v>
      </c>
      <c r="M37" t="s">
        <v>9</v>
      </c>
      <c r="N37" t="s">
        <v>106</v>
      </c>
      <c r="Q37" t="s">
        <v>29</v>
      </c>
      <c r="R37" t="s">
        <v>60</v>
      </c>
    </row>
    <row r="38" spans="9:18" x14ac:dyDescent="0.25">
      <c r="I38" s="22">
        <v>44197</v>
      </c>
      <c r="J38" t="s">
        <v>132</v>
      </c>
      <c r="M38" t="s">
        <v>9</v>
      </c>
      <c r="N38" t="s">
        <v>197</v>
      </c>
      <c r="Q38" t="s">
        <v>29</v>
      </c>
      <c r="R38" t="s">
        <v>184</v>
      </c>
    </row>
    <row r="39" spans="9:18" x14ac:dyDescent="0.25">
      <c r="I39" s="22">
        <v>44197</v>
      </c>
      <c r="J39" t="s">
        <v>149</v>
      </c>
      <c r="M39" t="s">
        <v>9</v>
      </c>
      <c r="N39" t="s">
        <v>132</v>
      </c>
      <c r="Q39" t="s">
        <v>29</v>
      </c>
      <c r="R39" t="s">
        <v>66</v>
      </c>
    </row>
    <row r="40" spans="9:18" x14ac:dyDescent="0.25">
      <c r="I40" s="22">
        <v>44197</v>
      </c>
      <c r="J40" t="s">
        <v>152</v>
      </c>
      <c r="M40" t="s">
        <v>9</v>
      </c>
      <c r="N40" t="s">
        <v>167</v>
      </c>
      <c r="Q40" t="s">
        <v>29</v>
      </c>
      <c r="R40" t="s">
        <v>106</v>
      </c>
    </row>
    <row r="41" spans="9:18" x14ac:dyDescent="0.25">
      <c r="I41" s="22">
        <v>44197</v>
      </c>
      <c r="J41" t="s">
        <v>162</v>
      </c>
      <c r="M41" t="s">
        <v>23</v>
      </c>
      <c r="N41" t="s">
        <v>197</v>
      </c>
      <c r="Q41" t="s">
        <v>29</v>
      </c>
      <c r="R41" t="s">
        <v>195</v>
      </c>
    </row>
    <row r="42" spans="9:18" x14ac:dyDescent="0.25">
      <c r="I42" s="22">
        <v>44197</v>
      </c>
      <c r="J42" t="s">
        <v>163</v>
      </c>
      <c r="M42" t="s">
        <v>23</v>
      </c>
      <c r="N42" t="s">
        <v>126</v>
      </c>
      <c r="Q42" t="s">
        <v>29</v>
      </c>
      <c r="R42" t="s">
        <v>196</v>
      </c>
    </row>
    <row r="43" spans="9:18" x14ac:dyDescent="0.25">
      <c r="I43" s="22">
        <v>44197</v>
      </c>
      <c r="J43" t="s">
        <v>167</v>
      </c>
      <c r="M43" t="s">
        <v>9</v>
      </c>
      <c r="N43" t="s">
        <v>184</v>
      </c>
      <c r="Q43" t="s">
        <v>29</v>
      </c>
      <c r="R43" t="s">
        <v>193</v>
      </c>
    </row>
    <row r="44" spans="9:18" x14ac:dyDescent="0.25">
      <c r="I44" s="22">
        <v>44197</v>
      </c>
      <c r="J44" t="s">
        <v>176</v>
      </c>
      <c r="M44" t="s">
        <v>23</v>
      </c>
      <c r="N44" t="s">
        <v>60</v>
      </c>
      <c r="Q44" t="s">
        <v>29</v>
      </c>
      <c r="R44" t="s">
        <v>194</v>
      </c>
    </row>
    <row r="45" spans="9:18" x14ac:dyDescent="0.25">
      <c r="I45" s="22">
        <v>44197</v>
      </c>
      <c r="J45" t="s">
        <v>199</v>
      </c>
      <c r="M45" t="s">
        <v>23</v>
      </c>
      <c r="N45" t="s">
        <v>66</v>
      </c>
      <c r="Q45" t="s">
        <v>30</v>
      </c>
      <c r="R45" t="s">
        <v>53</v>
      </c>
    </row>
    <row r="46" spans="9:18" x14ac:dyDescent="0.25">
      <c r="I46" s="22">
        <v>44197</v>
      </c>
      <c r="J46" t="s">
        <v>184</v>
      </c>
      <c r="M46" t="s">
        <v>23</v>
      </c>
      <c r="N46" t="s">
        <v>74</v>
      </c>
      <c r="Q46" t="s">
        <v>30</v>
      </c>
      <c r="R46" t="s">
        <v>60</v>
      </c>
    </row>
    <row r="47" spans="9:18" x14ac:dyDescent="0.25">
      <c r="I47" s="22">
        <v>44197</v>
      </c>
      <c r="J47" t="s">
        <v>193</v>
      </c>
      <c r="M47" t="s">
        <v>23</v>
      </c>
      <c r="N47" t="s">
        <v>64</v>
      </c>
      <c r="Q47" t="s">
        <v>30</v>
      </c>
      <c r="R47" t="s">
        <v>184</v>
      </c>
    </row>
    <row r="48" spans="9:18" x14ac:dyDescent="0.25">
      <c r="I48" s="22">
        <v>44197</v>
      </c>
      <c r="J48" t="s">
        <v>194</v>
      </c>
      <c r="M48" t="s">
        <v>23</v>
      </c>
      <c r="N48" t="s">
        <v>94</v>
      </c>
      <c r="Q48" t="s">
        <v>30</v>
      </c>
      <c r="R48" t="s">
        <v>64</v>
      </c>
    </row>
    <row r="49" spans="9:18" x14ac:dyDescent="0.25">
      <c r="I49" s="22">
        <v>44228</v>
      </c>
      <c r="J49" t="s">
        <v>52</v>
      </c>
      <c r="M49" t="s">
        <v>23</v>
      </c>
      <c r="N49" t="s">
        <v>106</v>
      </c>
      <c r="Q49" t="s">
        <v>30</v>
      </c>
      <c r="R49" t="s">
        <v>66</v>
      </c>
    </row>
    <row r="50" spans="9:18" x14ac:dyDescent="0.25">
      <c r="I50" s="22">
        <v>44228</v>
      </c>
      <c r="J50" t="s">
        <v>53</v>
      </c>
      <c r="M50" t="s">
        <v>23</v>
      </c>
      <c r="N50" t="s">
        <v>176</v>
      </c>
      <c r="Q50" t="s">
        <v>30</v>
      </c>
      <c r="R50" t="s">
        <v>74</v>
      </c>
    </row>
    <row r="51" spans="9:18" x14ac:dyDescent="0.25">
      <c r="I51" s="22">
        <v>44228</v>
      </c>
      <c r="J51" t="s">
        <v>60</v>
      </c>
      <c r="M51" t="s">
        <v>9</v>
      </c>
      <c r="N51" t="s">
        <v>198</v>
      </c>
      <c r="Q51" t="s">
        <v>30</v>
      </c>
      <c r="R51" t="s">
        <v>96</v>
      </c>
    </row>
    <row r="52" spans="9:18" x14ac:dyDescent="0.25">
      <c r="I52" s="22">
        <v>44228</v>
      </c>
      <c r="J52" t="s">
        <v>64</v>
      </c>
      <c r="Q52" t="s">
        <v>30</v>
      </c>
      <c r="R52" t="s">
        <v>106</v>
      </c>
    </row>
    <row r="53" spans="9:18" x14ac:dyDescent="0.25">
      <c r="I53" s="22">
        <v>44228</v>
      </c>
      <c r="J53" t="s">
        <v>66</v>
      </c>
      <c r="Q53" t="s">
        <v>30</v>
      </c>
      <c r="R53" t="s">
        <v>195</v>
      </c>
    </row>
    <row r="54" spans="9:18" x14ac:dyDescent="0.25">
      <c r="I54" s="22">
        <v>44228</v>
      </c>
      <c r="J54" t="s">
        <v>74</v>
      </c>
      <c r="Q54" t="s">
        <v>30</v>
      </c>
      <c r="R54" t="s">
        <v>196</v>
      </c>
    </row>
    <row r="55" spans="9:18" x14ac:dyDescent="0.25">
      <c r="I55" s="22">
        <v>44228</v>
      </c>
      <c r="J55" t="s">
        <v>89</v>
      </c>
      <c r="Q55" t="s">
        <v>30</v>
      </c>
      <c r="R55" t="s">
        <v>193</v>
      </c>
    </row>
    <row r="56" spans="9:18" x14ac:dyDescent="0.25">
      <c r="I56" s="22">
        <v>44228</v>
      </c>
      <c r="J56" t="s">
        <v>96</v>
      </c>
      <c r="Q56" t="s">
        <v>30</v>
      </c>
      <c r="R56" t="s">
        <v>163</v>
      </c>
    </row>
    <row r="57" spans="9:18" x14ac:dyDescent="0.25">
      <c r="I57" s="22">
        <v>44228</v>
      </c>
      <c r="J57" t="s">
        <v>103</v>
      </c>
      <c r="Q57" t="s">
        <v>30</v>
      </c>
      <c r="R57" t="s">
        <v>194</v>
      </c>
    </row>
    <row r="58" spans="9:18" x14ac:dyDescent="0.25">
      <c r="I58" s="22">
        <v>44228</v>
      </c>
      <c r="J58" t="s">
        <v>106</v>
      </c>
      <c r="Q58" t="s">
        <v>16</v>
      </c>
      <c r="R58" t="s">
        <v>65</v>
      </c>
    </row>
    <row r="59" spans="9:18" x14ac:dyDescent="0.25">
      <c r="I59" s="22">
        <v>44228</v>
      </c>
      <c r="J59" t="s">
        <v>124</v>
      </c>
      <c r="Q59" t="s">
        <v>16</v>
      </c>
      <c r="R59" t="s">
        <v>66</v>
      </c>
    </row>
    <row r="60" spans="9:18" x14ac:dyDescent="0.25">
      <c r="I60" s="22">
        <v>44228</v>
      </c>
      <c r="J60" t="s">
        <v>126</v>
      </c>
      <c r="Q60" t="s">
        <v>16</v>
      </c>
      <c r="R60" t="s">
        <v>74</v>
      </c>
    </row>
    <row r="61" spans="9:18" x14ac:dyDescent="0.25">
      <c r="I61" s="22">
        <v>44228</v>
      </c>
      <c r="J61" t="s">
        <v>132</v>
      </c>
      <c r="Q61" t="s">
        <v>16</v>
      </c>
      <c r="R61" t="s">
        <v>89</v>
      </c>
    </row>
    <row r="62" spans="9:18" x14ac:dyDescent="0.25">
      <c r="I62" s="22">
        <v>44228</v>
      </c>
      <c r="J62" t="s">
        <v>162</v>
      </c>
      <c r="Q62" t="s">
        <v>16</v>
      </c>
      <c r="R62" t="s">
        <v>96</v>
      </c>
    </row>
    <row r="63" spans="9:18" x14ac:dyDescent="0.25">
      <c r="I63" s="22">
        <v>44228</v>
      </c>
      <c r="J63" t="s">
        <v>163</v>
      </c>
      <c r="Q63" t="s">
        <v>16</v>
      </c>
      <c r="R63" t="s">
        <v>103</v>
      </c>
    </row>
    <row r="64" spans="9:18" x14ac:dyDescent="0.25">
      <c r="I64" s="22">
        <v>44228</v>
      </c>
      <c r="J64" t="s">
        <v>176</v>
      </c>
      <c r="Q64" t="s">
        <v>16</v>
      </c>
      <c r="R64" t="s">
        <v>106</v>
      </c>
    </row>
    <row r="65" spans="9:18" x14ac:dyDescent="0.25">
      <c r="I65" s="22">
        <v>44228</v>
      </c>
      <c r="J65" t="s">
        <v>184</v>
      </c>
      <c r="Q65" t="s">
        <v>16</v>
      </c>
      <c r="R65" t="s">
        <v>197</v>
      </c>
    </row>
    <row r="66" spans="9:18" x14ac:dyDescent="0.25">
      <c r="I66" s="22">
        <v>44228</v>
      </c>
      <c r="J66" t="s">
        <v>199</v>
      </c>
      <c r="Q66" t="s">
        <v>16</v>
      </c>
      <c r="R66" t="s">
        <v>132</v>
      </c>
    </row>
    <row r="67" spans="9:18" x14ac:dyDescent="0.25">
      <c r="I67" s="22">
        <v>44228</v>
      </c>
      <c r="J67" t="s">
        <v>197</v>
      </c>
      <c r="Q67" t="s">
        <v>16</v>
      </c>
      <c r="R67" t="s">
        <v>167</v>
      </c>
    </row>
    <row r="68" spans="9:18" x14ac:dyDescent="0.25">
      <c r="I68" s="22">
        <v>44228</v>
      </c>
      <c r="J68" t="s">
        <v>193</v>
      </c>
      <c r="Q68" t="s">
        <v>23</v>
      </c>
      <c r="R68" t="s">
        <v>197</v>
      </c>
    </row>
    <row r="69" spans="9:18" x14ac:dyDescent="0.25">
      <c r="I69" s="22">
        <v>44228</v>
      </c>
      <c r="J69" t="s">
        <v>194</v>
      </c>
      <c r="Q69" t="s">
        <v>23</v>
      </c>
      <c r="R69" t="s">
        <v>126</v>
      </c>
    </row>
    <row r="70" spans="9:18" x14ac:dyDescent="0.25">
      <c r="I70" s="22">
        <v>44256</v>
      </c>
      <c r="J70" t="s">
        <v>53</v>
      </c>
      <c r="Q70" t="s">
        <v>28</v>
      </c>
      <c r="R70" t="s">
        <v>60</v>
      </c>
    </row>
    <row r="71" spans="9:18" x14ac:dyDescent="0.25">
      <c r="I71" s="22">
        <v>44256</v>
      </c>
      <c r="J71" t="s">
        <v>60</v>
      </c>
      <c r="Q71" t="s">
        <v>28</v>
      </c>
      <c r="R71" t="s">
        <v>66</v>
      </c>
    </row>
    <row r="72" spans="9:18" x14ac:dyDescent="0.25">
      <c r="I72" s="22">
        <v>44256</v>
      </c>
      <c r="J72" t="s">
        <v>64</v>
      </c>
      <c r="Q72" t="s">
        <v>28</v>
      </c>
      <c r="R72" t="s">
        <v>74</v>
      </c>
    </row>
    <row r="73" spans="9:18" x14ac:dyDescent="0.25">
      <c r="I73" s="22">
        <v>44256</v>
      </c>
      <c r="J73" t="s">
        <v>66</v>
      </c>
      <c r="Q73" t="s">
        <v>29</v>
      </c>
      <c r="R73" t="s">
        <v>74</v>
      </c>
    </row>
    <row r="74" spans="9:18" x14ac:dyDescent="0.25">
      <c r="I74" s="22">
        <v>44256</v>
      </c>
      <c r="J74" t="s">
        <v>74</v>
      </c>
      <c r="Q74" t="s">
        <v>20</v>
      </c>
      <c r="R74" t="s">
        <v>184</v>
      </c>
    </row>
    <row r="75" spans="9:18" x14ac:dyDescent="0.25">
      <c r="I75" s="22">
        <v>44256</v>
      </c>
      <c r="J75" t="s">
        <v>94</v>
      </c>
      <c r="Q75" t="s">
        <v>21</v>
      </c>
      <c r="R75" t="s">
        <v>60</v>
      </c>
    </row>
    <row r="76" spans="9:18" x14ac:dyDescent="0.25">
      <c r="I76" s="22">
        <v>44256</v>
      </c>
      <c r="J76" t="s">
        <v>96</v>
      </c>
      <c r="Q76" t="s">
        <v>23</v>
      </c>
      <c r="R76" t="s">
        <v>60</v>
      </c>
    </row>
    <row r="77" spans="9:18" x14ac:dyDescent="0.25">
      <c r="I77" s="22">
        <v>44256</v>
      </c>
      <c r="J77" t="s">
        <v>199</v>
      </c>
      <c r="Q77" t="s">
        <v>23</v>
      </c>
      <c r="R77" t="s">
        <v>66</v>
      </c>
    </row>
    <row r="78" spans="9:18" x14ac:dyDescent="0.25">
      <c r="I78" s="22">
        <v>44256</v>
      </c>
      <c r="J78" t="s">
        <v>106</v>
      </c>
      <c r="Q78" t="s">
        <v>23</v>
      </c>
      <c r="R78" t="s">
        <v>74</v>
      </c>
    </row>
    <row r="79" spans="9:18" x14ac:dyDescent="0.25">
      <c r="I79" s="22">
        <v>44256</v>
      </c>
      <c r="J79" t="s">
        <v>197</v>
      </c>
      <c r="Q79" t="s">
        <v>28</v>
      </c>
      <c r="R79" t="s">
        <v>194</v>
      </c>
    </row>
    <row r="80" spans="9:18" x14ac:dyDescent="0.25">
      <c r="I80" s="22">
        <v>44256</v>
      </c>
      <c r="J80" t="s">
        <v>126</v>
      </c>
      <c r="Q80" t="s">
        <v>23</v>
      </c>
      <c r="R80" t="s">
        <v>64</v>
      </c>
    </row>
    <row r="81" spans="9:18" x14ac:dyDescent="0.25">
      <c r="I81" s="22">
        <v>44256</v>
      </c>
      <c r="J81" t="s">
        <v>172</v>
      </c>
      <c r="Q81" t="s">
        <v>23</v>
      </c>
      <c r="R81" t="s">
        <v>94</v>
      </c>
    </row>
    <row r="82" spans="9:18" x14ac:dyDescent="0.25">
      <c r="I82" s="22">
        <v>44256</v>
      </c>
      <c r="J82" t="s">
        <v>176</v>
      </c>
      <c r="Q82" t="s">
        <v>23</v>
      </c>
      <c r="R82" t="s">
        <v>106</v>
      </c>
    </row>
    <row r="83" spans="9:18" x14ac:dyDescent="0.25">
      <c r="I83" s="22">
        <v>44256</v>
      </c>
      <c r="J83" t="s">
        <v>184</v>
      </c>
      <c r="Q83" t="s">
        <v>23</v>
      </c>
      <c r="R83" t="s">
        <v>176</v>
      </c>
    </row>
    <row r="84" spans="9:18" x14ac:dyDescent="0.25">
      <c r="I84" s="22">
        <v>44256</v>
      </c>
      <c r="J84" t="s">
        <v>163</v>
      </c>
      <c r="Q84" t="s">
        <v>25</v>
      </c>
      <c r="R84" t="s">
        <v>184</v>
      </c>
    </row>
    <row r="85" spans="9:18" x14ac:dyDescent="0.25">
      <c r="I85" s="22">
        <v>44256</v>
      </c>
      <c r="J85" t="s">
        <v>193</v>
      </c>
      <c r="Q85" t="s">
        <v>20</v>
      </c>
      <c r="R85" t="s">
        <v>52</v>
      </c>
    </row>
    <row r="86" spans="9:18" x14ac:dyDescent="0.25">
      <c r="I86" s="22">
        <v>44256</v>
      </c>
      <c r="J86" t="s">
        <v>194</v>
      </c>
      <c r="Q86" t="s">
        <v>20</v>
      </c>
      <c r="R86" t="s">
        <v>132</v>
      </c>
    </row>
    <row r="87" spans="9:18" x14ac:dyDescent="0.25">
      <c r="I87" s="22">
        <v>44256</v>
      </c>
      <c r="J87" t="s">
        <v>52</v>
      </c>
      <c r="Q87" t="s">
        <v>22</v>
      </c>
      <c r="R87" t="s">
        <v>198</v>
      </c>
    </row>
    <row r="88" spans="9:18" x14ac:dyDescent="0.25">
      <c r="I88" s="22">
        <v>44256</v>
      </c>
      <c r="J88" t="s">
        <v>89</v>
      </c>
    </row>
    <row r="89" spans="9:18" x14ac:dyDescent="0.25">
      <c r="I89" s="22">
        <v>44256</v>
      </c>
      <c r="J89" t="s">
        <v>103</v>
      </c>
    </row>
    <row r="90" spans="9:18" x14ac:dyDescent="0.25">
      <c r="I90" s="22">
        <v>44256</v>
      </c>
      <c r="J90" t="s">
        <v>124</v>
      </c>
    </row>
    <row r="91" spans="9:18" x14ac:dyDescent="0.25">
      <c r="I91" s="22">
        <v>44256</v>
      </c>
      <c r="J91" t="s">
        <v>132</v>
      </c>
    </row>
    <row r="92" spans="9:18" x14ac:dyDescent="0.25">
      <c r="I92" s="22">
        <v>44256</v>
      </c>
      <c r="J92" t="s">
        <v>162</v>
      </c>
    </row>
    <row r="93" spans="9:18" x14ac:dyDescent="0.25">
      <c r="I93" s="22">
        <v>44256</v>
      </c>
      <c r="J93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110" zoomScaleNormal="110" workbookViewId="0">
      <selection activeCell="H8" sqref="H8"/>
    </sheetView>
  </sheetViews>
  <sheetFormatPr defaultRowHeight="15" x14ac:dyDescent="0.25"/>
  <cols>
    <col min="1" max="1" width="11.140625" bestFit="1" customWidth="1"/>
    <col min="2" max="2" width="15.85546875" bestFit="1" customWidth="1"/>
    <col min="3" max="3" width="16.28515625" customWidth="1"/>
    <col min="4" max="4" width="14.28515625" customWidth="1"/>
    <col min="5" max="5" width="14.7109375" bestFit="1" customWidth="1"/>
    <col min="6" max="6" width="8.7109375" bestFit="1" customWidth="1"/>
    <col min="7" max="7" width="12.28515625" bestFit="1" customWidth="1"/>
    <col min="9" max="9" width="10" bestFit="1" customWidth="1"/>
  </cols>
  <sheetData>
    <row r="1" spans="1:9" s="2" customFormat="1" x14ac:dyDescent="0.25">
      <c r="A1" s="51" t="s">
        <v>2</v>
      </c>
      <c r="B1" s="51" t="s">
        <v>3</v>
      </c>
      <c r="C1" s="51" t="s">
        <v>4</v>
      </c>
      <c r="D1" s="51" t="s">
        <v>191</v>
      </c>
      <c r="E1" s="51" t="s">
        <v>7</v>
      </c>
      <c r="F1" s="51" t="s">
        <v>8</v>
      </c>
      <c r="G1" s="51" t="s">
        <v>207</v>
      </c>
      <c r="H1" s="10"/>
      <c r="I1" s="39"/>
    </row>
    <row r="2" spans="1:9" x14ac:dyDescent="0.25">
      <c r="A2" s="8" t="s">
        <v>9</v>
      </c>
      <c r="B2" s="8" t="s">
        <v>10</v>
      </c>
      <c r="C2" s="8" t="s">
        <v>60</v>
      </c>
      <c r="D2" s="8" t="s">
        <v>11</v>
      </c>
      <c r="E2" s="8" t="s">
        <v>12</v>
      </c>
      <c r="F2" s="8">
        <v>65</v>
      </c>
      <c r="G2" s="8">
        <v>11196.64</v>
      </c>
      <c r="H2" s="2"/>
      <c r="I2" s="5"/>
    </row>
    <row r="3" spans="1:9" x14ac:dyDescent="0.25">
      <c r="A3" s="8" t="s">
        <v>9</v>
      </c>
      <c r="B3" s="8" t="s">
        <v>10</v>
      </c>
      <c r="C3" s="8" t="s">
        <v>184</v>
      </c>
      <c r="D3" s="8" t="s">
        <v>13</v>
      </c>
      <c r="E3" s="8" t="s">
        <v>12</v>
      </c>
      <c r="F3" s="8">
        <v>45</v>
      </c>
      <c r="G3" s="8">
        <v>3510.45</v>
      </c>
    </row>
    <row r="4" spans="1:9" x14ac:dyDescent="0.25">
      <c r="A4" s="8" t="s">
        <v>9</v>
      </c>
      <c r="B4" s="8" t="s">
        <v>10</v>
      </c>
      <c r="C4" s="8" t="s">
        <v>66</v>
      </c>
      <c r="D4" s="8" t="s">
        <v>11</v>
      </c>
      <c r="E4" s="8" t="s">
        <v>12</v>
      </c>
      <c r="F4" s="8">
        <v>75</v>
      </c>
      <c r="G4" s="8">
        <v>10725.1</v>
      </c>
      <c r="I4" s="5"/>
    </row>
    <row r="5" spans="1:9" x14ac:dyDescent="0.25">
      <c r="A5" s="8" t="s">
        <v>9</v>
      </c>
      <c r="B5" s="8" t="s">
        <v>10</v>
      </c>
      <c r="C5" s="8" t="s">
        <v>88</v>
      </c>
      <c r="D5" s="8" t="s">
        <v>15</v>
      </c>
      <c r="E5" s="8" t="s">
        <v>12</v>
      </c>
      <c r="F5" s="8">
        <v>16</v>
      </c>
      <c r="G5" s="8">
        <v>2912</v>
      </c>
    </row>
    <row r="6" spans="1:9" x14ac:dyDescent="0.25">
      <c r="A6" s="8" t="s">
        <v>9</v>
      </c>
      <c r="B6" s="8" t="s">
        <v>10</v>
      </c>
      <c r="C6" s="8" t="s">
        <v>89</v>
      </c>
      <c r="D6" s="8" t="s">
        <v>11</v>
      </c>
      <c r="E6" s="8" t="s">
        <v>12</v>
      </c>
      <c r="F6" s="8">
        <v>28</v>
      </c>
      <c r="G6" s="8">
        <v>7644</v>
      </c>
    </row>
    <row r="7" spans="1:9" x14ac:dyDescent="0.25">
      <c r="A7" s="8" t="s">
        <v>9</v>
      </c>
      <c r="B7" s="8" t="s">
        <v>10</v>
      </c>
      <c r="C7" s="8" t="s">
        <v>179</v>
      </c>
      <c r="D7" s="8" t="s">
        <v>13</v>
      </c>
      <c r="E7" s="8" t="s">
        <v>12</v>
      </c>
      <c r="F7" s="8">
        <v>28</v>
      </c>
      <c r="G7" s="8">
        <v>5441.9599999999991</v>
      </c>
    </row>
    <row r="8" spans="1:9" x14ac:dyDescent="0.25">
      <c r="A8" s="8" t="s">
        <v>9</v>
      </c>
      <c r="B8" s="8" t="s">
        <v>10</v>
      </c>
      <c r="C8" s="8" t="s">
        <v>106</v>
      </c>
      <c r="D8" s="8" t="s">
        <v>11</v>
      </c>
      <c r="E8" s="8" t="s">
        <v>12</v>
      </c>
      <c r="F8" s="8">
        <v>144</v>
      </c>
      <c r="G8" s="8">
        <v>28080.48</v>
      </c>
    </row>
    <row r="9" spans="1:9" x14ac:dyDescent="0.25">
      <c r="A9" s="8" t="s">
        <v>9</v>
      </c>
      <c r="B9" s="8" t="s">
        <v>10</v>
      </c>
      <c r="C9" s="8" t="s">
        <v>126</v>
      </c>
      <c r="D9" s="8" t="s">
        <v>11</v>
      </c>
      <c r="E9" s="8" t="s">
        <v>12</v>
      </c>
      <c r="F9" s="8">
        <v>18</v>
      </c>
      <c r="G9" s="8">
        <v>7020.1200000000008</v>
      </c>
    </row>
    <row r="10" spans="1:9" x14ac:dyDescent="0.25">
      <c r="A10" s="8" t="s">
        <v>9</v>
      </c>
      <c r="B10" s="8" t="s">
        <v>10</v>
      </c>
      <c r="C10" s="8" t="s">
        <v>129</v>
      </c>
      <c r="D10" s="8" t="s">
        <v>15</v>
      </c>
      <c r="E10" s="8" t="s">
        <v>12</v>
      </c>
      <c r="F10" s="8">
        <v>6</v>
      </c>
      <c r="G10" s="8">
        <v>2336.12</v>
      </c>
    </row>
    <row r="11" spans="1:9" x14ac:dyDescent="0.25">
      <c r="A11" s="8" t="s">
        <v>9</v>
      </c>
      <c r="B11" s="8" t="s">
        <v>10</v>
      </c>
      <c r="C11" s="8" t="s">
        <v>163</v>
      </c>
      <c r="D11" s="8" t="s">
        <v>11</v>
      </c>
      <c r="E11" s="8" t="s">
        <v>12</v>
      </c>
      <c r="F11" s="8">
        <v>122</v>
      </c>
      <c r="G11" s="8">
        <v>31720.999999999996</v>
      </c>
    </row>
    <row r="12" spans="1:9" x14ac:dyDescent="0.25">
      <c r="A12" s="8" t="s">
        <v>9</v>
      </c>
      <c r="B12" s="8" t="s">
        <v>10</v>
      </c>
      <c r="C12" s="8" t="s">
        <v>166</v>
      </c>
      <c r="D12" s="8" t="s">
        <v>15</v>
      </c>
      <c r="E12" s="8" t="s">
        <v>12</v>
      </c>
      <c r="F12" s="8">
        <v>6</v>
      </c>
      <c r="G12" s="8">
        <v>1248.04</v>
      </c>
    </row>
    <row r="13" spans="1:9" x14ac:dyDescent="0.25">
      <c r="A13" s="8" t="s">
        <v>9</v>
      </c>
      <c r="B13" s="8" t="s">
        <v>10</v>
      </c>
      <c r="C13" s="8" t="s">
        <v>172</v>
      </c>
      <c r="D13" s="8" t="s">
        <v>11</v>
      </c>
      <c r="E13" s="8" t="s">
        <v>12</v>
      </c>
      <c r="F13" s="8">
        <v>30</v>
      </c>
      <c r="G13" s="8">
        <v>9750.0400000000009</v>
      </c>
    </row>
    <row r="14" spans="1:9" x14ac:dyDescent="0.25">
      <c r="A14" s="8" t="s">
        <v>9</v>
      </c>
      <c r="B14" s="8" t="s">
        <v>10</v>
      </c>
      <c r="C14" s="8" t="s">
        <v>173</v>
      </c>
      <c r="D14" s="8" t="s">
        <v>13</v>
      </c>
      <c r="E14" s="8" t="s">
        <v>12</v>
      </c>
      <c r="F14" s="8">
        <v>30</v>
      </c>
      <c r="G14" s="8">
        <v>7410.08</v>
      </c>
    </row>
    <row r="15" spans="1:9" x14ac:dyDescent="0.25">
      <c r="A15" s="8" t="s">
        <v>9</v>
      </c>
      <c r="B15" s="8" t="s">
        <v>10</v>
      </c>
      <c r="C15" s="8" t="s">
        <v>176</v>
      </c>
      <c r="D15" s="8" t="s">
        <v>11</v>
      </c>
      <c r="E15" s="8" t="s">
        <v>12</v>
      </c>
      <c r="F15" s="8">
        <v>25</v>
      </c>
      <c r="G15" s="8">
        <v>7962.619999999999</v>
      </c>
    </row>
    <row r="16" spans="1:9" x14ac:dyDescent="0.25">
      <c r="A16" s="8" t="s">
        <v>9</v>
      </c>
      <c r="B16" s="8" t="s">
        <v>10</v>
      </c>
      <c r="C16" s="8" t="s">
        <v>177</v>
      </c>
      <c r="D16" s="8" t="s">
        <v>11</v>
      </c>
      <c r="E16" s="8" t="s">
        <v>12</v>
      </c>
      <c r="F16" s="8">
        <v>2</v>
      </c>
      <c r="G16" s="8">
        <v>650</v>
      </c>
    </row>
    <row r="17" spans="1:7" x14ac:dyDescent="0.25">
      <c r="A17" s="8" t="s">
        <v>9</v>
      </c>
      <c r="B17" s="8" t="s">
        <v>16</v>
      </c>
      <c r="C17" s="8" t="s">
        <v>185</v>
      </c>
      <c r="D17" s="8" t="s">
        <v>11</v>
      </c>
      <c r="E17" s="8" t="s">
        <v>12</v>
      </c>
      <c r="F17" s="8">
        <v>60</v>
      </c>
      <c r="G17" s="8">
        <v>28005.739999999998</v>
      </c>
    </row>
    <row r="18" spans="1:7" x14ac:dyDescent="0.25">
      <c r="A18" s="8" t="s">
        <v>9</v>
      </c>
      <c r="B18" s="8" t="s">
        <v>16</v>
      </c>
      <c r="C18" s="8" t="s">
        <v>185</v>
      </c>
      <c r="D18" s="8" t="s">
        <v>11</v>
      </c>
      <c r="E18" s="8" t="s">
        <v>14</v>
      </c>
      <c r="F18" s="8">
        <v>-5</v>
      </c>
      <c r="G18" s="8">
        <v>0</v>
      </c>
    </row>
    <row r="19" spans="1:7" x14ac:dyDescent="0.25">
      <c r="A19" s="8" t="s">
        <v>9</v>
      </c>
      <c r="B19" s="8" t="s">
        <v>16</v>
      </c>
      <c r="C19" s="8" t="s">
        <v>17</v>
      </c>
      <c r="D19" s="8" t="s">
        <v>15</v>
      </c>
      <c r="E19" s="8" t="s">
        <v>12</v>
      </c>
      <c r="F19" s="8">
        <v>4</v>
      </c>
      <c r="G19" s="8">
        <v>4307.8839209999996</v>
      </c>
    </row>
    <row r="20" spans="1:7" x14ac:dyDescent="0.25">
      <c r="A20" s="8" t="s">
        <v>9</v>
      </c>
      <c r="B20" s="8" t="s">
        <v>10</v>
      </c>
      <c r="C20" s="8" t="s">
        <v>64</v>
      </c>
      <c r="D20" s="8" t="s">
        <v>13</v>
      </c>
      <c r="E20" s="8" t="s">
        <v>12</v>
      </c>
      <c r="F20" s="8">
        <v>24</v>
      </c>
      <c r="G20" s="8">
        <v>7020.24</v>
      </c>
    </row>
    <row r="21" spans="1:7" x14ac:dyDescent="0.25">
      <c r="A21" s="8" t="s">
        <v>9</v>
      </c>
      <c r="B21" s="8" t="s">
        <v>10</v>
      </c>
      <c r="C21" s="8" t="s">
        <v>65</v>
      </c>
      <c r="D21" s="8" t="s">
        <v>11</v>
      </c>
      <c r="E21" s="8" t="s">
        <v>12</v>
      </c>
      <c r="F21" s="8">
        <v>5</v>
      </c>
      <c r="G21" s="8">
        <v>1625</v>
      </c>
    </row>
    <row r="22" spans="1:7" x14ac:dyDescent="0.25">
      <c r="A22" s="8" t="s">
        <v>9</v>
      </c>
      <c r="B22" s="8" t="s">
        <v>10</v>
      </c>
      <c r="C22" s="8" t="s">
        <v>65</v>
      </c>
      <c r="D22" s="8" t="s">
        <v>11</v>
      </c>
      <c r="E22" s="8" t="s">
        <v>14</v>
      </c>
      <c r="F22" s="8">
        <v>-1</v>
      </c>
      <c r="G22" s="8">
        <v>0</v>
      </c>
    </row>
    <row r="23" spans="1:7" x14ac:dyDescent="0.25">
      <c r="A23" s="8" t="s">
        <v>9</v>
      </c>
      <c r="B23" s="8" t="s">
        <v>16</v>
      </c>
      <c r="C23" s="8" t="s">
        <v>46</v>
      </c>
      <c r="D23" s="8" t="s">
        <v>15</v>
      </c>
      <c r="E23" s="8" t="s">
        <v>12</v>
      </c>
      <c r="F23" s="8">
        <v>231</v>
      </c>
      <c r="G23" s="8">
        <v>268281.40999999997</v>
      </c>
    </row>
    <row r="24" spans="1:7" x14ac:dyDescent="0.25">
      <c r="A24" s="8" t="s">
        <v>9</v>
      </c>
      <c r="B24" s="8" t="s">
        <v>16</v>
      </c>
      <c r="C24" s="8" t="s">
        <v>46</v>
      </c>
      <c r="D24" s="8" t="s">
        <v>15</v>
      </c>
      <c r="E24" s="8" t="s">
        <v>14</v>
      </c>
      <c r="F24" s="8">
        <v>-11</v>
      </c>
      <c r="G24" s="8">
        <v>0</v>
      </c>
    </row>
    <row r="25" spans="1:7" x14ac:dyDescent="0.25">
      <c r="A25" s="8" t="s">
        <v>9</v>
      </c>
      <c r="B25" s="8" t="s">
        <v>16</v>
      </c>
      <c r="C25" s="8" t="s">
        <v>49</v>
      </c>
      <c r="D25" s="8" t="s">
        <v>13</v>
      </c>
      <c r="E25" s="8" t="s">
        <v>12</v>
      </c>
      <c r="F25" s="8">
        <v>331</v>
      </c>
      <c r="G25" s="8">
        <v>426840.33</v>
      </c>
    </row>
    <row r="26" spans="1:7" x14ac:dyDescent="0.25">
      <c r="A26" s="8" t="s">
        <v>9</v>
      </c>
      <c r="B26" s="8" t="s">
        <v>16</v>
      </c>
      <c r="C26" s="8" t="s">
        <v>49</v>
      </c>
      <c r="D26" s="8" t="s">
        <v>13</v>
      </c>
      <c r="E26" s="8" t="s">
        <v>14</v>
      </c>
      <c r="F26" s="8">
        <v>-11</v>
      </c>
      <c r="G26" s="8">
        <v>0</v>
      </c>
    </row>
    <row r="27" spans="1:7" x14ac:dyDescent="0.25">
      <c r="A27" s="8" t="s">
        <v>9</v>
      </c>
      <c r="B27" s="8" t="s">
        <v>16</v>
      </c>
      <c r="C27" s="8" t="s">
        <v>52</v>
      </c>
      <c r="D27" s="8" t="s">
        <v>11</v>
      </c>
      <c r="E27" s="8" t="s">
        <v>12</v>
      </c>
      <c r="F27" s="8">
        <v>1116</v>
      </c>
      <c r="G27" s="8">
        <v>428699.63999999949</v>
      </c>
    </row>
    <row r="28" spans="1:7" x14ac:dyDescent="0.25">
      <c r="A28" s="8" t="s">
        <v>9</v>
      </c>
      <c r="B28" s="8" t="s">
        <v>16</v>
      </c>
      <c r="C28" s="8" t="s">
        <v>52</v>
      </c>
      <c r="D28" s="8" t="s">
        <v>11</v>
      </c>
      <c r="E28" s="8" t="s">
        <v>14</v>
      </c>
      <c r="F28" s="8">
        <v>-34</v>
      </c>
      <c r="G28" s="8">
        <v>0</v>
      </c>
    </row>
    <row r="29" spans="1:7" x14ac:dyDescent="0.25">
      <c r="A29" s="8" t="s">
        <v>9</v>
      </c>
      <c r="B29" s="8" t="s">
        <v>16</v>
      </c>
      <c r="C29" s="8" t="s">
        <v>53</v>
      </c>
      <c r="D29" s="8" t="s">
        <v>11</v>
      </c>
      <c r="E29" s="8" t="s">
        <v>12</v>
      </c>
      <c r="F29" s="8">
        <v>3003</v>
      </c>
      <c r="G29" s="8">
        <v>1374831.2199999997</v>
      </c>
    </row>
    <row r="30" spans="1:7" x14ac:dyDescent="0.25">
      <c r="A30" s="8" t="s">
        <v>9</v>
      </c>
      <c r="B30" s="8" t="s">
        <v>16</v>
      </c>
      <c r="C30" s="8" t="s">
        <v>53</v>
      </c>
      <c r="D30" s="8" t="s">
        <v>11</v>
      </c>
      <c r="E30" s="8" t="s">
        <v>14</v>
      </c>
      <c r="F30" s="8">
        <v>-121</v>
      </c>
      <c r="G30" s="8">
        <v>0</v>
      </c>
    </row>
    <row r="31" spans="1:7" x14ac:dyDescent="0.25">
      <c r="A31" s="8" t="s">
        <v>9</v>
      </c>
      <c r="B31" s="8" t="s">
        <v>16</v>
      </c>
      <c r="C31" s="8" t="s">
        <v>55</v>
      </c>
      <c r="D31" s="8" t="s">
        <v>11</v>
      </c>
      <c r="E31" s="8" t="s">
        <v>12</v>
      </c>
      <c r="F31" s="8">
        <v>267</v>
      </c>
      <c r="G31" s="8">
        <v>179342.76999999996</v>
      </c>
    </row>
    <row r="32" spans="1:7" x14ac:dyDescent="0.25">
      <c r="A32" s="8" t="s">
        <v>9</v>
      </c>
      <c r="B32" s="8" t="s">
        <v>16</v>
      </c>
      <c r="C32" s="8" t="s">
        <v>55</v>
      </c>
      <c r="D32" s="8" t="s">
        <v>11</v>
      </c>
      <c r="E32" s="8" t="s">
        <v>14</v>
      </c>
      <c r="F32" s="8">
        <v>-14</v>
      </c>
      <c r="G32" s="8">
        <v>0</v>
      </c>
    </row>
    <row r="33" spans="1:7" x14ac:dyDescent="0.25">
      <c r="A33" s="8" t="s">
        <v>9</v>
      </c>
      <c r="B33" s="8" t="s">
        <v>16</v>
      </c>
      <c r="C33" s="8" t="s">
        <v>186</v>
      </c>
      <c r="D33" s="8" t="s">
        <v>11</v>
      </c>
      <c r="E33" s="8" t="s">
        <v>12</v>
      </c>
      <c r="F33" s="8">
        <v>14</v>
      </c>
      <c r="G33" s="8">
        <v>8662.9500000000007</v>
      </c>
    </row>
    <row r="34" spans="1:7" x14ac:dyDescent="0.25">
      <c r="A34" s="8" t="s">
        <v>9</v>
      </c>
      <c r="B34" s="8" t="s">
        <v>16</v>
      </c>
      <c r="C34" s="8" t="s">
        <v>186</v>
      </c>
      <c r="D34" s="8" t="s">
        <v>11</v>
      </c>
      <c r="E34" s="8" t="s">
        <v>14</v>
      </c>
      <c r="F34" s="8">
        <v>-1</v>
      </c>
      <c r="G34" s="8">
        <v>0</v>
      </c>
    </row>
    <row r="35" spans="1:7" x14ac:dyDescent="0.25">
      <c r="A35" s="8" t="s">
        <v>9</v>
      </c>
      <c r="B35" s="8" t="s">
        <v>16</v>
      </c>
      <c r="C35" s="8" t="s">
        <v>56</v>
      </c>
      <c r="D35" s="8" t="s">
        <v>11</v>
      </c>
      <c r="E35" s="8" t="s">
        <v>12</v>
      </c>
      <c r="F35" s="8">
        <v>92</v>
      </c>
      <c r="G35" s="8">
        <v>41462.409999999996</v>
      </c>
    </row>
    <row r="36" spans="1:7" x14ac:dyDescent="0.25">
      <c r="A36" s="8" t="s">
        <v>9</v>
      </c>
      <c r="B36" s="8" t="s">
        <v>16</v>
      </c>
      <c r="C36" s="8" t="s">
        <v>56</v>
      </c>
      <c r="D36" s="8" t="s">
        <v>11</v>
      </c>
      <c r="E36" s="8" t="s">
        <v>14</v>
      </c>
      <c r="F36" s="8">
        <v>-1</v>
      </c>
      <c r="G36" s="8">
        <v>0</v>
      </c>
    </row>
    <row r="37" spans="1:7" x14ac:dyDescent="0.25">
      <c r="A37" s="8" t="s">
        <v>9</v>
      </c>
      <c r="B37" s="8" t="s">
        <v>16</v>
      </c>
      <c r="C37" s="8" t="s">
        <v>57</v>
      </c>
      <c r="D37" s="8" t="s">
        <v>11</v>
      </c>
      <c r="E37" s="8" t="s">
        <v>12</v>
      </c>
      <c r="F37" s="8">
        <v>127</v>
      </c>
      <c r="G37" s="8">
        <v>60902.95</v>
      </c>
    </row>
    <row r="38" spans="1:7" x14ac:dyDescent="0.25">
      <c r="A38" s="8" t="s">
        <v>9</v>
      </c>
      <c r="B38" s="8" t="s">
        <v>16</v>
      </c>
      <c r="C38" s="8" t="s">
        <v>57</v>
      </c>
      <c r="D38" s="8" t="s">
        <v>11</v>
      </c>
      <c r="E38" s="8" t="s">
        <v>14</v>
      </c>
      <c r="F38" s="8">
        <v>-6</v>
      </c>
      <c r="G38" s="8">
        <v>0</v>
      </c>
    </row>
    <row r="39" spans="1:7" x14ac:dyDescent="0.25">
      <c r="A39" s="8" t="s">
        <v>9</v>
      </c>
      <c r="B39" s="8" t="s">
        <v>16</v>
      </c>
      <c r="C39" s="8" t="s">
        <v>58</v>
      </c>
      <c r="D39" s="8" t="s">
        <v>11</v>
      </c>
      <c r="E39" s="8" t="s">
        <v>12</v>
      </c>
      <c r="F39" s="8">
        <v>102</v>
      </c>
      <c r="G39" s="8">
        <v>41389.259999999995</v>
      </c>
    </row>
    <row r="40" spans="1:7" x14ac:dyDescent="0.25">
      <c r="A40" s="8" t="s">
        <v>9</v>
      </c>
      <c r="B40" s="8" t="s">
        <v>16</v>
      </c>
      <c r="C40" s="8" t="s">
        <v>58</v>
      </c>
      <c r="D40" s="8" t="s">
        <v>11</v>
      </c>
      <c r="E40" s="8" t="s">
        <v>14</v>
      </c>
      <c r="F40" s="8">
        <v>-3</v>
      </c>
      <c r="G40" s="8">
        <v>0</v>
      </c>
    </row>
    <row r="41" spans="1:7" x14ac:dyDescent="0.25">
      <c r="A41" s="8" t="s">
        <v>9</v>
      </c>
      <c r="B41" s="8" t="s">
        <v>16</v>
      </c>
      <c r="C41" s="8" t="s">
        <v>59</v>
      </c>
      <c r="D41" s="8" t="s">
        <v>11</v>
      </c>
      <c r="E41" s="8" t="s">
        <v>12</v>
      </c>
      <c r="F41" s="8">
        <v>294</v>
      </c>
      <c r="G41" s="8">
        <v>106989.73999999999</v>
      </c>
    </row>
    <row r="42" spans="1:7" x14ac:dyDescent="0.25">
      <c r="A42" s="8" t="s">
        <v>9</v>
      </c>
      <c r="B42" s="8" t="s">
        <v>16</v>
      </c>
      <c r="C42" s="8" t="s">
        <v>59</v>
      </c>
      <c r="D42" s="8" t="s">
        <v>11</v>
      </c>
      <c r="E42" s="8" t="s">
        <v>14</v>
      </c>
      <c r="F42" s="8">
        <v>-12</v>
      </c>
      <c r="G42" s="8">
        <v>0</v>
      </c>
    </row>
    <row r="43" spans="1:7" x14ac:dyDescent="0.25">
      <c r="A43" s="8" t="s">
        <v>9</v>
      </c>
      <c r="B43" s="8" t="s">
        <v>16</v>
      </c>
      <c r="C43" s="8" t="s">
        <v>60</v>
      </c>
      <c r="D43" s="8" t="s">
        <v>11</v>
      </c>
      <c r="E43" s="8" t="s">
        <v>12</v>
      </c>
      <c r="F43" s="8">
        <v>2962</v>
      </c>
      <c r="G43" s="8">
        <v>732167.08000000007</v>
      </c>
    </row>
    <row r="44" spans="1:7" x14ac:dyDescent="0.25">
      <c r="A44" s="8" t="s">
        <v>9</v>
      </c>
      <c r="B44" s="8" t="s">
        <v>16</v>
      </c>
      <c r="C44" s="8" t="s">
        <v>60</v>
      </c>
      <c r="D44" s="8" t="s">
        <v>11</v>
      </c>
      <c r="E44" s="8" t="s">
        <v>14</v>
      </c>
      <c r="F44" s="8">
        <v>-113</v>
      </c>
      <c r="G44" s="8">
        <v>0</v>
      </c>
    </row>
    <row r="45" spans="1:7" x14ac:dyDescent="0.25">
      <c r="A45" s="8" t="s">
        <v>9</v>
      </c>
      <c r="B45" s="8" t="s">
        <v>16</v>
      </c>
      <c r="C45" s="8" t="s">
        <v>187</v>
      </c>
      <c r="D45" s="8" t="s">
        <v>11</v>
      </c>
      <c r="E45" s="8" t="s">
        <v>12</v>
      </c>
      <c r="F45" s="8">
        <v>65</v>
      </c>
      <c r="G45" s="8">
        <v>28786.91</v>
      </c>
    </row>
    <row r="46" spans="1:7" x14ac:dyDescent="0.25">
      <c r="A46" s="8" t="s">
        <v>9</v>
      </c>
      <c r="B46" s="8" t="s">
        <v>16</v>
      </c>
      <c r="C46" s="8" t="s">
        <v>187</v>
      </c>
      <c r="D46" s="8" t="s">
        <v>11</v>
      </c>
      <c r="E46" s="8" t="s">
        <v>14</v>
      </c>
      <c r="F46" s="8">
        <v>-4</v>
      </c>
      <c r="G46" s="8">
        <v>0</v>
      </c>
    </row>
    <row r="47" spans="1:7" x14ac:dyDescent="0.25">
      <c r="A47" s="8" t="s">
        <v>9</v>
      </c>
      <c r="B47" s="8" t="s">
        <v>16</v>
      </c>
      <c r="C47" s="8" t="s">
        <v>188</v>
      </c>
      <c r="D47" s="8" t="s">
        <v>11</v>
      </c>
      <c r="E47" s="8" t="s">
        <v>12</v>
      </c>
      <c r="F47" s="8">
        <v>14</v>
      </c>
      <c r="G47" s="8">
        <v>6604</v>
      </c>
    </row>
    <row r="48" spans="1:7" x14ac:dyDescent="0.25">
      <c r="A48" s="8" t="s">
        <v>9</v>
      </c>
      <c r="B48" s="8" t="s">
        <v>16</v>
      </c>
      <c r="C48" s="8" t="s">
        <v>64</v>
      </c>
      <c r="D48" s="8" t="s">
        <v>13</v>
      </c>
      <c r="E48" s="8" t="s">
        <v>12</v>
      </c>
      <c r="F48" s="8">
        <v>1004</v>
      </c>
      <c r="G48" s="8">
        <v>377100.01</v>
      </c>
    </row>
    <row r="49" spans="1:7" x14ac:dyDescent="0.25">
      <c r="A49" s="8" t="s">
        <v>9</v>
      </c>
      <c r="B49" s="8" t="s">
        <v>16</v>
      </c>
      <c r="C49" s="8" t="s">
        <v>64</v>
      </c>
      <c r="D49" s="8" t="s">
        <v>13</v>
      </c>
      <c r="E49" s="8" t="s">
        <v>14</v>
      </c>
      <c r="F49" s="8">
        <v>-96</v>
      </c>
      <c r="G49" s="8">
        <v>0</v>
      </c>
    </row>
    <row r="50" spans="1:7" x14ac:dyDescent="0.25">
      <c r="A50" s="8" t="s">
        <v>9</v>
      </c>
      <c r="B50" s="8" t="s">
        <v>16</v>
      </c>
      <c r="C50" s="8" t="s">
        <v>189</v>
      </c>
      <c r="D50" s="8" t="s">
        <v>5</v>
      </c>
      <c r="E50" s="8" t="s">
        <v>12</v>
      </c>
      <c r="F50" s="8">
        <v>8</v>
      </c>
      <c r="G50" s="8">
        <v>4491.75</v>
      </c>
    </row>
    <row r="51" spans="1:7" x14ac:dyDescent="0.25">
      <c r="A51" s="8" t="s">
        <v>9</v>
      </c>
      <c r="B51" s="8" t="s">
        <v>16</v>
      </c>
      <c r="C51" s="8" t="s">
        <v>189</v>
      </c>
      <c r="D51" s="8" t="s">
        <v>5</v>
      </c>
      <c r="E51" s="8" t="s">
        <v>14</v>
      </c>
      <c r="F51" s="8">
        <v>-3</v>
      </c>
      <c r="G51" s="8">
        <v>0</v>
      </c>
    </row>
    <row r="52" spans="1:7" x14ac:dyDescent="0.25">
      <c r="A52" s="8" t="s">
        <v>9</v>
      </c>
      <c r="B52" s="8" t="s">
        <v>16</v>
      </c>
      <c r="C52" s="8" t="s">
        <v>65</v>
      </c>
      <c r="D52" s="8" t="s">
        <v>11</v>
      </c>
      <c r="E52" s="8" t="s">
        <v>12</v>
      </c>
      <c r="F52" s="8">
        <v>603</v>
      </c>
      <c r="G52" s="8">
        <v>238586</v>
      </c>
    </row>
    <row r="53" spans="1:7" x14ac:dyDescent="0.25">
      <c r="A53" s="8" t="s">
        <v>9</v>
      </c>
      <c r="B53" s="8" t="s">
        <v>16</v>
      </c>
      <c r="C53" s="8" t="s">
        <v>65</v>
      </c>
      <c r="D53" s="8" t="s">
        <v>11</v>
      </c>
      <c r="E53" s="8" t="s">
        <v>14</v>
      </c>
      <c r="F53" s="8">
        <v>-14</v>
      </c>
      <c r="G53" s="8">
        <v>0</v>
      </c>
    </row>
    <row r="54" spans="1:7" x14ac:dyDescent="0.25">
      <c r="A54" s="8" t="s">
        <v>9</v>
      </c>
      <c r="B54" s="8" t="s">
        <v>16</v>
      </c>
      <c r="C54" s="8" t="s">
        <v>180</v>
      </c>
      <c r="D54" s="8" t="s">
        <v>11</v>
      </c>
      <c r="E54" s="8" t="s">
        <v>12</v>
      </c>
      <c r="F54" s="8">
        <v>1</v>
      </c>
      <c r="G54" s="8">
        <v>450</v>
      </c>
    </row>
    <row r="55" spans="1:7" x14ac:dyDescent="0.25">
      <c r="A55" s="8" t="s">
        <v>9</v>
      </c>
      <c r="B55" s="8" t="s">
        <v>16</v>
      </c>
      <c r="C55" s="8" t="s">
        <v>66</v>
      </c>
      <c r="D55" s="8" t="s">
        <v>11</v>
      </c>
      <c r="E55" s="8" t="s">
        <v>12</v>
      </c>
      <c r="F55" s="8">
        <v>3356</v>
      </c>
      <c r="G55" s="8">
        <v>686886.09999999835</v>
      </c>
    </row>
    <row r="56" spans="1:7" x14ac:dyDescent="0.25">
      <c r="A56" s="8" t="s">
        <v>9</v>
      </c>
      <c r="B56" s="8" t="s">
        <v>16</v>
      </c>
      <c r="C56" s="8" t="s">
        <v>66</v>
      </c>
      <c r="D56" s="8" t="s">
        <v>11</v>
      </c>
      <c r="E56" s="8" t="s">
        <v>14</v>
      </c>
      <c r="F56" s="8">
        <v>-124</v>
      </c>
      <c r="G56" s="8">
        <v>0</v>
      </c>
    </row>
    <row r="57" spans="1:7" x14ac:dyDescent="0.25">
      <c r="A57" s="8" t="s">
        <v>9</v>
      </c>
      <c r="B57" s="8" t="s">
        <v>16</v>
      </c>
      <c r="C57" s="8" t="s">
        <v>190</v>
      </c>
      <c r="D57" s="8" t="s">
        <v>11</v>
      </c>
      <c r="E57" s="8" t="s">
        <v>12</v>
      </c>
      <c r="F57" s="8">
        <v>36</v>
      </c>
      <c r="G57" s="8">
        <v>12413.890000000001</v>
      </c>
    </row>
    <row r="58" spans="1:7" x14ac:dyDescent="0.25">
      <c r="A58" s="8" t="s">
        <v>9</v>
      </c>
      <c r="B58" s="8" t="s">
        <v>16</v>
      </c>
      <c r="C58" s="8" t="s">
        <v>190</v>
      </c>
      <c r="D58" s="8" t="s">
        <v>11</v>
      </c>
      <c r="E58" s="8" t="s">
        <v>14</v>
      </c>
      <c r="F58" s="8">
        <v>-4</v>
      </c>
      <c r="G58" s="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4"/>
  <sheetViews>
    <sheetView topLeftCell="A2" zoomScale="130" zoomScaleNormal="130" workbookViewId="0">
      <selection activeCell="B2" sqref="B2"/>
    </sheetView>
  </sheetViews>
  <sheetFormatPr defaultRowHeight="15" x14ac:dyDescent="0.25"/>
  <cols>
    <col min="1" max="1" width="5.140625" customWidth="1"/>
    <col min="2" max="2" width="35.140625" customWidth="1"/>
    <col min="3" max="3" width="14.140625" bestFit="1" customWidth="1"/>
    <col min="4" max="4" width="14.85546875" style="24" bestFit="1" customWidth="1"/>
  </cols>
  <sheetData>
    <row r="2" spans="1:4" x14ac:dyDescent="0.25">
      <c r="A2" t="s">
        <v>0</v>
      </c>
      <c r="B2" s="7" t="s">
        <v>4</v>
      </c>
      <c r="C2" s="7" t="s">
        <v>6</v>
      </c>
      <c r="D2" s="7" t="s">
        <v>45</v>
      </c>
    </row>
    <row r="3" spans="1:4" x14ac:dyDescent="0.25">
      <c r="B3" t="s">
        <v>47</v>
      </c>
      <c r="C3" t="s">
        <v>40</v>
      </c>
      <c r="D3" s="5">
        <v>5119</v>
      </c>
    </row>
    <row r="4" spans="1:4" x14ac:dyDescent="0.25">
      <c r="B4" t="s">
        <v>48</v>
      </c>
      <c r="C4" t="s">
        <v>40</v>
      </c>
      <c r="D4" s="5">
        <v>4264</v>
      </c>
    </row>
    <row r="5" spans="1:4" x14ac:dyDescent="0.25">
      <c r="B5" t="s">
        <v>49</v>
      </c>
      <c r="C5" t="s">
        <v>41</v>
      </c>
      <c r="D5" s="5">
        <v>604206.20000000019</v>
      </c>
    </row>
    <row r="6" spans="1:4" x14ac:dyDescent="0.25">
      <c r="B6" t="s">
        <v>50</v>
      </c>
      <c r="C6" t="s">
        <v>11</v>
      </c>
      <c r="D6" s="5">
        <v>0</v>
      </c>
    </row>
    <row r="7" spans="1:4" x14ac:dyDescent="0.25">
      <c r="B7" t="s">
        <v>51</v>
      </c>
      <c r="C7" t="s">
        <v>42</v>
      </c>
      <c r="D7" s="5">
        <v>4569</v>
      </c>
    </row>
    <row r="8" spans="1:4" x14ac:dyDescent="0.25">
      <c r="B8" t="s">
        <v>52</v>
      </c>
      <c r="C8" t="s">
        <v>11</v>
      </c>
      <c r="D8" s="5">
        <v>601027.1</v>
      </c>
    </row>
    <row r="9" spans="1:4" x14ac:dyDescent="0.25">
      <c r="B9" t="s">
        <v>53</v>
      </c>
      <c r="C9" t="s">
        <v>11</v>
      </c>
      <c r="D9" s="5">
        <v>758610.12000000046</v>
      </c>
    </row>
    <row r="10" spans="1:4" x14ac:dyDescent="0.25">
      <c r="B10" t="s">
        <v>54</v>
      </c>
      <c r="C10" t="s">
        <v>41</v>
      </c>
      <c r="D10" s="5">
        <v>14382</v>
      </c>
    </row>
    <row r="11" spans="1:4" x14ac:dyDescent="0.25">
      <c r="B11" t="s">
        <v>55</v>
      </c>
      <c r="C11" t="s">
        <v>41</v>
      </c>
      <c r="D11" s="5">
        <v>46353.55</v>
      </c>
    </row>
    <row r="12" spans="1:4" x14ac:dyDescent="0.25">
      <c r="B12" t="s">
        <v>56</v>
      </c>
      <c r="C12" t="s">
        <v>11</v>
      </c>
      <c r="D12" s="5">
        <v>76215</v>
      </c>
    </row>
    <row r="13" spans="1:4" x14ac:dyDescent="0.25">
      <c r="B13" t="s">
        <v>57</v>
      </c>
      <c r="C13" t="s">
        <v>11</v>
      </c>
      <c r="D13" s="5">
        <v>82347.13</v>
      </c>
    </row>
    <row r="14" spans="1:4" x14ac:dyDescent="0.25">
      <c r="B14" t="s">
        <v>58</v>
      </c>
      <c r="C14" t="s">
        <v>11</v>
      </c>
      <c r="D14" s="5">
        <v>62240.31</v>
      </c>
    </row>
    <row r="15" spans="1:4" x14ac:dyDescent="0.25">
      <c r="B15" t="s">
        <v>59</v>
      </c>
      <c r="C15" t="s">
        <v>11</v>
      </c>
      <c r="D15" s="5">
        <v>173415.69999999998</v>
      </c>
    </row>
    <row r="16" spans="1:4" x14ac:dyDescent="0.25">
      <c r="B16" t="s">
        <v>60</v>
      </c>
      <c r="C16" t="s">
        <v>11</v>
      </c>
      <c r="D16" s="5">
        <v>955045.97</v>
      </c>
    </row>
    <row r="17" spans="2:4" x14ac:dyDescent="0.25">
      <c r="B17" t="s">
        <v>61</v>
      </c>
      <c r="C17" t="s">
        <v>41</v>
      </c>
      <c r="D17" s="5">
        <v>1995</v>
      </c>
    </row>
    <row r="18" spans="2:4" x14ac:dyDescent="0.25">
      <c r="B18" t="s">
        <v>62</v>
      </c>
      <c r="C18" t="s">
        <v>11</v>
      </c>
      <c r="D18" s="5">
        <v>7839.1</v>
      </c>
    </row>
    <row r="19" spans="2:4" x14ac:dyDescent="0.25">
      <c r="B19" t="s">
        <v>63</v>
      </c>
      <c r="C19" t="s">
        <v>41</v>
      </c>
      <c r="D19" s="5">
        <v>34927</v>
      </c>
    </row>
    <row r="20" spans="2:4" x14ac:dyDescent="0.25">
      <c r="B20" t="s">
        <v>64</v>
      </c>
      <c r="C20" t="s">
        <v>41</v>
      </c>
      <c r="D20" s="5">
        <v>382393.2099999999</v>
      </c>
    </row>
    <row r="21" spans="2:4" x14ac:dyDescent="0.25">
      <c r="B21" t="s">
        <v>65</v>
      </c>
      <c r="C21" t="s">
        <v>11</v>
      </c>
      <c r="D21" s="5">
        <v>160883.65999999997</v>
      </c>
    </row>
    <row r="22" spans="2:4" x14ac:dyDescent="0.25">
      <c r="B22" t="s">
        <v>66</v>
      </c>
      <c r="C22" t="s">
        <v>11</v>
      </c>
      <c r="D22" s="5">
        <v>1362263.92</v>
      </c>
    </row>
    <row r="23" spans="2:4" x14ac:dyDescent="0.25">
      <c r="B23" t="s">
        <v>67</v>
      </c>
      <c r="C23" t="s">
        <v>41</v>
      </c>
      <c r="D23" s="5">
        <v>287920.58000000013</v>
      </c>
    </row>
    <row r="24" spans="2:4" x14ac:dyDescent="0.25">
      <c r="B24" t="s">
        <v>68</v>
      </c>
      <c r="C24" t="s">
        <v>41</v>
      </c>
      <c r="D24" s="5">
        <v>50217</v>
      </c>
    </row>
    <row r="25" spans="2:4" x14ac:dyDescent="0.25">
      <c r="B25" t="s">
        <v>69</v>
      </c>
      <c r="C25" t="s">
        <v>42</v>
      </c>
      <c r="D25" s="5">
        <v>1500</v>
      </c>
    </row>
    <row r="26" spans="2:4" x14ac:dyDescent="0.25">
      <c r="B26" t="s">
        <v>70</v>
      </c>
      <c r="C26" t="s">
        <v>41</v>
      </c>
      <c r="D26" s="5">
        <v>124810.57</v>
      </c>
    </row>
    <row r="27" spans="2:4" x14ac:dyDescent="0.25">
      <c r="B27" t="s">
        <v>71</v>
      </c>
      <c r="C27" t="s">
        <v>41</v>
      </c>
      <c r="D27" s="5">
        <v>49535.810000000005</v>
      </c>
    </row>
    <row r="28" spans="2:4" x14ac:dyDescent="0.25">
      <c r="B28" t="s">
        <v>72</v>
      </c>
      <c r="C28" t="s">
        <v>43</v>
      </c>
      <c r="D28" s="5">
        <v>41533.200000000004</v>
      </c>
    </row>
    <row r="29" spans="2:4" x14ac:dyDescent="0.25">
      <c r="B29" t="s">
        <v>73</v>
      </c>
      <c r="C29" t="s">
        <v>43</v>
      </c>
      <c r="D29" s="5">
        <v>77767</v>
      </c>
    </row>
    <row r="30" spans="2:4" x14ac:dyDescent="0.25">
      <c r="B30" t="s">
        <v>74</v>
      </c>
      <c r="C30" t="s">
        <v>41</v>
      </c>
      <c r="D30" s="5">
        <v>339574.45999999961</v>
      </c>
    </row>
    <row r="31" spans="2:4" x14ac:dyDescent="0.25">
      <c r="B31" t="s">
        <v>75</v>
      </c>
      <c r="C31" t="s">
        <v>43</v>
      </c>
      <c r="D31" s="5">
        <v>4090</v>
      </c>
    </row>
    <row r="32" spans="2:4" x14ac:dyDescent="0.25">
      <c r="B32" t="s">
        <v>76</v>
      </c>
      <c r="C32" t="s">
        <v>11</v>
      </c>
      <c r="D32" s="5">
        <v>196587.51999999993</v>
      </c>
    </row>
    <row r="33" spans="2:4" x14ac:dyDescent="0.25">
      <c r="B33" t="s">
        <v>77</v>
      </c>
      <c r="C33" t="s">
        <v>43</v>
      </c>
      <c r="D33" s="5">
        <v>5120</v>
      </c>
    </row>
    <row r="34" spans="2:4" x14ac:dyDescent="0.25">
      <c r="B34" t="s">
        <v>78</v>
      </c>
      <c r="C34" t="s">
        <v>43</v>
      </c>
      <c r="D34" s="5">
        <v>0</v>
      </c>
    </row>
    <row r="35" spans="2:4" x14ac:dyDescent="0.25">
      <c r="B35" t="s">
        <v>79</v>
      </c>
      <c r="C35" t="s">
        <v>43</v>
      </c>
      <c r="D35" s="5">
        <v>55288.04</v>
      </c>
    </row>
    <row r="36" spans="2:4" x14ac:dyDescent="0.25">
      <c r="B36" t="s">
        <v>80</v>
      </c>
      <c r="C36" t="s">
        <v>43</v>
      </c>
      <c r="D36" s="5">
        <v>54217.15</v>
      </c>
    </row>
    <row r="37" spans="2:4" x14ac:dyDescent="0.25">
      <c r="B37" t="s">
        <v>81</v>
      </c>
      <c r="C37" t="s">
        <v>11</v>
      </c>
      <c r="D37" s="5">
        <v>0</v>
      </c>
    </row>
    <row r="38" spans="2:4" x14ac:dyDescent="0.25">
      <c r="B38" t="s">
        <v>82</v>
      </c>
      <c r="C38" t="s">
        <v>11</v>
      </c>
      <c r="D38" s="5">
        <v>126558.73</v>
      </c>
    </row>
    <row r="39" spans="2:4" x14ac:dyDescent="0.25">
      <c r="B39" t="s">
        <v>83</v>
      </c>
      <c r="C39" t="s">
        <v>43</v>
      </c>
      <c r="D39" s="5">
        <v>1350</v>
      </c>
    </row>
    <row r="40" spans="2:4" x14ac:dyDescent="0.25">
      <c r="B40" t="s">
        <v>84</v>
      </c>
      <c r="C40" t="s">
        <v>43</v>
      </c>
      <c r="D40" s="5">
        <v>680</v>
      </c>
    </row>
    <row r="41" spans="2:4" x14ac:dyDescent="0.25">
      <c r="B41" t="s">
        <v>85</v>
      </c>
      <c r="C41" t="s">
        <v>43</v>
      </c>
      <c r="D41" s="5">
        <v>12280</v>
      </c>
    </row>
    <row r="42" spans="2:4" x14ac:dyDescent="0.25">
      <c r="B42" t="s">
        <v>86</v>
      </c>
      <c r="C42" t="s">
        <v>41</v>
      </c>
      <c r="D42" s="5">
        <v>63671</v>
      </c>
    </row>
    <row r="43" spans="2:4" x14ac:dyDescent="0.25">
      <c r="B43" t="s">
        <v>87</v>
      </c>
      <c r="C43" t="s">
        <v>43</v>
      </c>
      <c r="D43" s="5">
        <v>3540</v>
      </c>
    </row>
    <row r="44" spans="2:4" x14ac:dyDescent="0.25">
      <c r="B44" t="s">
        <v>88</v>
      </c>
      <c r="C44" t="s">
        <v>43</v>
      </c>
      <c r="D44" s="5">
        <v>13725</v>
      </c>
    </row>
    <row r="45" spans="2:4" x14ac:dyDescent="0.25">
      <c r="B45" t="s">
        <v>89</v>
      </c>
      <c r="C45" t="s">
        <v>11</v>
      </c>
      <c r="D45" s="5">
        <v>772852.00000000047</v>
      </c>
    </row>
    <row r="46" spans="2:4" x14ac:dyDescent="0.25">
      <c r="B46" t="s">
        <v>90</v>
      </c>
      <c r="C46" t="s">
        <v>11</v>
      </c>
      <c r="D46" s="5">
        <v>12494</v>
      </c>
    </row>
    <row r="47" spans="2:4" x14ac:dyDescent="0.25">
      <c r="B47" t="s">
        <v>91</v>
      </c>
      <c r="C47" t="s">
        <v>43</v>
      </c>
      <c r="D47" s="5">
        <v>8334</v>
      </c>
    </row>
    <row r="48" spans="2:4" x14ac:dyDescent="0.25">
      <c r="B48" t="s">
        <v>92</v>
      </c>
      <c r="C48" t="s">
        <v>43</v>
      </c>
      <c r="D48" s="5">
        <v>22045.25</v>
      </c>
    </row>
    <row r="49" spans="2:4" x14ac:dyDescent="0.25">
      <c r="B49" t="s">
        <v>93</v>
      </c>
      <c r="C49" t="s">
        <v>43</v>
      </c>
      <c r="D49" s="5">
        <v>20117.5</v>
      </c>
    </row>
    <row r="50" spans="2:4" x14ac:dyDescent="0.25">
      <c r="B50" t="s">
        <v>94</v>
      </c>
      <c r="C50" t="s">
        <v>43</v>
      </c>
      <c r="D50" s="5">
        <v>14260</v>
      </c>
    </row>
    <row r="51" spans="2:4" x14ac:dyDescent="0.25">
      <c r="B51" t="s">
        <v>95</v>
      </c>
      <c r="C51" t="s">
        <v>42</v>
      </c>
      <c r="D51" s="5">
        <v>93592.160000000018</v>
      </c>
    </row>
    <row r="52" spans="2:4" x14ac:dyDescent="0.25">
      <c r="B52" t="s">
        <v>96</v>
      </c>
      <c r="C52" t="s">
        <v>11</v>
      </c>
      <c r="D52" s="5">
        <v>1990262.5499999989</v>
      </c>
    </row>
    <row r="53" spans="2:4" x14ac:dyDescent="0.25">
      <c r="B53" t="s">
        <v>97</v>
      </c>
      <c r="C53" t="s">
        <v>41</v>
      </c>
      <c r="D53" s="5">
        <v>14021.8</v>
      </c>
    </row>
    <row r="54" spans="2:4" x14ac:dyDescent="0.25">
      <c r="B54" t="s">
        <v>98</v>
      </c>
      <c r="C54" t="s">
        <v>40</v>
      </c>
      <c r="D54" s="5">
        <v>130218.15000000001</v>
      </c>
    </row>
    <row r="55" spans="2:4" x14ac:dyDescent="0.25">
      <c r="B55" t="s">
        <v>99</v>
      </c>
      <c r="C55" t="s">
        <v>40</v>
      </c>
      <c r="D55" s="5">
        <v>32603.25</v>
      </c>
    </row>
    <row r="56" spans="2:4" x14ac:dyDescent="0.25">
      <c r="B56" t="s">
        <v>100</v>
      </c>
      <c r="C56" t="s">
        <v>11</v>
      </c>
      <c r="D56" s="5">
        <v>2396</v>
      </c>
    </row>
    <row r="57" spans="2:4" x14ac:dyDescent="0.25">
      <c r="B57" t="s">
        <v>101</v>
      </c>
      <c r="C57" t="s">
        <v>40</v>
      </c>
      <c r="D57" s="5">
        <v>3890</v>
      </c>
    </row>
    <row r="58" spans="2:4" x14ac:dyDescent="0.25">
      <c r="B58" t="s">
        <v>102</v>
      </c>
      <c r="C58" t="s">
        <v>44</v>
      </c>
      <c r="D58" s="5">
        <v>346</v>
      </c>
    </row>
    <row r="59" spans="2:4" x14ac:dyDescent="0.25">
      <c r="B59" t="s">
        <v>103</v>
      </c>
      <c r="C59" t="s">
        <v>11</v>
      </c>
      <c r="D59" s="5">
        <v>761661.31</v>
      </c>
    </row>
    <row r="60" spans="2:4" x14ac:dyDescent="0.25">
      <c r="B60" t="s">
        <v>104</v>
      </c>
      <c r="C60" t="s">
        <v>41</v>
      </c>
      <c r="D60" s="5">
        <v>1043.0999999999999</v>
      </c>
    </row>
    <row r="61" spans="2:4" x14ac:dyDescent="0.25">
      <c r="B61" t="s">
        <v>105</v>
      </c>
      <c r="C61" t="s">
        <v>11</v>
      </c>
      <c r="D61" s="5">
        <v>5920</v>
      </c>
    </row>
    <row r="62" spans="2:4" x14ac:dyDescent="0.25">
      <c r="B62" t="s">
        <v>106</v>
      </c>
      <c r="C62" t="s">
        <v>11</v>
      </c>
      <c r="D62" s="5">
        <v>737390.47</v>
      </c>
    </row>
    <row r="63" spans="2:4" x14ac:dyDescent="0.25">
      <c r="B63" t="s">
        <v>107</v>
      </c>
      <c r="C63" t="s">
        <v>41</v>
      </c>
      <c r="D63" s="5">
        <v>31736.1</v>
      </c>
    </row>
    <row r="64" spans="2:4" x14ac:dyDescent="0.25">
      <c r="B64" t="s">
        <v>108</v>
      </c>
      <c r="C64" t="s">
        <v>41</v>
      </c>
      <c r="D64" s="5">
        <v>44425.75</v>
      </c>
    </row>
    <row r="65" spans="2:4" x14ac:dyDescent="0.25">
      <c r="B65" t="s">
        <v>109</v>
      </c>
      <c r="C65" t="s">
        <v>42</v>
      </c>
      <c r="D65" s="5">
        <v>5070</v>
      </c>
    </row>
    <row r="66" spans="2:4" x14ac:dyDescent="0.25">
      <c r="B66" t="s">
        <v>110</v>
      </c>
      <c r="C66" t="s">
        <v>42</v>
      </c>
      <c r="D66" s="5">
        <v>7786</v>
      </c>
    </row>
    <row r="67" spans="2:4" x14ac:dyDescent="0.25">
      <c r="B67" t="s">
        <v>111</v>
      </c>
      <c r="C67" t="s">
        <v>41</v>
      </c>
      <c r="D67" s="5">
        <v>0</v>
      </c>
    </row>
    <row r="68" spans="2:4" x14ac:dyDescent="0.25">
      <c r="B68" t="s">
        <v>112</v>
      </c>
      <c r="C68" t="s">
        <v>41</v>
      </c>
      <c r="D68" s="5">
        <v>7799.1</v>
      </c>
    </row>
    <row r="69" spans="2:4" x14ac:dyDescent="0.25">
      <c r="B69" t="s">
        <v>113</v>
      </c>
      <c r="C69" t="s">
        <v>44</v>
      </c>
      <c r="D69" s="5">
        <v>0</v>
      </c>
    </row>
    <row r="70" spans="2:4" x14ac:dyDescent="0.25">
      <c r="B70" t="s">
        <v>114</v>
      </c>
      <c r="C70" t="s">
        <v>44</v>
      </c>
      <c r="D70" s="5">
        <v>66260.850000000006</v>
      </c>
    </row>
    <row r="71" spans="2:4" x14ac:dyDescent="0.25">
      <c r="B71" t="s">
        <v>115</v>
      </c>
      <c r="C71" t="s">
        <v>44</v>
      </c>
      <c r="D71" s="5">
        <v>37509.25</v>
      </c>
    </row>
    <row r="72" spans="2:4" x14ac:dyDescent="0.25">
      <c r="B72" t="s">
        <v>116</v>
      </c>
      <c r="C72" t="s">
        <v>41</v>
      </c>
      <c r="D72" s="5">
        <v>3054</v>
      </c>
    </row>
    <row r="73" spans="2:4" x14ac:dyDescent="0.25">
      <c r="B73" t="s">
        <v>117</v>
      </c>
      <c r="C73" t="s">
        <v>44</v>
      </c>
      <c r="D73" s="5">
        <v>6462</v>
      </c>
    </row>
    <row r="74" spans="2:4" x14ac:dyDescent="0.25">
      <c r="B74" t="s">
        <v>118</v>
      </c>
      <c r="C74" t="s">
        <v>44</v>
      </c>
      <c r="D74" s="5">
        <v>5852</v>
      </c>
    </row>
    <row r="75" spans="2:4" x14ac:dyDescent="0.25">
      <c r="B75" t="s">
        <v>119</v>
      </c>
      <c r="C75" t="s">
        <v>42</v>
      </c>
      <c r="D75" s="5">
        <v>7592.05</v>
      </c>
    </row>
    <row r="76" spans="2:4" x14ac:dyDescent="0.25">
      <c r="B76" t="s">
        <v>120</v>
      </c>
      <c r="C76" t="s">
        <v>11</v>
      </c>
      <c r="D76" s="5">
        <v>1275</v>
      </c>
    </row>
    <row r="77" spans="2:4" x14ac:dyDescent="0.25">
      <c r="B77" t="s">
        <v>121</v>
      </c>
      <c r="C77" t="s">
        <v>43</v>
      </c>
      <c r="D77" s="5">
        <v>42647.5</v>
      </c>
    </row>
    <row r="78" spans="2:4" x14ac:dyDescent="0.25">
      <c r="B78" t="s">
        <v>122</v>
      </c>
      <c r="C78" t="s">
        <v>43</v>
      </c>
      <c r="D78" s="5">
        <v>33766</v>
      </c>
    </row>
    <row r="79" spans="2:4" x14ac:dyDescent="0.25">
      <c r="B79" t="s">
        <v>123</v>
      </c>
      <c r="C79" t="s">
        <v>43</v>
      </c>
      <c r="D79" s="5">
        <v>9980</v>
      </c>
    </row>
    <row r="80" spans="2:4" x14ac:dyDescent="0.25">
      <c r="B80" t="s">
        <v>124</v>
      </c>
      <c r="C80" t="s">
        <v>11</v>
      </c>
      <c r="D80" s="5">
        <v>261864.49000000011</v>
      </c>
    </row>
    <row r="81" spans="2:4" x14ac:dyDescent="0.25">
      <c r="B81" t="s">
        <v>125</v>
      </c>
      <c r="C81" t="s">
        <v>43</v>
      </c>
      <c r="D81" s="5">
        <v>6430</v>
      </c>
    </row>
    <row r="82" spans="2:4" x14ac:dyDescent="0.25">
      <c r="B82" t="s">
        <v>126</v>
      </c>
      <c r="C82" t="s">
        <v>11</v>
      </c>
      <c r="D82" s="5">
        <v>588271.22999999952</v>
      </c>
    </row>
    <row r="83" spans="2:4" x14ac:dyDescent="0.25">
      <c r="B83" t="s">
        <v>127</v>
      </c>
      <c r="C83" t="s">
        <v>41</v>
      </c>
      <c r="D83" s="5">
        <v>699</v>
      </c>
    </row>
    <row r="84" spans="2:4" x14ac:dyDescent="0.25">
      <c r="B84" t="s">
        <v>128</v>
      </c>
      <c r="C84" t="s">
        <v>41</v>
      </c>
      <c r="D84" s="5">
        <v>598</v>
      </c>
    </row>
    <row r="85" spans="2:4" x14ac:dyDescent="0.25">
      <c r="B85" t="s">
        <v>129</v>
      </c>
      <c r="C85" t="s">
        <v>41</v>
      </c>
      <c r="D85" s="5">
        <v>215601.24</v>
      </c>
    </row>
    <row r="86" spans="2:4" x14ac:dyDescent="0.25">
      <c r="B86" t="s">
        <v>130</v>
      </c>
      <c r="C86" t="s">
        <v>41</v>
      </c>
      <c r="D86" s="5">
        <v>17741.16</v>
      </c>
    </row>
    <row r="87" spans="2:4" x14ac:dyDescent="0.25">
      <c r="B87" t="s">
        <v>131</v>
      </c>
      <c r="C87" t="s">
        <v>41</v>
      </c>
      <c r="D87" s="5">
        <v>3439</v>
      </c>
    </row>
    <row r="88" spans="2:4" x14ac:dyDescent="0.25">
      <c r="B88" t="s">
        <v>132</v>
      </c>
      <c r="C88" t="s">
        <v>41</v>
      </c>
      <c r="D88" s="5">
        <v>550780.09999999986</v>
      </c>
    </row>
    <row r="89" spans="2:4" x14ac:dyDescent="0.25">
      <c r="B89" t="s">
        <v>133</v>
      </c>
      <c r="C89" t="s">
        <v>41</v>
      </c>
      <c r="D89" s="5">
        <v>0</v>
      </c>
    </row>
    <row r="90" spans="2:4" x14ac:dyDescent="0.25">
      <c r="B90" t="s">
        <v>134</v>
      </c>
      <c r="C90" t="s">
        <v>42</v>
      </c>
      <c r="D90" s="5">
        <v>2761</v>
      </c>
    </row>
    <row r="91" spans="2:4" x14ac:dyDescent="0.25">
      <c r="B91" t="s">
        <v>135</v>
      </c>
      <c r="C91" t="s">
        <v>43</v>
      </c>
      <c r="D91" s="5">
        <v>1100</v>
      </c>
    </row>
    <row r="92" spans="2:4" x14ac:dyDescent="0.25">
      <c r="B92" t="s">
        <v>136</v>
      </c>
      <c r="C92" t="s">
        <v>11</v>
      </c>
      <c r="D92" s="5">
        <v>14376</v>
      </c>
    </row>
    <row r="93" spans="2:4" x14ac:dyDescent="0.25">
      <c r="B93" t="s">
        <v>137</v>
      </c>
      <c r="C93" t="s">
        <v>42</v>
      </c>
      <c r="D93" s="5">
        <v>4753</v>
      </c>
    </row>
    <row r="94" spans="2:4" x14ac:dyDescent="0.25">
      <c r="B94" t="s">
        <v>138</v>
      </c>
      <c r="C94" t="s">
        <v>43</v>
      </c>
      <c r="D94" s="5">
        <v>27689</v>
      </c>
    </row>
    <row r="95" spans="2:4" x14ac:dyDescent="0.25">
      <c r="B95" t="s">
        <v>139</v>
      </c>
      <c r="C95" t="s">
        <v>43</v>
      </c>
      <c r="D95" s="5">
        <v>53433.200000000004</v>
      </c>
    </row>
    <row r="96" spans="2:4" x14ac:dyDescent="0.25">
      <c r="B96" t="s">
        <v>140</v>
      </c>
      <c r="C96" t="s">
        <v>40</v>
      </c>
      <c r="D96" s="5">
        <v>1028.7</v>
      </c>
    </row>
    <row r="97" spans="2:4" x14ac:dyDescent="0.25">
      <c r="B97" t="s">
        <v>141</v>
      </c>
      <c r="C97" t="s">
        <v>40</v>
      </c>
      <c r="D97" s="5">
        <v>9456</v>
      </c>
    </row>
    <row r="98" spans="2:4" x14ac:dyDescent="0.25">
      <c r="B98" t="s">
        <v>142</v>
      </c>
      <c r="C98" t="s">
        <v>42</v>
      </c>
      <c r="D98" s="5">
        <v>2035</v>
      </c>
    </row>
    <row r="99" spans="2:4" x14ac:dyDescent="0.25">
      <c r="B99" t="s">
        <v>143</v>
      </c>
      <c r="C99" t="s">
        <v>42</v>
      </c>
      <c r="D99" s="5">
        <v>1495</v>
      </c>
    </row>
    <row r="100" spans="2:4" x14ac:dyDescent="0.25">
      <c r="B100" t="s">
        <v>144</v>
      </c>
      <c r="C100" t="s">
        <v>41</v>
      </c>
      <c r="D100" s="5">
        <v>59758.05000000001</v>
      </c>
    </row>
    <row r="101" spans="2:4" x14ac:dyDescent="0.25">
      <c r="B101" t="s">
        <v>145</v>
      </c>
      <c r="C101" t="s">
        <v>43</v>
      </c>
      <c r="D101" s="5">
        <v>19500</v>
      </c>
    </row>
    <row r="102" spans="2:4" x14ac:dyDescent="0.25">
      <c r="B102" t="s">
        <v>146</v>
      </c>
      <c r="C102" t="s">
        <v>43</v>
      </c>
      <c r="D102" s="5">
        <v>0</v>
      </c>
    </row>
    <row r="103" spans="2:4" x14ac:dyDescent="0.25">
      <c r="B103" t="s">
        <v>147</v>
      </c>
      <c r="C103" t="s">
        <v>40</v>
      </c>
      <c r="D103" s="5">
        <v>161200</v>
      </c>
    </row>
    <row r="104" spans="2:4" x14ac:dyDescent="0.25">
      <c r="B104" t="s">
        <v>148</v>
      </c>
      <c r="C104" t="s">
        <v>40</v>
      </c>
      <c r="D104" s="5">
        <v>81911.61</v>
      </c>
    </row>
    <row r="105" spans="2:4" x14ac:dyDescent="0.25">
      <c r="B105" t="s">
        <v>149</v>
      </c>
      <c r="C105" t="s">
        <v>40</v>
      </c>
      <c r="D105" s="5">
        <v>346715</v>
      </c>
    </row>
    <row r="106" spans="2:4" x14ac:dyDescent="0.25">
      <c r="B106" t="s">
        <v>150</v>
      </c>
      <c r="C106" t="s">
        <v>40</v>
      </c>
      <c r="D106" s="5">
        <v>38510.839999999997</v>
      </c>
    </row>
    <row r="107" spans="2:4" x14ac:dyDescent="0.25">
      <c r="B107" t="s">
        <v>151</v>
      </c>
      <c r="C107" t="s">
        <v>40</v>
      </c>
      <c r="D107" s="5">
        <v>74717.8</v>
      </c>
    </row>
    <row r="108" spans="2:4" x14ac:dyDescent="0.25">
      <c r="B108" t="s">
        <v>152</v>
      </c>
      <c r="C108" t="s">
        <v>40</v>
      </c>
      <c r="D108" s="5">
        <v>407703.16000000003</v>
      </c>
    </row>
    <row r="109" spans="2:4" x14ac:dyDescent="0.25">
      <c r="B109" t="s">
        <v>153</v>
      </c>
      <c r="C109" t="s">
        <v>40</v>
      </c>
      <c r="D109" s="5">
        <v>219956</v>
      </c>
    </row>
    <row r="110" spans="2:4" x14ac:dyDescent="0.25">
      <c r="B110" t="s">
        <v>154</v>
      </c>
      <c r="C110" t="s">
        <v>41</v>
      </c>
      <c r="D110" s="5">
        <v>13680</v>
      </c>
    </row>
    <row r="111" spans="2:4" x14ac:dyDescent="0.25">
      <c r="B111" t="s">
        <v>155</v>
      </c>
      <c r="C111" t="s">
        <v>41</v>
      </c>
      <c r="D111" s="5">
        <v>0</v>
      </c>
    </row>
    <row r="112" spans="2:4" x14ac:dyDescent="0.25">
      <c r="B112" t="s">
        <v>156</v>
      </c>
      <c r="C112" t="s">
        <v>43</v>
      </c>
      <c r="D112" s="5">
        <v>37340</v>
      </c>
    </row>
    <row r="113" spans="2:4" x14ac:dyDescent="0.25">
      <c r="B113" t="s">
        <v>157</v>
      </c>
      <c r="C113" t="s">
        <v>43</v>
      </c>
      <c r="D113" s="5">
        <v>0</v>
      </c>
    </row>
    <row r="114" spans="2:4" x14ac:dyDescent="0.25">
      <c r="B114" t="s">
        <v>158</v>
      </c>
      <c r="C114" t="s">
        <v>11</v>
      </c>
      <c r="D114" s="5">
        <v>80277.119999999995</v>
      </c>
    </row>
    <row r="115" spans="2:4" x14ac:dyDescent="0.25">
      <c r="B115" t="s">
        <v>159</v>
      </c>
      <c r="C115" t="s">
        <v>42</v>
      </c>
      <c r="D115" s="5">
        <v>1460</v>
      </c>
    </row>
    <row r="116" spans="2:4" x14ac:dyDescent="0.25">
      <c r="B116" t="s">
        <v>160</v>
      </c>
      <c r="C116" t="s">
        <v>44</v>
      </c>
      <c r="D116" s="5">
        <v>9769.2000000000007</v>
      </c>
    </row>
    <row r="117" spans="2:4" x14ac:dyDescent="0.25">
      <c r="B117" t="s">
        <v>161</v>
      </c>
      <c r="C117" t="s">
        <v>44</v>
      </c>
      <c r="D117" s="5">
        <v>590</v>
      </c>
    </row>
    <row r="118" spans="2:4" x14ac:dyDescent="0.25">
      <c r="B118" t="s">
        <v>162</v>
      </c>
      <c r="C118" t="s">
        <v>11</v>
      </c>
      <c r="D118" s="5">
        <v>222973.60999999987</v>
      </c>
    </row>
    <row r="119" spans="2:4" x14ac:dyDescent="0.25">
      <c r="B119" t="s">
        <v>163</v>
      </c>
      <c r="C119" t="s">
        <v>11</v>
      </c>
      <c r="D119" s="5">
        <v>1518300.33</v>
      </c>
    </row>
    <row r="120" spans="2:4" x14ac:dyDescent="0.25">
      <c r="B120" t="s">
        <v>164</v>
      </c>
      <c r="C120" t="s">
        <v>41</v>
      </c>
      <c r="D120" s="5">
        <v>46563.3</v>
      </c>
    </row>
    <row r="121" spans="2:4" x14ac:dyDescent="0.25">
      <c r="B121" t="s">
        <v>165</v>
      </c>
      <c r="C121" t="s">
        <v>43</v>
      </c>
      <c r="D121" s="5">
        <v>2950</v>
      </c>
    </row>
    <row r="122" spans="2:4" x14ac:dyDescent="0.25">
      <c r="B122" t="s">
        <v>166</v>
      </c>
      <c r="C122" t="s">
        <v>41</v>
      </c>
      <c r="D122" s="5">
        <v>51121.9</v>
      </c>
    </row>
    <row r="123" spans="2:4" x14ac:dyDescent="0.25">
      <c r="B123" t="s">
        <v>167</v>
      </c>
      <c r="C123" t="s">
        <v>40</v>
      </c>
      <c r="D123" s="5">
        <v>758615.1999999996</v>
      </c>
    </row>
    <row r="124" spans="2:4" x14ac:dyDescent="0.25">
      <c r="B124" t="s">
        <v>168</v>
      </c>
      <c r="C124" t="s">
        <v>40</v>
      </c>
      <c r="D124" s="5">
        <v>214687.00000000003</v>
      </c>
    </row>
    <row r="125" spans="2:4" x14ac:dyDescent="0.25">
      <c r="B125" t="s">
        <v>169</v>
      </c>
      <c r="C125" t="s">
        <v>40</v>
      </c>
      <c r="D125" s="5">
        <v>48797.599999999999</v>
      </c>
    </row>
    <row r="126" spans="2:4" x14ac:dyDescent="0.25">
      <c r="B126" t="s">
        <v>170</v>
      </c>
      <c r="C126" t="s">
        <v>40</v>
      </c>
      <c r="D126" s="5">
        <v>101169.60000000001</v>
      </c>
    </row>
    <row r="127" spans="2:4" x14ac:dyDescent="0.25">
      <c r="B127" t="s">
        <v>171</v>
      </c>
      <c r="C127" t="s">
        <v>43</v>
      </c>
      <c r="D127" s="5">
        <v>4197</v>
      </c>
    </row>
    <row r="128" spans="2:4" x14ac:dyDescent="0.25">
      <c r="B128" t="s">
        <v>172</v>
      </c>
      <c r="C128" t="s">
        <v>11</v>
      </c>
      <c r="D128" s="5">
        <v>13340</v>
      </c>
    </row>
    <row r="129" spans="2:4" x14ac:dyDescent="0.25">
      <c r="B129" t="s">
        <v>173</v>
      </c>
      <c r="C129" t="s">
        <v>41</v>
      </c>
      <c r="D129" s="5">
        <v>24900</v>
      </c>
    </row>
    <row r="130" spans="2:4" x14ac:dyDescent="0.25">
      <c r="B130" t="s">
        <v>174</v>
      </c>
      <c r="C130" t="s">
        <v>43</v>
      </c>
      <c r="D130" s="5">
        <v>49294.7</v>
      </c>
    </row>
    <row r="131" spans="2:4" x14ac:dyDescent="0.25">
      <c r="B131" t="s">
        <v>175</v>
      </c>
      <c r="C131" t="s">
        <v>43</v>
      </c>
      <c r="D131" s="5">
        <v>14830.099999999999</v>
      </c>
    </row>
    <row r="132" spans="2:4" x14ac:dyDescent="0.25">
      <c r="B132" t="s">
        <v>176</v>
      </c>
      <c r="C132" t="s">
        <v>11</v>
      </c>
      <c r="D132" s="5">
        <v>1063382.4300000004</v>
      </c>
    </row>
    <row r="133" spans="2:4" x14ac:dyDescent="0.25">
      <c r="B133" t="s">
        <v>177</v>
      </c>
      <c r="C133" t="s">
        <v>11</v>
      </c>
      <c r="D133" s="5">
        <v>138417.5</v>
      </c>
    </row>
    <row r="134" spans="2:4" x14ac:dyDescent="0.25">
      <c r="B134" t="s">
        <v>178</v>
      </c>
      <c r="C134" t="s">
        <v>41</v>
      </c>
      <c r="D134" s="5">
        <v>30954.99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7" sqref="H7"/>
    </sheetView>
  </sheetViews>
  <sheetFormatPr defaultRowHeight="15" x14ac:dyDescent="0.25"/>
  <cols>
    <col min="1" max="1" width="13.5703125" customWidth="1"/>
    <col min="2" max="2" width="18.85546875" customWidth="1"/>
    <col min="3" max="3" width="17.5703125" customWidth="1"/>
    <col min="4" max="4" width="17.140625" customWidth="1"/>
    <col min="5" max="5" width="17.42578125" customWidth="1"/>
    <col min="8" max="8" width="10.42578125" bestFit="1" customWidth="1"/>
  </cols>
  <sheetData>
    <row r="1" spans="1:9" x14ac:dyDescent="0.25">
      <c r="A1" s="57" t="s">
        <v>290</v>
      </c>
      <c r="B1" s="57" t="s">
        <v>291</v>
      </c>
      <c r="C1" s="57" t="s">
        <v>292</v>
      </c>
      <c r="D1" s="57" t="s">
        <v>293</v>
      </c>
      <c r="E1" s="57" t="s">
        <v>294</v>
      </c>
      <c r="G1" s="57" t="s">
        <v>293</v>
      </c>
      <c r="H1" s="57" t="s">
        <v>294</v>
      </c>
      <c r="I1" s="57" t="s">
        <v>314</v>
      </c>
    </row>
    <row r="2" spans="1:9" x14ac:dyDescent="0.25">
      <c r="A2" s="8" t="s">
        <v>295</v>
      </c>
      <c r="B2" s="55" t="s">
        <v>304</v>
      </c>
      <c r="C2" s="8" t="s">
        <v>240</v>
      </c>
      <c r="D2" s="8" t="s">
        <v>309</v>
      </c>
      <c r="E2" s="8" t="s">
        <v>311</v>
      </c>
      <c r="G2" s="8" t="s">
        <v>309</v>
      </c>
      <c r="H2" s="8" t="s">
        <v>313</v>
      </c>
      <c r="I2" s="8">
        <f>COUNTIFS(D$2:D$11,G2,E$2:E$11,H2)</f>
        <v>2</v>
      </c>
    </row>
    <row r="3" spans="1:9" x14ac:dyDescent="0.25">
      <c r="A3" s="8" t="s">
        <v>296</v>
      </c>
      <c r="B3" s="56">
        <v>41984</v>
      </c>
      <c r="C3" s="8" t="s">
        <v>241</v>
      </c>
      <c r="D3" s="8" t="s">
        <v>309</v>
      </c>
      <c r="E3" s="8" t="s">
        <v>312</v>
      </c>
      <c r="G3" s="8" t="s">
        <v>310</v>
      </c>
      <c r="H3" s="8" t="s">
        <v>311</v>
      </c>
      <c r="I3" s="8">
        <f>COUNTIFS(D$2:D$11,G3,E$2:E$11,H3)</f>
        <v>2</v>
      </c>
    </row>
    <row r="4" spans="1:9" x14ac:dyDescent="0.25">
      <c r="A4" s="8" t="s">
        <v>297</v>
      </c>
      <c r="B4" s="56" t="s">
        <v>305</v>
      </c>
      <c r="C4" s="8" t="s">
        <v>240</v>
      </c>
      <c r="D4" s="8" t="s">
        <v>310</v>
      </c>
      <c r="E4" s="8" t="s">
        <v>313</v>
      </c>
      <c r="G4" s="8" t="s">
        <v>309</v>
      </c>
      <c r="H4" s="8" t="s">
        <v>312</v>
      </c>
      <c r="I4" s="8">
        <f>COUNTIFS(D$2:D$11,G4,E$2:E$11,H4)</f>
        <v>2</v>
      </c>
    </row>
    <row r="5" spans="1:9" x14ac:dyDescent="0.25">
      <c r="A5" s="8" t="s">
        <v>298</v>
      </c>
      <c r="B5" s="56">
        <v>43073</v>
      </c>
      <c r="C5" s="8" t="s">
        <v>241</v>
      </c>
      <c r="D5" s="8" t="s">
        <v>310</v>
      </c>
      <c r="E5" s="8" t="s">
        <v>311</v>
      </c>
    </row>
    <row r="6" spans="1:9" x14ac:dyDescent="0.25">
      <c r="A6" s="8" t="s">
        <v>299</v>
      </c>
      <c r="B6" s="56">
        <v>42558</v>
      </c>
      <c r="C6" s="8" t="s">
        <v>307</v>
      </c>
      <c r="D6" s="8" t="s">
        <v>310</v>
      </c>
      <c r="E6" s="8" t="s">
        <v>312</v>
      </c>
    </row>
    <row r="7" spans="1:9" x14ac:dyDescent="0.25">
      <c r="A7" s="8" t="s">
        <v>300</v>
      </c>
      <c r="B7" s="56" t="s">
        <v>306</v>
      </c>
      <c r="C7" s="8" t="s">
        <v>240</v>
      </c>
      <c r="D7" s="8" t="s">
        <v>309</v>
      </c>
      <c r="E7" s="8" t="s">
        <v>311</v>
      </c>
      <c r="G7">
        <f>COUNTIFS(B$2:B$11,"&lt;1/1/2016",D$2:D$11,"Female")</f>
        <v>2</v>
      </c>
    </row>
    <row r="8" spans="1:9" x14ac:dyDescent="0.25">
      <c r="A8" s="8" t="s">
        <v>300</v>
      </c>
      <c r="B8" s="56">
        <v>42675</v>
      </c>
      <c r="C8" s="8" t="s">
        <v>308</v>
      </c>
      <c r="D8" s="8" t="s">
        <v>310</v>
      </c>
      <c r="E8" s="8" t="s">
        <v>311</v>
      </c>
    </row>
    <row r="9" spans="1:9" x14ac:dyDescent="0.25">
      <c r="A9" s="8" t="s">
        <v>301</v>
      </c>
      <c r="B9" s="56">
        <v>42016</v>
      </c>
      <c r="C9" s="8" t="s">
        <v>307</v>
      </c>
      <c r="D9" s="8" t="s">
        <v>309</v>
      </c>
      <c r="E9" s="8" t="s">
        <v>312</v>
      </c>
      <c r="G9">
        <f>COUNTIFS(C$2:C$11,"Monday",D$2:D$11,"Female",E$2:E$11,"Delhi")</f>
        <v>2</v>
      </c>
    </row>
    <row r="10" spans="1:9" x14ac:dyDescent="0.25">
      <c r="A10" s="8" t="s">
        <v>302</v>
      </c>
      <c r="B10" s="56">
        <v>43078</v>
      </c>
      <c r="C10" s="8" t="s">
        <v>308</v>
      </c>
      <c r="D10" s="8" t="s">
        <v>309</v>
      </c>
      <c r="E10" s="8" t="s">
        <v>313</v>
      </c>
    </row>
    <row r="11" spans="1:9" x14ac:dyDescent="0.25">
      <c r="A11" s="8" t="s">
        <v>303</v>
      </c>
      <c r="B11" s="56">
        <v>42375</v>
      </c>
      <c r="C11" s="8" t="s">
        <v>241</v>
      </c>
      <c r="D11" s="8" t="s">
        <v>309</v>
      </c>
      <c r="E11" s="8" t="s">
        <v>313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D1" zoomScale="130" zoomScaleNormal="130" workbookViewId="0">
      <selection activeCell="D17" sqref="D17"/>
    </sheetView>
  </sheetViews>
  <sheetFormatPr defaultRowHeight="15" x14ac:dyDescent="0.25"/>
  <cols>
    <col min="1" max="1" width="4.42578125" customWidth="1"/>
    <col min="2" max="2" width="36.140625" customWidth="1"/>
    <col min="3" max="3" width="11.85546875" customWidth="1"/>
    <col min="4" max="4" width="20.140625" customWidth="1"/>
    <col min="5" max="5" width="15.42578125" customWidth="1"/>
    <col min="6" max="7" width="12.42578125" customWidth="1"/>
    <col min="8" max="8" width="10.7109375" customWidth="1"/>
    <col min="9" max="9" width="21.85546875" bestFit="1" customWidth="1"/>
    <col min="10" max="10" width="8.7109375" customWidth="1"/>
    <col min="11" max="11" width="22.7109375" bestFit="1" customWidth="1"/>
    <col min="12" max="12" width="13" bestFit="1" customWidth="1"/>
    <col min="13" max="13" width="13.85546875" bestFit="1" customWidth="1"/>
    <col min="14" max="14" width="26.7109375" bestFit="1" customWidth="1"/>
    <col min="15" max="15" width="22.42578125" bestFit="1" customWidth="1"/>
    <col min="16" max="17" width="13.85546875" bestFit="1" customWidth="1"/>
    <col min="18" max="19" width="22.42578125" bestFit="1" customWidth="1"/>
    <col min="20" max="20" width="26" bestFit="1" customWidth="1"/>
    <col min="21" max="21" width="26.7109375" bestFit="1" customWidth="1"/>
    <col min="22" max="22" width="19" bestFit="1" customWidth="1"/>
  </cols>
  <sheetData>
    <row r="1" spans="1:22" ht="17.25" x14ac:dyDescent="0.4">
      <c r="D1" s="12" t="s">
        <v>209</v>
      </c>
      <c r="E1" s="12"/>
      <c r="F1" s="12" t="s">
        <v>208</v>
      </c>
      <c r="G1" s="1"/>
      <c r="H1" s="1"/>
      <c r="I1" s="35"/>
      <c r="K1" s="35"/>
    </row>
    <row r="2" spans="1:22" ht="17.25" x14ac:dyDescent="0.4">
      <c r="A2" s="34" t="s">
        <v>0</v>
      </c>
      <c r="B2" s="40" t="s">
        <v>4</v>
      </c>
      <c r="C2" s="41" t="s">
        <v>192</v>
      </c>
      <c r="D2" s="54">
        <v>44197</v>
      </c>
      <c r="E2" s="54">
        <v>44228</v>
      </c>
      <c r="F2" s="54">
        <v>44197</v>
      </c>
      <c r="G2" s="54">
        <v>44228</v>
      </c>
      <c r="H2" s="41" t="s">
        <v>200</v>
      </c>
      <c r="I2" s="41" t="s">
        <v>216</v>
      </c>
      <c r="K2" t="s">
        <v>210</v>
      </c>
      <c r="L2" s="3"/>
      <c r="M2" s="31"/>
      <c r="N2" s="32"/>
      <c r="O2" s="31"/>
      <c r="P2" s="32"/>
      <c r="Q2" s="31"/>
      <c r="R2" s="32"/>
      <c r="S2" s="31"/>
      <c r="T2" s="32"/>
      <c r="U2" s="31"/>
      <c r="V2" s="32"/>
    </row>
    <row r="3" spans="1:22" x14ac:dyDescent="0.25">
      <c r="A3" s="23"/>
      <c r="B3" t="s">
        <v>66</v>
      </c>
      <c r="C3" s="36">
        <v>72</v>
      </c>
      <c r="D3" s="36">
        <v>4</v>
      </c>
      <c r="E3" s="36">
        <v>4</v>
      </c>
      <c r="F3" s="36">
        <f>C3*D3</f>
        <v>288</v>
      </c>
      <c r="G3" s="36">
        <f>C3*E3</f>
        <v>288</v>
      </c>
      <c r="H3" s="36">
        <f>SUM(F3,G3)</f>
        <v>576</v>
      </c>
      <c r="I3" s="44">
        <f>H3/$H$13</f>
        <v>8.0525653571927869E-2</v>
      </c>
      <c r="J3" s="5"/>
      <c r="K3" s="5" t="s">
        <v>211</v>
      </c>
      <c r="L3" s="7"/>
      <c r="M3" s="23"/>
      <c r="O3" s="23"/>
      <c r="Q3" s="23"/>
      <c r="S3" s="23"/>
      <c r="U3" s="23"/>
    </row>
    <row r="4" spans="1:22" x14ac:dyDescent="0.25">
      <c r="A4" s="23"/>
      <c r="B4" t="s">
        <v>179</v>
      </c>
      <c r="C4" s="36">
        <v>82</v>
      </c>
      <c r="D4" s="36">
        <v>7</v>
      </c>
      <c r="E4" s="36">
        <v>5</v>
      </c>
      <c r="F4" s="36">
        <f t="shared" ref="F4:F12" si="0">C4*D4</f>
        <v>574</v>
      </c>
      <c r="G4" s="36">
        <f t="shared" ref="G4:G12" si="1">C4*E4</f>
        <v>410</v>
      </c>
      <c r="H4" s="36">
        <f t="shared" ref="H4:H12" si="2">SUM(F4,G4)</f>
        <v>984</v>
      </c>
      <c r="I4" s="44">
        <f t="shared" ref="I4:I12" si="3">H4/$H$13</f>
        <v>0.13756465818537678</v>
      </c>
      <c r="J4" s="5"/>
      <c r="K4" s="5" t="s">
        <v>212</v>
      </c>
    </row>
    <row r="5" spans="1:22" x14ac:dyDescent="0.25">
      <c r="A5" s="23"/>
      <c r="B5" t="s">
        <v>106</v>
      </c>
      <c r="C5" s="36">
        <v>87</v>
      </c>
      <c r="D5" s="36">
        <v>4</v>
      </c>
      <c r="E5" s="36">
        <v>6</v>
      </c>
      <c r="F5" s="36">
        <f t="shared" si="0"/>
        <v>348</v>
      </c>
      <c r="G5" s="36">
        <f t="shared" si="1"/>
        <v>522</v>
      </c>
      <c r="H5" s="36">
        <f t="shared" si="2"/>
        <v>870</v>
      </c>
      <c r="I5" s="44">
        <f t="shared" si="3"/>
        <v>0.12162728924926604</v>
      </c>
      <c r="J5" s="5"/>
      <c r="K5" s="5"/>
    </row>
    <row r="6" spans="1:22" x14ac:dyDescent="0.25">
      <c r="A6" s="23"/>
      <c r="B6" t="s">
        <v>66</v>
      </c>
      <c r="C6" s="36">
        <v>64</v>
      </c>
      <c r="D6" s="36">
        <v>0</v>
      </c>
      <c r="E6" s="36">
        <v>2</v>
      </c>
      <c r="F6" s="36">
        <f t="shared" si="0"/>
        <v>0</v>
      </c>
      <c r="G6" s="36">
        <f t="shared" si="1"/>
        <v>128</v>
      </c>
      <c r="H6" s="36">
        <f t="shared" si="2"/>
        <v>128</v>
      </c>
      <c r="I6" s="44">
        <f t="shared" si="3"/>
        <v>1.7894589682650636E-2</v>
      </c>
      <c r="J6" s="5"/>
      <c r="K6" s="5"/>
    </row>
    <row r="7" spans="1:22" x14ac:dyDescent="0.25">
      <c r="A7" s="23"/>
      <c r="B7" t="s">
        <v>66</v>
      </c>
      <c r="C7" s="36">
        <v>120</v>
      </c>
      <c r="D7" s="36">
        <v>4</v>
      </c>
      <c r="E7" s="36">
        <v>3</v>
      </c>
      <c r="F7" s="36">
        <f t="shared" si="0"/>
        <v>480</v>
      </c>
      <c r="G7" s="36">
        <f t="shared" si="1"/>
        <v>360</v>
      </c>
      <c r="H7" s="36">
        <f t="shared" si="2"/>
        <v>840</v>
      </c>
      <c r="I7" s="44">
        <f t="shared" si="3"/>
        <v>0.11743324479239479</v>
      </c>
      <c r="J7" s="5"/>
      <c r="K7" s="5"/>
    </row>
    <row r="8" spans="1:22" x14ac:dyDescent="0.25">
      <c r="A8" s="23"/>
      <c r="B8" t="s">
        <v>106</v>
      </c>
      <c r="C8" s="36">
        <v>96</v>
      </c>
      <c r="D8" s="36">
        <v>0</v>
      </c>
      <c r="E8" s="36">
        <v>7</v>
      </c>
      <c r="F8" s="36">
        <f t="shared" si="0"/>
        <v>0</v>
      </c>
      <c r="G8" s="36">
        <f t="shared" si="1"/>
        <v>672</v>
      </c>
      <c r="H8" s="36">
        <f t="shared" si="2"/>
        <v>672</v>
      </c>
      <c r="I8" s="44">
        <f t="shared" si="3"/>
        <v>9.3946595833915833E-2</v>
      </c>
      <c r="J8" s="5"/>
      <c r="K8" s="5"/>
    </row>
    <row r="9" spans="1:22" x14ac:dyDescent="0.25">
      <c r="A9" s="23"/>
      <c r="B9" t="s">
        <v>106</v>
      </c>
      <c r="C9" s="36">
        <v>95</v>
      </c>
      <c r="D9" s="36">
        <v>0</v>
      </c>
      <c r="E9" s="36">
        <v>8</v>
      </c>
      <c r="F9" s="36">
        <f t="shared" si="0"/>
        <v>0</v>
      </c>
      <c r="G9" s="36">
        <f t="shared" si="1"/>
        <v>760</v>
      </c>
      <c r="H9" s="36">
        <f t="shared" si="2"/>
        <v>760</v>
      </c>
      <c r="I9" s="44">
        <f t="shared" si="3"/>
        <v>0.10624912624073815</v>
      </c>
      <c r="J9" s="5"/>
      <c r="K9" s="5"/>
    </row>
    <row r="10" spans="1:22" x14ac:dyDescent="0.25">
      <c r="A10" s="23"/>
      <c r="B10" t="s">
        <v>173</v>
      </c>
      <c r="C10" s="36">
        <v>97</v>
      </c>
      <c r="D10" s="36">
        <v>4</v>
      </c>
      <c r="E10" s="36">
        <v>8</v>
      </c>
      <c r="F10" s="36">
        <f t="shared" si="0"/>
        <v>388</v>
      </c>
      <c r="G10" s="36">
        <f t="shared" si="1"/>
        <v>776</v>
      </c>
      <c r="H10" s="36">
        <f t="shared" si="2"/>
        <v>1164</v>
      </c>
      <c r="I10" s="44">
        <f t="shared" si="3"/>
        <v>0.16272892492660423</v>
      </c>
      <c r="J10" s="5"/>
      <c r="K10" s="5"/>
    </row>
    <row r="11" spans="1:22" x14ac:dyDescent="0.25">
      <c r="A11" s="23"/>
      <c r="B11" t="s">
        <v>179</v>
      </c>
      <c r="C11" s="36">
        <v>100</v>
      </c>
      <c r="D11" s="36">
        <v>3</v>
      </c>
      <c r="E11" s="36">
        <v>4</v>
      </c>
      <c r="F11" s="36">
        <f t="shared" si="0"/>
        <v>300</v>
      </c>
      <c r="G11" s="36">
        <f t="shared" si="1"/>
        <v>400</v>
      </c>
      <c r="H11" s="36">
        <f t="shared" si="2"/>
        <v>700</v>
      </c>
      <c r="I11" s="44">
        <f t="shared" si="3"/>
        <v>9.7861037326995665E-2</v>
      </c>
      <c r="J11" s="5"/>
      <c r="K11" s="5"/>
    </row>
    <row r="12" spans="1:22" x14ac:dyDescent="0.25">
      <c r="A12" s="23"/>
      <c r="B12" t="s">
        <v>177</v>
      </c>
      <c r="C12" s="36">
        <v>51</v>
      </c>
      <c r="D12" s="36">
        <v>6</v>
      </c>
      <c r="E12" s="36">
        <v>3</v>
      </c>
      <c r="F12" s="36">
        <f t="shared" si="0"/>
        <v>306</v>
      </c>
      <c r="G12" s="36">
        <f t="shared" si="1"/>
        <v>153</v>
      </c>
      <c r="H12" s="36">
        <f t="shared" si="2"/>
        <v>459</v>
      </c>
      <c r="I12" s="44">
        <f t="shared" si="3"/>
        <v>6.416888019013002E-2</v>
      </c>
      <c r="J12" s="5"/>
      <c r="K12" s="5"/>
    </row>
    <row r="13" spans="1:22" s="2" customFormat="1" x14ac:dyDescent="0.25">
      <c r="A13" s="23"/>
      <c r="B13" s="11" t="s">
        <v>1</v>
      </c>
      <c r="C13" s="11"/>
      <c r="D13" s="19"/>
      <c r="E13" s="19"/>
      <c r="F13" s="36"/>
      <c r="G13" s="36"/>
      <c r="H13" s="36">
        <f>SUM(H3:H12)</f>
        <v>7153</v>
      </c>
      <c r="I13" s="53">
        <f>SUM(I3:I12)</f>
        <v>0.99999999999999989</v>
      </c>
    </row>
    <row r="14" spans="1:22" s="2" customFormat="1" x14ac:dyDescent="0.25">
      <c r="B14" s="28"/>
      <c r="C14" s="28"/>
      <c r="D14" s="29"/>
      <c r="E14" s="29"/>
      <c r="F14" s="29"/>
      <c r="G14" s="29"/>
      <c r="H14" s="29"/>
    </row>
    <row r="15" spans="1:22" s="2" customFormat="1" x14ac:dyDescent="0.25">
      <c r="B15"/>
      <c r="C15" s="30"/>
      <c r="D15" s="33"/>
      <c r="E15" s="29"/>
      <c r="F15" s="29"/>
      <c r="G15" s="29"/>
      <c r="H15" s="29"/>
    </row>
    <row r="16" spans="1:22" s="2" customFormat="1" x14ac:dyDescent="0.25">
      <c r="B16"/>
      <c r="C16" s="30"/>
      <c r="D16" s="33"/>
      <c r="E16" s="29"/>
      <c r="F16" s="29"/>
      <c r="G16" s="29"/>
      <c r="H16" s="29"/>
    </row>
    <row r="17" spans="2:8" s="2" customFormat="1" x14ac:dyDescent="0.25">
      <c r="B17"/>
      <c r="C17" s="30"/>
      <c r="D17" s="33"/>
      <c r="E17" s="29"/>
      <c r="F17" s="29"/>
      <c r="G17" s="29"/>
      <c r="H17" s="29"/>
    </row>
    <row r="18" spans="2:8" s="2" customFormat="1" x14ac:dyDescent="0.25">
      <c r="B18"/>
      <c r="C18" s="30"/>
      <c r="D18" s="33"/>
      <c r="E18" s="29"/>
      <c r="F18" s="29"/>
      <c r="G18" s="29"/>
      <c r="H18" s="29"/>
    </row>
    <row r="19" spans="2:8" s="2" customFormat="1" x14ac:dyDescent="0.25">
      <c r="B19"/>
      <c r="C19" s="30"/>
      <c r="D19" s="33"/>
      <c r="E19" s="29"/>
      <c r="F19" s="29"/>
      <c r="G19" s="29"/>
      <c r="H19" s="29"/>
    </row>
    <row r="20" spans="2:8" x14ac:dyDescent="0.25">
      <c r="C20" s="30"/>
      <c r="D20" s="33"/>
      <c r="E20" s="29"/>
      <c r="F20" s="29"/>
      <c r="G20" s="29"/>
    </row>
    <row r="21" spans="2:8" x14ac:dyDescent="0.25">
      <c r="C21" s="30"/>
      <c r="D21" s="33"/>
      <c r="E21" s="29"/>
      <c r="F21" s="29"/>
      <c r="G21" s="29"/>
    </row>
    <row r="22" spans="2:8" x14ac:dyDescent="0.25">
      <c r="C22" s="30"/>
      <c r="D22" s="33"/>
      <c r="E22" s="29"/>
      <c r="F22" s="29"/>
      <c r="G22" s="29"/>
    </row>
    <row r="23" spans="2:8" x14ac:dyDescent="0.25">
      <c r="C23" s="30"/>
      <c r="D23" s="33"/>
      <c r="E23" s="29"/>
      <c r="F23" s="29"/>
      <c r="G23" s="29"/>
    </row>
    <row r="24" spans="2:8" x14ac:dyDescent="0.25">
      <c r="C24" s="30"/>
      <c r="D24" s="33"/>
      <c r="E24" s="29"/>
      <c r="F24" s="29"/>
      <c r="G24" s="29"/>
    </row>
  </sheetData>
  <autoFilter ref="B2:I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4" zoomScaleNormal="100" workbookViewId="0">
      <selection activeCell="D3" sqref="D3"/>
    </sheetView>
  </sheetViews>
  <sheetFormatPr defaultRowHeight="15" x14ac:dyDescent="0.25"/>
  <cols>
    <col min="1" max="1" width="48.140625" bestFit="1" customWidth="1"/>
    <col min="2" max="2" width="10.85546875" customWidth="1"/>
    <col min="3" max="3" width="12.42578125" customWidth="1"/>
    <col min="4" max="4" width="9.7109375" bestFit="1" customWidth="1"/>
    <col min="5" max="5" width="11.85546875" bestFit="1" customWidth="1"/>
    <col min="6" max="6" width="9.7109375" bestFit="1" customWidth="1"/>
    <col min="7" max="7" width="9.5703125" bestFit="1" customWidth="1"/>
    <col min="8" max="8" width="6" bestFit="1" customWidth="1"/>
    <col min="11" max="11" width="27" bestFit="1" customWidth="1"/>
    <col min="12" max="12" width="26.42578125" customWidth="1"/>
    <col min="13" max="13" width="8.28515625" bestFit="1" customWidth="1"/>
    <col min="14" max="14" width="16.140625" bestFit="1" customWidth="1"/>
    <col min="16" max="16" width="48.140625" bestFit="1" customWidth="1"/>
    <col min="17" max="17" width="17.85546875" bestFit="1" customWidth="1"/>
    <col min="18" max="18" width="18.140625" bestFit="1" customWidth="1"/>
  </cols>
  <sheetData>
    <row r="1" spans="1:18" x14ac:dyDescent="0.25">
      <c r="A1" s="7" t="s">
        <v>215</v>
      </c>
      <c r="B1" s="5"/>
      <c r="P1" s="37" t="s">
        <v>33</v>
      </c>
    </row>
    <row r="2" spans="1:18" ht="17.25" x14ac:dyDescent="0.4">
      <c r="A2" s="40" t="s">
        <v>4</v>
      </c>
      <c r="B2" s="41" t="s">
        <v>18</v>
      </c>
      <c r="C2" s="42" t="s">
        <v>213</v>
      </c>
      <c r="D2" s="41" t="s">
        <v>36</v>
      </c>
      <c r="E2" s="41"/>
      <c r="F2" s="42" t="s">
        <v>38</v>
      </c>
      <c r="G2" s="41" t="s">
        <v>39</v>
      </c>
      <c r="H2" s="42" t="s">
        <v>201</v>
      </c>
      <c r="K2" s="6" t="s">
        <v>214</v>
      </c>
      <c r="P2" s="41" t="s">
        <v>4</v>
      </c>
      <c r="Q2" s="41" t="s">
        <v>37</v>
      </c>
      <c r="R2" s="41" t="s">
        <v>203</v>
      </c>
    </row>
    <row r="3" spans="1:18" x14ac:dyDescent="0.25">
      <c r="A3" t="s">
        <v>88</v>
      </c>
      <c r="B3" s="23">
        <v>2</v>
      </c>
      <c r="C3" t="str">
        <f>IF(B3&gt;$L$5,"Good","Bad")</f>
        <v>Bad</v>
      </c>
      <c r="D3" s="5">
        <f>SUMIFS($Q:$Q,$P:$P,$A3)</f>
        <v>20</v>
      </c>
      <c r="E3" s="5">
        <f>SUMIFS($R:$R,$P:$P,$A3)</f>
        <v>30</v>
      </c>
      <c r="F3" s="5">
        <f>D3*$B3</f>
        <v>40</v>
      </c>
      <c r="G3" s="5">
        <f>E3*$B3</f>
        <v>60</v>
      </c>
      <c r="H3" s="5">
        <f>G3-F3</f>
        <v>20</v>
      </c>
      <c r="K3" t="s">
        <v>31</v>
      </c>
      <c r="L3" s="5">
        <f>SUM(B3:B80)</f>
        <v>297</v>
      </c>
      <c r="P3" t="s">
        <v>88</v>
      </c>
      <c r="Q3">
        <v>20</v>
      </c>
      <c r="R3">
        <f>Q3+10</f>
        <v>30</v>
      </c>
    </row>
    <row r="4" spans="1:18" x14ac:dyDescent="0.25">
      <c r="A4" t="s">
        <v>89</v>
      </c>
      <c r="B4" s="23">
        <v>5</v>
      </c>
      <c r="C4" t="str">
        <f t="shared" ref="C4:C20" si="0">IF(B4&gt;$L$5,"Good","Bad")</f>
        <v>Good</v>
      </c>
      <c r="D4" s="5">
        <f t="shared" ref="D4:D67" si="1">SUMIFS($Q:$Q,$P:$P,$A4)</f>
        <v>24</v>
      </c>
      <c r="E4" s="5">
        <f t="shared" ref="E4:E67" si="2">SUMIFS($R:$R,$P:$P,$A4)</f>
        <v>34</v>
      </c>
      <c r="F4" s="5">
        <f t="shared" ref="F4:F67" si="3">D4*$B4</f>
        <v>120</v>
      </c>
      <c r="G4" s="5">
        <f>E4*$B4</f>
        <v>170</v>
      </c>
      <c r="H4" s="5">
        <f t="shared" ref="H4:H67" si="4">G4-F4</f>
        <v>50</v>
      </c>
      <c r="P4" t="s">
        <v>89</v>
      </c>
      <c r="Q4">
        <v>24</v>
      </c>
      <c r="R4">
        <f t="shared" ref="R4:R43" si="5">Q4+10</f>
        <v>34</v>
      </c>
    </row>
    <row r="5" spans="1:18" x14ac:dyDescent="0.25">
      <c r="A5" t="s">
        <v>179</v>
      </c>
      <c r="B5" s="23">
        <v>4</v>
      </c>
      <c r="C5" t="str">
        <f t="shared" si="0"/>
        <v>Good</v>
      </c>
      <c r="D5" s="5">
        <f t="shared" si="1"/>
        <v>28</v>
      </c>
      <c r="E5" s="5">
        <f t="shared" si="2"/>
        <v>38</v>
      </c>
      <c r="F5" s="5">
        <f t="shared" si="3"/>
        <v>112</v>
      </c>
      <c r="G5" s="5">
        <f t="shared" ref="G5:G67" si="6">E5*$B5</f>
        <v>152</v>
      </c>
      <c r="H5" s="5">
        <f t="shared" si="4"/>
        <v>40</v>
      </c>
      <c r="K5" t="s">
        <v>32</v>
      </c>
      <c r="L5" s="5">
        <f>AVERAGE(B3:B80)</f>
        <v>3.8076923076923075</v>
      </c>
      <c r="M5" s="5"/>
      <c r="P5" t="s">
        <v>179</v>
      </c>
      <c r="Q5">
        <v>28</v>
      </c>
      <c r="R5">
        <f t="shared" si="5"/>
        <v>38</v>
      </c>
    </row>
    <row r="6" spans="1:18" x14ac:dyDescent="0.25">
      <c r="A6" t="s">
        <v>126</v>
      </c>
      <c r="B6" s="23">
        <v>2</v>
      </c>
      <c r="C6" t="str">
        <f t="shared" si="0"/>
        <v>Bad</v>
      </c>
      <c r="D6" s="5">
        <f t="shared" si="1"/>
        <v>32</v>
      </c>
      <c r="E6" s="5">
        <f t="shared" si="2"/>
        <v>42</v>
      </c>
      <c r="F6" s="5">
        <f t="shared" si="3"/>
        <v>64</v>
      </c>
      <c r="G6" s="5">
        <f t="shared" si="6"/>
        <v>84</v>
      </c>
      <c r="H6" s="5">
        <f t="shared" si="4"/>
        <v>20</v>
      </c>
      <c r="P6" t="s">
        <v>126</v>
      </c>
      <c r="Q6">
        <v>32</v>
      </c>
      <c r="R6">
        <f t="shared" si="5"/>
        <v>42</v>
      </c>
    </row>
    <row r="7" spans="1:18" x14ac:dyDescent="0.25">
      <c r="A7" t="s">
        <v>129</v>
      </c>
      <c r="B7" s="23">
        <v>2</v>
      </c>
      <c r="C7" t="str">
        <f t="shared" si="0"/>
        <v>Bad</v>
      </c>
      <c r="D7" s="5">
        <f t="shared" si="1"/>
        <v>36</v>
      </c>
      <c r="E7" s="5">
        <f t="shared" si="2"/>
        <v>46</v>
      </c>
      <c r="F7" s="5">
        <f t="shared" si="3"/>
        <v>72</v>
      </c>
      <c r="G7" s="5">
        <f t="shared" si="6"/>
        <v>92</v>
      </c>
      <c r="H7" s="5">
        <f t="shared" si="4"/>
        <v>20</v>
      </c>
      <c r="K7" s="10" t="s">
        <v>34</v>
      </c>
      <c r="P7" t="s">
        <v>129</v>
      </c>
      <c r="Q7">
        <v>36</v>
      </c>
      <c r="R7">
        <f t="shared" si="5"/>
        <v>46</v>
      </c>
    </row>
    <row r="8" spans="1:18" x14ac:dyDescent="0.25">
      <c r="A8" t="s">
        <v>163</v>
      </c>
      <c r="B8" s="23">
        <v>5</v>
      </c>
      <c r="C8" t="str">
        <f t="shared" si="0"/>
        <v>Good</v>
      </c>
      <c r="D8" s="5">
        <f t="shared" si="1"/>
        <v>40</v>
      </c>
      <c r="E8" s="5">
        <f t="shared" si="2"/>
        <v>50</v>
      </c>
      <c r="F8" s="5">
        <f t="shared" si="3"/>
        <v>200</v>
      </c>
      <c r="G8" s="5">
        <f t="shared" si="6"/>
        <v>250</v>
      </c>
      <c r="H8" s="5">
        <f t="shared" si="4"/>
        <v>50</v>
      </c>
      <c r="K8" s="8"/>
      <c r="L8" s="9" t="s">
        <v>205</v>
      </c>
      <c r="M8" s="9" t="s">
        <v>202</v>
      </c>
      <c r="N8" s="9" t="s">
        <v>204</v>
      </c>
      <c r="P8" t="s">
        <v>163</v>
      </c>
      <c r="Q8">
        <v>40</v>
      </c>
      <c r="R8">
        <f t="shared" si="5"/>
        <v>50</v>
      </c>
    </row>
    <row r="9" spans="1:18" x14ac:dyDescent="0.25">
      <c r="A9" t="s">
        <v>172</v>
      </c>
      <c r="B9" s="23">
        <v>7</v>
      </c>
      <c r="C9" t="str">
        <f t="shared" si="0"/>
        <v>Good</v>
      </c>
      <c r="D9" s="5">
        <f t="shared" si="1"/>
        <v>44</v>
      </c>
      <c r="E9" s="5">
        <f t="shared" si="2"/>
        <v>54</v>
      </c>
      <c r="F9" s="5">
        <f t="shared" si="3"/>
        <v>308</v>
      </c>
      <c r="G9" s="5">
        <f t="shared" si="6"/>
        <v>378</v>
      </c>
      <c r="H9" s="5">
        <f t="shared" si="4"/>
        <v>70</v>
      </c>
      <c r="K9" s="8" t="s">
        <v>46</v>
      </c>
      <c r="L9" s="8">
        <f>SUMIFS($E:$E,$P:$P,K9)</f>
        <v>70</v>
      </c>
      <c r="M9" s="8">
        <f>SUMIFS($B:$B,$A:$A,K9)</f>
        <v>7</v>
      </c>
      <c r="N9" s="8">
        <f>SUMIFS($G:$G,$A:$A,K9)</f>
        <v>490</v>
      </c>
      <c r="P9" t="s">
        <v>172</v>
      </c>
      <c r="Q9">
        <v>44</v>
      </c>
      <c r="R9">
        <f t="shared" si="5"/>
        <v>54</v>
      </c>
    </row>
    <row r="10" spans="1:18" x14ac:dyDescent="0.25">
      <c r="A10" t="s">
        <v>173</v>
      </c>
      <c r="B10" s="23">
        <v>3</v>
      </c>
      <c r="C10" t="str">
        <f t="shared" si="0"/>
        <v>Bad</v>
      </c>
      <c r="D10" s="5">
        <f t="shared" si="1"/>
        <v>48</v>
      </c>
      <c r="E10" s="5">
        <f t="shared" si="2"/>
        <v>58</v>
      </c>
      <c r="F10" s="5">
        <f t="shared" si="3"/>
        <v>144</v>
      </c>
      <c r="G10" s="5">
        <f t="shared" si="6"/>
        <v>174</v>
      </c>
      <c r="H10" s="5">
        <f t="shared" si="4"/>
        <v>30</v>
      </c>
      <c r="K10" s="8" t="s">
        <v>49</v>
      </c>
      <c r="L10" s="8">
        <f>SUMIFS($E:$E,$P:$P,K10)</f>
        <v>70</v>
      </c>
      <c r="M10" s="8">
        <f>SUMIFS($B:$B,$A:$A,K10)</f>
        <v>7</v>
      </c>
      <c r="N10" s="8">
        <f>SUMIFS($G:$G,$A:$A,K10)</f>
        <v>518</v>
      </c>
      <c r="P10" t="s">
        <v>173</v>
      </c>
      <c r="Q10">
        <v>48</v>
      </c>
      <c r="R10">
        <f t="shared" si="5"/>
        <v>58</v>
      </c>
    </row>
    <row r="11" spans="1:18" x14ac:dyDescent="0.25">
      <c r="A11" t="s">
        <v>176</v>
      </c>
      <c r="B11" s="23">
        <v>6</v>
      </c>
      <c r="C11" t="str">
        <f t="shared" si="0"/>
        <v>Good</v>
      </c>
      <c r="D11" s="5">
        <f t="shared" si="1"/>
        <v>52</v>
      </c>
      <c r="E11" s="5">
        <f t="shared" si="2"/>
        <v>62</v>
      </c>
      <c r="F11" s="5">
        <f t="shared" si="3"/>
        <v>312</v>
      </c>
      <c r="G11" s="5">
        <f t="shared" si="6"/>
        <v>372</v>
      </c>
      <c r="H11" s="5">
        <f t="shared" si="4"/>
        <v>60</v>
      </c>
      <c r="K11" s="8" t="s">
        <v>53</v>
      </c>
      <c r="L11" s="8">
        <f>SUMIFS($E:$E,$P:$P,K11)</f>
        <v>74</v>
      </c>
      <c r="M11" s="8">
        <f>SUMIFS($B:$B,$A:$A,K11)</f>
        <v>8</v>
      </c>
      <c r="N11" s="8">
        <f>SUMIFS($G:$G,$A:$A,K11)</f>
        <v>624</v>
      </c>
      <c r="P11" t="s">
        <v>176</v>
      </c>
      <c r="Q11">
        <v>52</v>
      </c>
      <c r="R11">
        <f t="shared" si="5"/>
        <v>62</v>
      </c>
    </row>
    <row r="12" spans="1:18" x14ac:dyDescent="0.25">
      <c r="A12" t="s">
        <v>17</v>
      </c>
      <c r="B12" s="23">
        <v>1</v>
      </c>
      <c r="C12" t="str">
        <f t="shared" si="0"/>
        <v>Bad</v>
      </c>
      <c r="D12" s="5">
        <f t="shared" si="1"/>
        <v>56</v>
      </c>
      <c r="E12" s="5">
        <f t="shared" si="2"/>
        <v>66</v>
      </c>
      <c r="F12" s="5">
        <f t="shared" si="3"/>
        <v>56</v>
      </c>
      <c r="G12" s="5">
        <f t="shared" si="6"/>
        <v>66</v>
      </c>
      <c r="H12" s="5">
        <f t="shared" si="4"/>
        <v>10</v>
      </c>
      <c r="K12" s="8" t="s">
        <v>64</v>
      </c>
      <c r="L12" s="8">
        <f>SUMIFS($E:$E,$P:$P,K12)</f>
        <v>74</v>
      </c>
      <c r="M12" s="8">
        <f>SUMIFS($B:$B,$A:$A,K12)</f>
        <v>8</v>
      </c>
      <c r="N12" s="8">
        <f>SUMIFS($G:$G,$A:$A,K12)</f>
        <v>656</v>
      </c>
      <c r="P12" t="s">
        <v>17</v>
      </c>
      <c r="Q12">
        <v>56</v>
      </c>
      <c r="R12">
        <f t="shared" si="5"/>
        <v>66</v>
      </c>
    </row>
    <row r="13" spans="1:18" x14ac:dyDescent="0.25">
      <c r="A13" t="s">
        <v>46</v>
      </c>
      <c r="B13" s="23">
        <v>3</v>
      </c>
      <c r="C13" t="str">
        <f t="shared" si="0"/>
        <v>Bad</v>
      </c>
      <c r="D13" s="5">
        <f t="shared" si="1"/>
        <v>60</v>
      </c>
      <c r="E13" s="5">
        <f t="shared" si="2"/>
        <v>70</v>
      </c>
      <c r="F13" s="5">
        <f t="shared" si="3"/>
        <v>180</v>
      </c>
      <c r="G13" s="5">
        <f t="shared" si="6"/>
        <v>210</v>
      </c>
      <c r="H13" s="5">
        <f t="shared" si="4"/>
        <v>30</v>
      </c>
      <c r="P13" t="s">
        <v>46</v>
      </c>
      <c r="Q13">
        <v>60</v>
      </c>
      <c r="R13">
        <f t="shared" si="5"/>
        <v>70</v>
      </c>
    </row>
    <row r="14" spans="1:18" x14ac:dyDescent="0.25">
      <c r="A14" t="s">
        <v>46</v>
      </c>
      <c r="B14" s="23">
        <v>4</v>
      </c>
      <c r="C14" t="str">
        <f t="shared" si="0"/>
        <v>Good</v>
      </c>
      <c r="D14" s="5">
        <f t="shared" si="1"/>
        <v>60</v>
      </c>
      <c r="E14" s="5">
        <f t="shared" si="2"/>
        <v>70</v>
      </c>
      <c r="F14" s="5">
        <f t="shared" si="3"/>
        <v>240</v>
      </c>
      <c r="G14" s="5">
        <f t="shared" si="6"/>
        <v>280</v>
      </c>
      <c r="H14" s="5">
        <f t="shared" si="4"/>
        <v>40</v>
      </c>
      <c r="P14" t="s">
        <v>49</v>
      </c>
      <c r="Q14">
        <v>64</v>
      </c>
      <c r="R14">
        <f t="shared" si="5"/>
        <v>74</v>
      </c>
    </row>
    <row r="15" spans="1:18" x14ac:dyDescent="0.25">
      <c r="A15" t="s">
        <v>49</v>
      </c>
      <c r="B15" s="23">
        <v>2</v>
      </c>
      <c r="C15" t="str">
        <f t="shared" si="0"/>
        <v>Bad</v>
      </c>
      <c r="D15" s="5">
        <f t="shared" si="1"/>
        <v>64</v>
      </c>
      <c r="E15" s="5">
        <f t="shared" si="2"/>
        <v>74</v>
      </c>
      <c r="F15" s="5">
        <f t="shared" si="3"/>
        <v>128</v>
      </c>
      <c r="G15" s="5">
        <f t="shared" si="6"/>
        <v>148</v>
      </c>
      <c r="H15" s="5">
        <f t="shared" si="4"/>
        <v>20</v>
      </c>
      <c r="K15" s="27"/>
      <c r="P15" t="s">
        <v>53</v>
      </c>
      <c r="Q15">
        <v>68</v>
      </c>
      <c r="R15">
        <f t="shared" si="5"/>
        <v>78</v>
      </c>
    </row>
    <row r="16" spans="1:18" x14ac:dyDescent="0.25">
      <c r="A16" t="s">
        <v>49</v>
      </c>
      <c r="B16" s="23">
        <v>4</v>
      </c>
      <c r="C16" t="str">
        <f t="shared" si="0"/>
        <v>Good</v>
      </c>
      <c r="D16" s="5">
        <f t="shared" si="1"/>
        <v>64</v>
      </c>
      <c r="E16" s="5">
        <f t="shared" si="2"/>
        <v>74</v>
      </c>
      <c r="F16" s="5">
        <f t="shared" si="3"/>
        <v>256</v>
      </c>
      <c r="G16" s="5">
        <f t="shared" si="6"/>
        <v>296</v>
      </c>
      <c r="H16" s="5">
        <f t="shared" si="4"/>
        <v>40</v>
      </c>
      <c r="P16" t="s">
        <v>64</v>
      </c>
      <c r="Q16">
        <v>72</v>
      </c>
      <c r="R16">
        <f t="shared" si="5"/>
        <v>82</v>
      </c>
    </row>
    <row r="17" spans="1:18" x14ac:dyDescent="0.25">
      <c r="A17" t="s">
        <v>53</v>
      </c>
      <c r="B17" s="23">
        <v>3</v>
      </c>
      <c r="C17" t="str">
        <f t="shared" si="0"/>
        <v>Bad</v>
      </c>
      <c r="D17" s="5">
        <f t="shared" si="1"/>
        <v>68</v>
      </c>
      <c r="E17" s="5">
        <f t="shared" si="2"/>
        <v>78</v>
      </c>
      <c r="F17" s="5">
        <f t="shared" si="3"/>
        <v>204</v>
      </c>
      <c r="G17" s="5">
        <f t="shared" si="6"/>
        <v>234</v>
      </c>
      <c r="H17" s="5">
        <f t="shared" si="4"/>
        <v>30</v>
      </c>
      <c r="P17" t="s">
        <v>65</v>
      </c>
      <c r="Q17">
        <v>76</v>
      </c>
      <c r="R17">
        <f t="shared" si="5"/>
        <v>86</v>
      </c>
    </row>
    <row r="18" spans="1:18" x14ac:dyDescent="0.25">
      <c r="A18" t="s">
        <v>53</v>
      </c>
      <c r="B18" s="23">
        <v>5</v>
      </c>
      <c r="C18" t="str">
        <f t="shared" si="0"/>
        <v>Good</v>
      </c>
      <c r="D18" s="5">
        <f t="shared" si="1"/>
        <v>68</v>
      </c>
      <c r="E18" s="5">
        <f t="shared" si="2"/>
        <v>78</v>
      </c>
      <c r="F18" s="5">
        <f t="shared" si="3"/>
        <v>340</v>
      </c>
      <c r="G18" s="5">
        <f t="shared" si="6"/>
        <v>390</v>
      </c>
      <c r="H18" s="5">
        <f t="shared" si="4"/>
        <v>50</v>
      </c>
      <c r="P18" t="s">
        <v>180</v>
      </c>
      <c r="Q18">
        <v>80</v>
      </c>
      <c r="R18">
        <f t="shared" si="5"/>
        <v>90</v>
      </c>
    </row>
    <row r="19" spans="1:18" x14ac:dyDescent="0.25">
      <c r="A19" t="s">
        <v>64</v>
      </c>
      <c r="B19" s="23">
        <v>4</v>
      </c>
      <c r="C19" t="str">
        <f t="shared" si="0"/>
        <v>Good</v>
      </c>
      <c r="D19" s="5">
        <f t="shared" si="1"/>
        <v>72</v>
      </c>
      <c r="E19" s="5">
        <f t="shared" si="2"/>
        <v>82</v>
      </c>
      <c r="F19" s="5">
        <f t="shared" si="3"/>
        <v>288</v>
      </c>
      <c r="G19" s="5">
        <f t="shared" si="6"/>
        <v>328</v>
      </c>
      <c r="H19" s="5">
        <f t="shared" si="4"/>
        <v>40</v>
      </c>
      <c r="P19" t="s">
        <v>66</v>
      </c>
      <c r="Q19">
        <v>84</v>
      </c>
      <c r="R19">
        <f t="shared" si="5"/>
        <v>94</v>
      </c>
    </row>
    <row r="20" spans="1:18" x14ac:dyDescent="0.25">
      <c r="A20" t="s">
        <v>64</v>
      </c>
      <c r="B20" s="23">
        <v>4</v>
      </c>
      <c r="C20" t="str">
        <f t="shared" si="0"/>
        <v>Good</v>
      </c>
      <c r="D20" s="5">
        <f t="shared" si="1"/>
        <v>72</v>
      </c>
      <c r="E20" s="5">
        <f t="shared" si="2"/>
        <v>82</v>
      </c>
      <c r="F20" s="5">
        <f t="shared" si="3"/>
        <v>288</v>
      </c>
      <c r="G20" s="5">
        <f t="shared" si="6"/>
        <v>328</v>
      </c>
      <c r="H20" s="5">
        <f t="shared" si="4"/>
        <v>40</v>
      </c>
      <c r="P20" t="s">
        <v>70</v>
      </c>
      <c r="Q20">
        <v>88</v>
      </c>
      <c r="R20">
        <f t="shared" si="5"/>
        <v>98</v>
      </c>
    </row>
    <row r="21" spans="1:18" x14ac:dyDescent="0.25">
      <c r="A21" t="s">
        <v>65</v>
      </c>
      <c r="B21" s="23">
        <v>4</v>
      </c>
      <c r="C21" t="str">
        <f>IF(B21&gt;$L$5,"Good","Bad")</f>
        <v>Good</v>
      </c>
      <c r="D21" s="5">
        <f t="shared" si="1"/>
        <v>76</v>
      </c>
      <c r="E21" s="5">
        <f t="shared" si="2"/>
        <v>86</v>
      </c>
      <c r="F21" s="5">
        <f t="shared" si="3"/>
        <v>304</v>
      </c>
      <c r="G21" s="5">
        <f t="shared" si="6"/>
        <v>344</v>
      </c>
      <c r="H21" s="5">
        <f t="shared" si="4"/>
        <v>40</v>
      </c>
      <c r="P21" t="s">
        <v>72</v>
      </c>
      <c r="Q21">
        <v>92</v>
      </c>
      <c r="R21">
        <f t="shared" si="5"/>
        <v>102</v>
      </c>
    </row>
    <row r="22" spans="1:18" x14ac:dyDescent="0.25">
      <c r="A22" t="s">
        <v>65</v>
      </c>
      <c r="B22" s="23">
        <v>5</v>
      </c>
      <c r="C22" t="str">
        <f t="shared" ref="C22:C80" si="7">IF(B22&gt;$L$5,"Good","Bad")</f>
        <v>Good</v>
      </c>
      <c r="D22" s="5">
        <f t="shared" si="1"/>
        <v>76</v>
      </c>
      <c r="E22" s="5">
        <f t="shared" si="2"/>
        <v>86</v>
      </c>
      <c r="F22" s="5">
        <f t="shared" si="3"/>
        <v>380</v>
      </c>
      <c r="G22" s="5">
        <f t="shared" si="6"/>
        <v>430</v>
      </c>
      <c r="H22" s="5">
        <f t="shared" si="4"/>
        <v>50</v>
      </c>
      <c r="P22" t="s">
        <v>76</v>
      </c>
      <c r="Q22">
        <v>96</v>
      </c>
      <c r="R22">
        <f t="shared" si="5"/>
        <v>106</v>
      </c>
    </row>
    <row r="23" spans="1:18" x14ac:dyDescent="0.25">
      <c r="A23" t="s">
        <v>180</v>
      </c>
      <c r="B23" s="23">
        <v>1</v>
      </c>
      <c r="C23" t="str">
        <f t="shared" si="7"/>
        <v>Bad</v>
      </c>
      <c r="D23" s="5">
        <f t="shared" si="1"/>
        <v>80</v>
      </c>
      <c r="E23" s="5">
        <f t="shared" si="2"/>
        <v>90</v>
      </c>
      <c r="F23" s="5">
        <f t="shared" si="3"/>
        <v>80</v>
      </c>
      <c r="G23" s="5">
        <f t="shared" si="6"/>
        <v>90</v>
      </c>
      <c r="H23" s="5">
        <f t="shared" si="4"/>
        <v>10</v>
      </c>
      <c r="P23" t="s">
        <v>79</v>
      </c>
      <c r="Q23">
        <v>100</v>
      </c>
      <c r="R23">
        <f t="shared" si="5"/>
        <v>110</v>
      </c>
    </row>
    <row r="24" spans="1:18" x14ac:dyDescent="0.25">
      <c r="A24" t="s">
        <v>66</v>
      </c>
      <c r="B24" s="23">
        <v>4</v>
      </c>
      <c r="C24" t="str">
        <f t="shared" si="7"/>
        <v>Good</v>
      </c>
      <c r="D24" s="5">
        <f t="shared" si="1"/>
        <v>84</v>
      </c>
      <c r="E24" s="5">
        <f t="shared" si="2"/>
        <v>94</v>
      </c>
      <c r="F24" s="5">
        <f t="shared" si="3"/>
        <v>336</v>
      </c>
      <c r="G24" s="5">
        <f t="shared" si="6"/>
        <v>376</v>
      </c>
      <c r="H24" s="5">
        <f t="shared" si="4"/>
        <v>40</v>
      </c>
      <c r="P24" t="s">
        <v>82</v>
      </c>
      <c r="Q24">
        <v>104</v>
      </c>
      <c r="R24">
        <f t="shared" si="5"/>
        <v>114</v>
      </c>
    </row>
    <row r="25" spans="1:18" x14ac:dyDescent="0.25">
      <c r="A25" t="s">
        <v>66</v>
      </c>
      <c r="B25" s="23">
        <v>3</v>
      </c>
      <c r="C25" t="str">
        <f t="shared" si="7"/>
        <v>Bad</v>
      </c>
      <c r="D25" s="5">
        <f t="shared" si="1"/>
        <v>84</v>
      </c>
      <c r="E25" s="5">
        <f t="shared" si="2"/>
        <v>94</v>
      </c>
      <c r="F25" s="5">
        <f t="shared" si="3"/>
        <v>252</v>
      </c>
      <c r="G25" s="5">
        <f t="shared" si="6"/>
        <v>282</v>
      </c>
      <c r="H25" s="5">
        <f t="shared" si="4"/>
        <v>30</v>
      </c>
      <c r="P25" t="s">
        <v>181</v>
      </c>
      <c r="Q25">
        <v>108</v>
      </c>
      <c r="R25">
        <f t="shared" si="5"/>
        <v>118</v>
      </c>
    </row>
    <row r="26" spans="1:18" x14ac:dyDescent="0.25">
      <c r="A26" t="s">
        <v>70</v>
      </c>
      <c r="B26" s="23">
        <v>3</v>
      </c>
      <c r="C26" t="str">
        <f t="shared" si="7"/>
        <v>Bad</v>
      </c>
      <c r="D26" s="5">
        <f t="shared" si="1"/>
        <v>88</v>
      </c>
      <c r="E26" s="5">
        <f t="shared" si="2"/>
        <v>98</v>
      </c>
      <c r="F26" s="5">
        <f t="shared" si="3"/>
        <v>264</v>
      </c>
      <c r="G26" s="5">
        <f t="shared" si="6"/>
        <v>294</v>
      </c>
      <c r="H26" s="5">
        <f t="shared" si="4"/>
        <v>30</v>
      </c>
      <c r="P26" t="s">
        <v>182</v>
      </c>
      <c r="Q26">
        <v>112</v>
      </c>
      <c r="R26">
        <f t="shared" si="5"/>
        <v>122</v>
      </c>
    </row>
    <row r="27" spans="1:18" x14ac:dyDescent="0.25">
      <c r="A27" t="s">
        <v>70</v>
      </c>
      <c r="B27" s="23">
        <v>3</v>
      </c>
      <c r="C27" t="str">
        <f t="shared" si="7"/>
        <v>Bad</v>
      </c>
      <c r="D27" s="5">
        <f t="shared" si="1"/>
        <v>88</v>
      </c>
      <c r="E27" s="5">
        <f t="shared" si="2"/>
        <v>98</v>
      </c>
      <c r="F27" s="5">
        <f t="shared" si="3"/>
        <v>264</v>
      </c>
      <c r="G27" s="5">
        <f t="shared" si="6"/>
        <v>294</v>
      </c>
      <c r="H27" s="5">
        <f t="shared" si="4"/>
        <v>30</v>
      </c>
      <c r="P27" t="s">
        <v>95</v>
      </c>
      <c r="Q27">
        <v>116</v>
      </c>
      <c r="R27">
        <f t="shared" si="5"/>
        <v>126</v>
      </c>
    </row>
    <row r="28" spans="1:18" x14ac:dyDescent="0.25">
      <c r="A28" t="s">
        <v>72</v>
      </c>
      <c r="B28" s="23">
        <v>2</v>
      </c>
      <c r="C28" t="str">
        <f t="shared" si="7"/>
        <v>Bad</v>
      </c>
      <c r="D28" s="5">
        <f t="shared" si="1"/>
        <v>92</v>
      </c>
      <c r="E28" s="5">
        <f t="shared" si="2"/>
        <v>102</v>
      </c>
      <c r="F28" s="5">
        <f t="shared" si="3"/>
        <v>184</v>
      </c>
      <c r="G28" s="5">
        <f t="shared" si="6"/>
        <v>204</v>
      </c>
      <c r="H28" s="5">
        <f t="shared" si="4"/>
        <v>20</v>
      </c>
      <c r="P28" t="s">
        <v>96</v>
      </c>
      <c r="Q28">
        <v>120</v>
      </c>
      <c r="R28">
        <f t="shared" si="5"/>
        <v>130</v>
      </c>
    </row>
    <row r="29" spans="1:18" x14ac:dyDescent="0.25">
      <c r="A29" t="s">
        <v>72</v>
      </c>
      <c r="B29" s="23">
        <v>6</v>
      </c>
      <c r="C29" t="str">
        <f t="shared" si="7"/>
        <v>Good</v>
      </c>
      <c r="D29" s="5">
        <f t="shared" si="1"/>
        <v>92</v>
      </c>
      <c r="E29" s="5">
        <f t="shared" si="2"/>
        <v>102</v>
      </c>
      <c r="F29" s="5">
        <f t="shared" si="3"/>
        <v>552</v>
      </c>
      <c r="G29" s="5">
        <f t="shared" si="6"/>
        <v>612</v>
      </c>
      <c r="H29" s="5">
        <f t="shared" si="4"/>
        <v>60</v>
      </c>
      <c r="P29" t="s">
        <v>98</v>
      </c>
      <c r="Q29">
        <v>115</v>
      </c>
      <c r="R29">
        <f t="shared" si="5"/>
        <v>125</v>
      </c>
    </row>
    <row r="30" spans="1:18" x14ac:dyDescent="0.25">
      <c r="A30" t="s">
        <v>76</v>
      </c>
      <c r="B30" s="23">
        <v>1</v>
      </c>
      <c r="C30" t="str">
        <f t="shared" si="7"/>
        <v>Bad</v>
      </c>
      <c r="D30" s="5">
        <f t="shared" si="1"/>
        <v>96</v>
      </c>
      <c r="E30" s="5">
        <f t="shared" si="2"/>
        <v>106</v>
      </c>
      <c r="F30" s="5">
        <f t="shared" si="3"/>
        <v>96</v>
      </c>
      <c r="G30" s="5">
        <f t="shared" si="6"/>
        <v>106</v>
      </c>
      <c r="H30" s="5">
        <f t="shared" si="4"/>
        <v>10</v>
      </c>
      <c r="P30" t="s">
        <v>103</v>
      </c>
      <c r="Q30">
        <v>110</v>
      </c>
      <c r="R30">
        <f t="shared" si="5"/>
        <v>120</v>
      </c>
    </row>
    <row r="31" spans="1:18" x14ac:dyDescent="0.25">
      <c r="A31" t="s">
        <v>76</v>
      </c>
      <c r="B31" s="23">
        <v>4</v>
      </c>
      <c r="C31" t="str">
        <f t="shared" si="7"/>
        <v>Good</v>
      </c>
      <c r="D31" s="5">
        <f t="shared" si="1"/>
        <v>96</v>
      </c>
      <c r="E31" s="5">
        <f t="shared" si="2"/>
        <v>106</v>
      </c>
      <c r="F31" s="5">
        <f t="shared" si="3"/>
        <v>384</v>
      </c>
      <c r="G31" s="5">
        <f t="shared" si="6"/>
        <v>424</v>
      </c>
      <c r="H31" s="5">
        <f t="shared" si="4"/>
        <v>40</v>
      </c>
      <c r="P31" t="s">
        <v>183</v>
      </c>
      <c r="Q31">
        <v>105</v>
      </c>
      <c r="R31">
        <f t="shared" si="5"/>
        <v>115</v>
      </c>
    </row>
    <row r="32" spans="1:18" x14ac:dyDescent="0.25">
      <c r="A32" t="s">
        <v>79</v>
      </c>
      <c r="B32" s="23">
        <v>2</v>
      </c>
      <c r="C32" t="str">
        <f t="shared" si="7"/>
        <v>Bad</v>
      </c>
      <c r="D32" s="5">
        <f t="shared" si="1"/>
        <v>100</v>
      </c>
      <c r="E32" s="5">
        <f t="shared" si="2"/>
        <v>110</v>
      </c>
      <c r="F32" s="5">
        <f t="shared" si="3"/>
        <v>200</v>
      </c>
      <c r="G32" s="5">
        <f t="shared" si="6"/>
        <v>220</v>
      </c>
      <c r="H32" s="5">
        <f t="shared" si="4"/>
        <v>20</v>
      </c>
      <c r="P32" t="s">
        <v>119</v>
      </c>
      <c r="Q32">
        <v>100</v>
      </c>
      <c r="R32">
        <f t="shared" si="5"/>
        <v>110</v>
      </c>
    </row>
    <row r="33" spans="1:18" x14ac:dyDescent="0.25">
      <c r="A33" t="s">
        <v>79</v>
      </c>
      <c r="B33" s="23">
        <v>6</v>
      </c>
      <c r="C33" t="str">
        <f t="shared" si="7"/>
        <v>Good</v>
      </c>
      <c r="D33" s="5">
        <f t="shared" si="1"/>
        <v>100</v>
      </c>
      <c r="E33" s="5">
        <f t="shared" si="2"/>
        <v>110</v>
      </c>
      <c r="F33" s="5">
        <f t="shared" si="3"/>
        <v>600</v>
      </c>
      <c r="G33" s="5">
        <f t="shared" si="6"/>
        <v>660</v>
      </c>
      <c r="H33" s="5">
        <f t="shared" si="4"/>
        <v>60</v>
      </c>
      <c r="P33" t="s">
        <v>121</v>
      </c>
      <c r="Q33">
        <v>95</v>
      </c>
      <c r="R33">
        <f t="shared" si="5"/>
        <v>105</v>
      </c>
    </row>
    <row r="34" spans="1:18" x14ac:dyDescent="0.25">
      <c r="A34" t="s">
        <v>82</v>
      </c>
      <c r="B34" s="23">
        <v>7</v>
      </c>
      <c r="C34" t="str">
        <f t="shared" si="7"/>
        <v>Good</v>
      </c>
      <c r="D34" s="5">
        <f t="shared" si="1"/>
        <v>104</v>
      </c>
      <c r="E34" s="5">
        <f t="shared" si="2"/>
        <v>114</v>
      </c>
      <c r="F34" s="5">
        <f t="shared" si="3"/>
        <v>728</v>
      </c>
      <c r="G34" s="5">
        <f t="shared" si="6"/>
        <v>798</v>
      </c>
      <c r="H34" s="5">
        <f t="shared" si="4"/>
        <v>70</v>
      </c>
      <c r="P34" t="s">
        <v>124</v>
      </c>
      <c r="Q34">
        <v>90</v>
      </c>
      <c r="R34">
        <f t="shared" si="5"/>
        <v>100</v>
      </c>
    </row>
    <row r="35" spans="1:18" x14ac:dyDescent="0.25">
      <c r="A35" t="s">
        <v>82</v>
      </c>
      <c r="B35" s="23">
        <v>4</v>
      </c>
      <c r="C35" t="str">
        <f t="shared" si="7"/>
        <v>Good</v>
      </c>
      <c r="D35" s="5">
        <f t="shared" si="1"/>
        <v>104</v>
      </c>
      <c r="E35" s="5">
        <f t="shared" si="2"/>
        <v>114</v>
      </c>
      <c r="F35" s="5">
        <f t="shared" si="3"/>
        <v>416</v>
      </c>
      <c r="G35" s="5">
        <f t="shared" si="6"/>
        <v>456</v>
      </c>
      <c r="H35" s="5">
        <f t="shared" si="4"/>
        <v>40</v>
      </c>
      <c r="P35" t="s">
        <v>130</v>
      </c>
      <c r="Q35">
        <v>85</v>
      </c>
      <c r="R35">
        <f t="shared" si="5"/>
        <v>95</v>
      </c>
    </row>
    <row r="36" spans="1:18" x14ac:dyDescent="0.25">
      <c r="A36" t="s">
        <v>89</v>
      </c>
      <c r="B36" s="23">
        <v>5</v>
      </c>
      <c r="C36" t="str">
        <f t="shared" si="7"/>
        <v>Good</v>
      </c>
      <c r="D36" s="5">
        <f t="shared" si="1"/>
        <v>24</v>
      </c>
      <c r="E36" s="5">
        <f t="shared" si="2"/>
        <v>34</v>
      </c>
      <c r="F36" s="5">
        <f t="shared" si="3"/>
        <v>120</v>
      </c>
      <c r="G36" s="5">
        <f t="shared" si="6"/>
        <v>170</v>
      </c>
      <c r="H36" s="5">
        <f t="shared" si="4"/>
        <v>50</v>
      </c>
      <c r="P36" t="s">
        <v>138</v>
      </c>
      <c r="Q36">
        <v>80</v>
      </c>
      <c r="R36">
        <f t="shared" si="5"/>
        <v>90</v>
      </c>
    </row>
    <row r="37" spans="1:18" x14ac:dyDescent="0.25">
      <c r="A37" t="s">
        <v>89</v>
      </c>
      <c r="B37" s="23">
        <v>2</v>
      </c>
      <c r="C37" t="str">
        <f t="shared" si="7"/>
        <v>Bad</v>
      </c>
      <c r="D37" s="5">
        <f t="shared" si="1"/>
        <v>24</v>
      </c>
      <c r="E37" s="5">
        <f t="shared" si="2"/>
        <v>34</v>
      </c>
      <c r="F37" s="5">
        <f t="shared" si="3"/>
        <v>48</v>
      </c>
      <c r="G37" s="5">
        <f t="shared" si="6"/>
        <v>68</v>
      </c>
      <c r="H37" s="5">
        <f t="shared" si="4"/>
        <v>20</v>
      </c>
      <c r="P37" t="s">
        <v>143</v>
      </c>
      <c r="Q37">
        <v>75</v>
      </c>
      <c r="R37">
        <f t="shared" si="5"/>
        <v>85</v>
      </c>
    </row>
    <row r="38" spans="1:18" x14ac:dyDescent="0.25">
      <c r="A38" t="s">
        <v>181</v>
      </c>
      <c r="B38" s="23">
        <v>1</v>
      </c>
      <c r="C38" t="str">
        <f t="shared" si="7"/>
        <v>Bad</v>
      </c>
      <c r="D38" s="5">
        <f t="shared" si="1"/>
        <v>108</v>
      </c>
      <c r="E38" s="5">
        <f t="shared" si="2"/>
        <v>118</v>
      </c>
      <c r="F38" s="5">
        <f t="shared" si="3"/>
        <v>108</v>
      </c>
      <c r="G38" s="5">
        <f t="shared" si="6"/>
        <v>118</v>
      </c>
      <c r="H38" s="5">
        <f t="shared" si="4"/>
        <v>10</v>
      </c>
      <c r="P38" t="s">
        <v>144</v>
      </c>
      <c r="Q38">
        <v>70</v>
      </c>
      <c r="R38">
        <f t="shared" si="5"/>
        <v>80</v>
      </c>
    </row>
    <row r="39" spans="1:18" x14ac:dyDescent="0.25">
      <c r="A39" t="s">
        <v>182</v>
      </c>
      <c r="B39" s="23">
        <v>7</v>
      </c>
      <c r="C39" t="str">
        <f t="shared" si="7"/>
        <v>Good</v>
      </c>
      <c r="D39" s="5">
        <f t="shared" si="1"/>
        <v>112</v>
      </c>
      <c r="E39" s="5">
        <f t="shared" si="2"/>
        <v>122</v>
      </c>
      <c r="F39" s="5">
        <f t="shared" si="3"/>
        <v>784</v>
      </c>
      <c r="G39" s="5">
        <f t="shared" si="6"/>
        <v>854</v>
      </c>
      <c r="H39" s="5">
        <f t="shared" si="4"/>
        <v>70</v>
      </c>
      <c r="P39" t="s">
        <v>148</v>
      </c>
      <c r="Q39">
        <v>65</v>
      </c>
      <c r="R39">
        <f t="shared" si="5"/>
        <v>75</v>
      </c>
    </row>
    <row r="40" spans="1:18" x14ac:dyDescent="0.25">
      <c r="A40" t="s">
        <v>95</v>
      </c>
      <c r="B40" s="23">
        <v>5</v>
      </c>
      <c r="C40" t="str">
        <f t="shared" si="7"/>
        <v>Good</v>
      </c>
      <c r="D40" s="5">
        <f t="shared" si="1"/>
        <v>116</v>
      </c>
      <c r="E40" s="5">
        <f t="shared" si="2"/>
        <v>126</v>
      </c>
      <c r="F40" s="5">
        <f t="shared" si="3"/>
        <v>580</v>
      </c>
      <c r="G40" s="5">
        <f t="shared" si="6"/>
        <v>630</v>
      </c>
      <c r="H40" s="5">
        <f t="shared" si="4"/>
        <v>50</v>
      </c>
      <c r="P40" t="s">
        <v>152</v>
      </c>
      <c r="Q40">
        <v>60</v>
      </c>
      <c r="R40">
        <f t="shared" si="5"/>
        <v>70</v>
      </c>
    </row>
    <row r="41" spans="1:18" x14ac:dyDescent="0.25">
      <c r="A41" t="s">
        <v>95</v>
      </c>
      <c r="B41" s="23">
        <v>7</v>
      </c>
      <c r="C41" t="str">
        <f t="shared" si="7"/>
        <v>Good</v>
      </c>
      <c r="D41" s="5">
        <f t="shared" si="1"/>
        <v>116</v>
      </c>
      <c r="E41" s="5">
        <f t="shared" si="2"/>
        <v>126</v>
      </c>
      <c r="F41" s="5">
        <f t="shared" si="3"/>
        <v>812</v>
      </c>
      <c r="G41" s="5">
        <f t="shared" si="6"/>
        <v>882</v>
      </c>
      <c r="H41" s="5">
        <f t="shared" si="4"/>
        <v>70</v>
      </c>
      <c r="P41" t="s">
        <v>158</v>
      </c>
      <c r="Q41">
        <v>55</v>
      </c>
      <c r="R41">
        <f t="shared" si="5"/>
        <v>65</v>
      </c>
    </row>
    <row r="42" spans="1:18" x14ac:dyDescent="0.25">
      <c r="A42" t="s">
        <v>96</v>
      </c>
      <c r="B42" s="23">
        <v>4</v>
      </c>
      <c r="C42" t="str">
        <f t="shared" si="7"/>
        <v>Good</v>
      </c>
      <c r="D42" s="5">
        <f t="shared" si="1"/>
        <v>120</v>
      </c>
      <c r="E42" s="5">
        <f t="shared" si="2"/>
        <v>130</v>
      </c>
      <c r="F42" s="5">
        <f t="shared" si="3"/>
        <v>480</v>
      </c>
      <c r="G42" s="5">
        <f t="shared" si="6"/>
        <v>520</v>
      </c>
      <c r="H42" s="5">
        <f t="shared" si="4"/>
        <v>40</v>
      </c>
      <c r="P42" t="s">
        <v>162</v>
      </c>
      <c r="Q42">
        <v>50</v>
      </c>
      <c r="R42">
        <f t="shared" si="5"/>
        <v>60</v>
      </c>
    </row>
    <row r="43" spans="1:18" x14ac:dyDescent="0.25">
      <c r="A43" t="s">
        <v>96</v>
      </c>
      <c r="B43" s="23">
        <v>6</v>
      </c>
      <c r="C43" t="str">
        <f t="shared" si="7"/>
        <v>Good</v>
      </c>
      <c r="D43" s="5">
        <f t="shared" si="1"/>
        <v>120</v>
      </c>
      <c r="E43" s="5">
        <f t="shared" si="2"/>
        <v>130</v>
      </c>
      <c r="F43" s="5">
        <f t="shared" si="3"/>
        <v>720</v>
      </c>
      <c r="G43" s="5">
        <f t="shared" si="6"/>
        <v>780</v>
      </c>
      <c r="H43" s="5">
        <f t="shared" si="4"/>
        <v>60</v>
      </c>
      <c r="P43" t="s">
        <v>168</v>
      </c>
      <c r="Q43">
        <v>45</v>
      </c>
      <c r="R43">
        <f t="shared" si="5"/>
        <v>55</v>
      </c>
    </row>
    <row r="44" spans="1:18" x14ac:dyDescent="0.25">
      <c r="A44" t="s">
        <v>179</v>
      </c>
      <c r="B44" s="23">
        <v>3</v>
      </c>
      <c r="C44" t="str">
        <f t="shared" si="7"/>
        <v>Bad</v>
      </c>
      <c r="D44" s="5">
        <f t="shared" si="1"/>
        <v>28</v>
      </c>
      <c r="E44" s="5">
        <f t="shared" si="2"/>
        <v>38</v>
      </c>
      <c r="F44" s="5">
        <f t="shared" si="3"/>
        <v>84</v>
      </c>
      <c r="G44" s="5">
        <f t="shared" si="6"/>
        <v>114</v>
      </c>
      <c r="H44" s="5">
        <f t="shared" si="4"/>
        <v>30</v>
      </c>
    </row>
    <row r="45" spans="1:18" x14ac:dyDescent="0.25">
      <c r="A45" t="s">
        <v>179</v>
      </c>
      <c r="B45" s="23">
        <v>2</v>
      </c>
      <c r="C45" t="str">
        <f t="shared" si="7"/>
        <v>Bad</v>
      </c>
      <c r="D45" s="5">
        <f t="shared" si="1"/>
        <v>28</v>
      </c>
      <c r="E45" s="5">
        <f t="shared" si="2"/>
        <v>38</v>
      </c>
      <c r="F45" s="5">
        <f t="shared" si="3"/>
        <v>56</v>
      </c>
      <c r="G45" s="5">
        <f t="shared" si="6"/>
        <v>76</v>
      </c>
      <c r="H45" s="5">
        <f t="shared" si="4"/>
        <v>20</v>
      </c>
    </row>
    <row r="46" spans="1:18" x14ac:dyDescent="0.25">
      <c r="A46" t="s">
        <v>98</v>
      </c>
      <c r="B46" s="23">
        <v>1</v>
      </c>
      <c r="C46" t="str">
        <f t="shared" si="7"/>
        <v>Bad</v>
      </c>
      <c r="D46" s="5">
        <f t="shared" si="1"/>
        <v>115</v>
      </c>
      <c r="E46" s="5">
        <f t="shared" si="2"/>
        <v>125</v>
      </c>
      <c r="F46" s="5">
        <f t="shared" si="3"/>
        <v>115</v>
      </c>
      <c r="G46" s="5">
        <f t="shared" si="6"/>
        <v>125</v>
      </c>
      <c r="H46" s="5">
        <f t="shared" si="4"/>
        <v>10</v>
      </c>
    </row>
    <row r="47" spans="1:18" x14ac:dyDescent="0.25">
      <c r="A47" t="s">
        <v>98</v>
      </c>
      <c r="B47" s="23">
        <v>3</v>
      </c>
      <c r="C47" t="str">
        <f t="shared" si="7"/>
        <v>Bad</v>
      </c>
      <c r="D47" s="5">
        <f t="shared" si="1"/>
        <v>115</v>
      </c>
      <c r="E47" s="5">
        <f t="shared" si="2"/>
        <v>125</v>
      </c>
      <c r="F47" s="5">
        <f t="shared" si="3"/>
        <v>345</v>
      </c>
      <c r="G47" s="5">
        <f t="shared" si="6"/>
        <v>375</v>
      </c>
      <c r="H47" s="5">
        <f t="shared" si="4"/>
        <v>30</v>
      </c>
    </row>
    <row r="48" spans="1:18" x14ac:dyDescent="0.25">
      <c r="A48" t="s">
        <v>103</v>
      </c>
      <c r="B48" s="23">
        <v>6</v>
      </c>
      <c r="C48" t="str">
        <f t="shared" si="7"/>
        <v>Good</v>
      </c>
      <c r="D48" s="5">
        <f t="shared" si="1"/>
        <v>110</v>
      </c>
      <c r="E48" s="5">
        <f t="shared" si="2"/>
        <v>120</v>
      </c>
      <c r="F48" s="5">
        <f t="shared" si="3"/>
        <v>660</v>
      </c>
      <c r="G48" s="5">
        <f t="shared" si="6"/>
        <v>720</v>
      </c>
      <c r="H48" s="5">
        <f t="shared" si="4"/>
        <v>60</v>
      </c>
    </row>
    <row r="49" spans="1:8" x14ac:dyDescent="0.25">
      <c r="A49" t="s">
        <v>103</v>
      </c>
      <c r="B49" s="23">
        <v>2</v>
      </c>
      <c r="C49" t="str">
        <f t="shared" si="7"/>
        <v>Bad</v>
      </c>
      <c r="D49" s="5">
        <f t="shared" si="1"/>
        <v>110</v>
      </c>
      <c r="E49" s="5">
        <f t="shared" si="2"/>
        <v>120</v>
      </c>
      <c r="F49" s="5">
        <f t="shared" si="3"/>
        <v>220</v>
      </c>
      <c r="G49" s="5">
        <f t="shared" si="6"/>
        <v>240</v>
      </c>
      <c r="H49" s="5">
        <f t="shared" si="4"/>
        <v>20</v>
      </c>
    </row>
    <row r="50" spans="1:8" x14ac:dyDescent="0.25">
      <c r="A50" t="s">
        <v>183</v>
      </c>
      <c r="B50" s="23">
        <v>3</v>
      </c>
      <c r="C50" t="str">
        <f t="shared" si="7"/>
        <v>Bad</v>
      </c>
      <c r="D50" s="5">
        <f t="shared" si="1"/>
        <v>105</v>
      </c>
      <c r="E50" s="5">
        <f t="shared" si="2"/>
        <v>115</v>
      </c>
      <c r="F50" s="5">
        <f t="shared" si="3"/>
        <v>315</v>
      </c>
      <c r="G50" s="5">
        <f t="shared" si="6"/>
        <v>345</v>
      </c>
      <c r="H50" s="5">
        <f t="shared" si="4"/>
        <v>30</v>
      </c>
    </row>
    <row r="51" spans="1:8" x14ac:dyDescent="0.25">
      <c r="A51" t="s">
        <v>119</v>
      </c>
      <c r="B51" s="23">
        <v>2</v>
      </c>
      <c r="C51" t="str">
        <f t="shared" si="7"/>
        <v>Bad</v>
      </c>
      <c r="D51" s="5">
        <f t="shared" si="1"/>
        <v>100</v>
      </c>
      <c r="E51" s="5">
        <f t="shared" si="2"/>
        <v>110</v>
      </c>
      <c r="F51" s="5">
        <f t="shared" si="3"/>
        <v>200</v>
      </c>
      <c r="G51" s="5">
        <f t="shared" si="6"/>
        <v>220</v>
      </c>
      <c r="H51" s="5">
        <f t="shared" si="4"/>
        <v>20</v>
      </c>
    </row>
    <row r="52" spans="1:8" x14ac:dyDescent="0.25">
      <c r="A52" t="s">
        <v>121</v>
      </c>
      <c r="B52" s="23">
        <v>4</v>
      </c>
      <c r="C52" t="str">
        <f t="shared" si="7"/>
        <v>Good</v>
      </c>
      <c r="D52" s="5">
        <f t="shared" si="1"/>
        <v>95</v>
      </c>
      <c r="E52" s="5">
        <f t="shared" si="2"/>
        <v>105</v>
      </c>
      <c r="F52" s="5">
        <f t="shared" si="3"/>
        <v>380</v>
      </c>
      <c r="G52" s="5">
        <f t="shared" si="6"/>
        <v>420</v>
      </c>
      <c r="H52" s="5">
        <f t="shared" si="4"/>
        <v>40</v>
      </c>
    </row>
    <row r="53" spans="1:8" x14ac:dyDescent="0.25">
      <c r="A53" t="s">
        <v>121</v>
      </c>
      <c r="B53" s="23">
        <v>7</v>
      </c>
      <c r="C53" t="str">
        <f t="shared" si="7"/>
        <v>Good</v>
      </c>
      <c r="D53" s="5">
        <f t="shared" si="1"/>
        <v>95</v>
      </c>
      <c r="E53" s="5">
        <f t="shared" si="2"/>
        <v>105</v>
      </c>
      <c r="F53" s="5">
        <f t="shared" si="3"/>
        <v>665</v>
      </c>
      <c r="G53" s="5">
        <f t="shared" si="6"/>
        <v>735</v>
      </c>
      <c r="H53" s="5">
        <f t="shared" si="4"/>
        <v>70</v>
      </c>
    </row>
    <row r="54" spans="1:8" x14ac:dyDescent="0.25">
      <c r="A54" t="s">
        <v>124</v>
      </c>
      <c r="B54" s="23">
        <v>2</v>
      </c>
      <c r="C54" t="str">
        <f t="shared" si="7"/>
        <v>Bad</v>
      </c>
      <c r="D54" s="5">
        <f t="shared" si="1"/>
        <v>90</v>
      </c>
      <c r="E54" s="5">
        <f t="shared" si="2"/>
        <v>100</v>
      </c>
      <c r="F54" s="5">
        <f t="shared" si="3"/>
        <v>180</v>
      </c>
      <c r="G54" s="5">
        <f t="shared" si="6"/>
        <v>200</v>
      </c>
      <c r="H54" s="5">
        <f t="shared" si="4"/>
        <v>20</v>
      </c>
    </row>
    <row r="55" spans="1:8" x14ac:dyDescent="0.25">
      <c r="A55" t="s">
        <v>124</v>
      </c>
      <c r="B55" s="23">
        <v>2</v>
      </c>
      <c r="C55" t="str">
        <f t="shared" si="7"/>
        <v>Bad</v>
      </c>
      <c r="D55" s="5">
        <f t="shared" si="1"/>
        <v>90</v>
      </c>
      <c r="E55" s="5">
        <f t="shared" si="2"/>
        <v>100</v>
      </c>
      <c r="F55" s="5">
        <f t="shared" si="3"/>
        <v>180</v>
      </c>
      <c r="G55" s="5">
        <f t="shared" si="6"/>
        <v>200</v>
      </c>
      <c r="H55" s="5">
        <f t="shared" si="4"/>
        <v>20</v>
      </c>
    </row>
    <row r="56" spans="1:8" x14ac:dyDescent="0.25">
      <c r="A56" t="s">
        <v>126</v>
      </c>
      <c r="B56" s="23">
        <v>6</v>
      </c>
      <c r="C56" t="str">
        <f t="shared" si="7"/>
        <v>Good</v>
      </c>
      <c r="D56" s="5">
        <f t="shared" si="1"/>
        <v>32</v>
      </c>
      <c r="E56" s="5">
        <f t="shared" si="2"/>
        <v>42</v>
      </c>
      <c r="F56" s="5">
        <f t="shared" si="3"/>
        <v>192</v>
      </c>
      <c r="G56" s="5">
        <f t="shared" si="6"/>
        <v>252</v>
      </c>
      <c r="H56" s="5">
        <f t="shared" si="4"/>
        <v>60</v>
      </c>
    </row>
    <row r="57" spans="1:8" x14ac:dyDescent="0.25">
      <c r="A57" t="s">
        <v>126</v>
      </c>
      <c r="B57" s="23">
        <v>5</v>
      </c>
      <c r="C57" t="str">
        <f t="shared" si="7"/>
        <v>Good</v>
      </c>
      <c r="D57" s="5">
        <f t="shared" si="1"/>
        <v>32</v>
      </c>
      <c r="E57" s="5">
        <f t="shared" si="2"/>
        <v>42</v>
      </c>
      <c r="F57" s="5">
        <f t="shared" si="3"/>
        <v>160</v>
      </c>
      <c r="G57" s="5">
        <f t="shared" si="6"/>
        <v>210</v>
      </c>
      <c r="H57" s="5">
        <f t="shared" si="4"/>
        <v>50</v>
      </c>
    </row>
    <row r="58" spans="1:8" x14ac:dyDescent="0.25">
      <c r="A58" t="s">
        <v>129</v>
      </c>
      <c r="B58" s="23">
        <v>3</v>
      </c>
      <c r="C58" t="str">
        <f t="shared" si="7"/>
        <v>Bad</v>
      </c>
      <c r="D58" s="5">
        <f t="shared" si="1"/>
        <v>36</v>
      </c>
      <c r="E58" s="5">
        <f t="shared" si="2"/>
        <v>46</v>
      </c>
      <c r="F58" s="5">
        <f t="shared" si="3"/>
        <v>108</v>
      </c>
      <c r="G58" s="5">
        <f t="shared" si="6"/>
        <v>138</v>
      </c>
      <c r="H58" s="5">
        <f t="shared" si="4"/>
        <v>30</v>
      </c>
    </row>
    <row r="59" spans="1:8" x14ac:dyDescent="0.25">
      <c r="A59" t="s">
        <v>129</v>
      </c>
      <c r="B59" s="23">
        <v>7</v>
      </c>
      <c r="C59" t="str">
        <f t="shared" si="7"/>
        <v>Good</v>
      </c>
      <c r="D59" s="5">
        <f t="shared" si="1"/>
        <v>36</v>
      </c>
      <c r="E59" s="5">
        <f t="shared" si="2"/>
        <v>46</v>
      </c>
      <c r="F59" s="5">
        <f t="shared" si="3"/>
        <v>252</v>
      </c>
      <c r="G59" s="5">
        <f t="shared" si="6"/>
        <v>322</v>
      </c>
      <c r="H59" s="5">
        <f t="shared" si="4"/>
        <v>70</v>
      </c>
    </row>
    <row r="60" spans="1:8" x14ac:dyDescent="0.25">
      <c r="A60" t="s">
        <v>130</v>
      </c>
      <c r="B60" s="23">
        <v>7</v>
      </c>
      <c r="C60" t="str">
        <f t="shared" si="7"/>
        <v>Good</v>
      </c>
      <c r="D60" s="5">
        <f t="shared" si="1"/>
        <v>85</v>
      </c>
      <c r="E60" s="5">
        <f t="shared" si="2"/>
        <v>95</v>
      </c>
      <c r="F60" s="5">
        <f t="shared" si="3"/>
        <v>595</v>
      </c>
      <c r="G60" s="5">
        <f t="shared" si="6"/>
        <v>665</v>
      </c>
      <c r="H60" s="5">
        <f t="shared" si="4"/>
        <v>70</v>
      </c>
    </row>
    <row r="61" spans="1:8" x14ac:dyDescent="0.25">
      <c r="A61" t="s">
        <v>138</v>
      </c>
      <c r="B61" s="23">
        <v>3</v>
      </c>
      <c r="C61" t="str">
        <f t="shared" si="7"/>
        <v>Bad</v>
      </c>
      <c r="D61" s="5">
        <f t="shared" si="1"/>
        <v>80</v>
      </c>
      <c r="E61" s="5">
        <f t="shared" si="2"/>
        <v>90</v>
      </c>
      <c r="F61" s="5">
        <f t="shared" si="3"/>
        <v>240</v>
      </c>
      <c r="G61" s="5">
        <f t="shared" si="6"/>
        <v>270</v>
      </c>
      <c r="H61" s="5">
        <f t="shared" si="4"/>
        <v>30</v>
      </c>
    </row>
    <row r="62" spans="1:8" x14ac:dyDescent="0.25">
      <c r="A62" t="s">
        <v>138</v>
      </c>
      <c r="B62" s="23">
        <v>7</v>
      </c>
      <c r="C62" t="str">
        <f t="shared" si="7"/>
        <v>Good</v>
      </c>
      <c r="D62" s="5">
        <f t="shared" si="1"/>
        <v>80</v>
      </c>
      <c r="E62" s="5">
        <f t="shared" si="2"/>
        <v>90</v>
      </c>
      <c r="F62" s="5">
        <f t="shared" si="3"/>
        <v>560</v>
      </c>
      <c r="G62" s="5">
        <f t="shared" si="6"/>
        <v>630</v>
      </c>
      <c r="H62" s="5">
        <f t="shared" si="4"/>
        <v>70</v>
      </c>
    </row>
    <row r="63" spans="1:8" x14ac:dyDescent="0.25">
      <c r="A63" t="s">
        <v>143</v>
      </c>
      <c r="B63" s="23">
        <v>4</v>
      </c>
      <c r="C63" t="str">
        <f t="shared" si="7"/>
        <v>Good</v>
      </c>
      <c r="D63" s="5">
        <f t="shared" si="1"/>
        <v>75</v>
      </c>
      <c r="E63" s="5">
        <f t="shared" si="2"/>
        <v>85</v>
      </c>
      <c r="F63" s="5">
        <f t="shared" si="3"/>
        <v>300</v>
      </c>
      <c r="G63" s="5">
        <f t="shared" si="6"/>
        <v>340</v>
      </c>
      <c r="H63" s="5">
        <f t="shared" si="4"/>
        <v>40</v>
      </c>
    </row>
    <row r="64" spans="1:8" x14ac:dyDescent="0.25">
      <c r="A64" t="s">
        <v>144</v>
      </c>
      <c r="B64" s="23">
        <v>7</v>
      </c>
      <c r="C64" t="str">
        <f t="shared" si="7"/>
        <v>Good</v>
      </c>
      <c r="D64" s="5">
        <f t="shared" si="1"/>
        <v>70</v>
      </c>
      <c r="E64" s="5">
        <f t="shared" si="2"/>
        <v>80</v>
      </c>
      <c r="F64" s="5">
        <f t="shared" si="3"/>
        <v>490</v>
      </c>
      <c r="G64" s="5">
        <f t="shared" si="6"/>
        <v>560</v>
      </c>
      <c r="H64" s="5">
        <f t="shared" si="4"/>
        <v>70</v>
      </c>
    </row>
    <row r="65" spans="1:8" x14ac:dyDescent="0.25">
      <c r="A65" t="s">
        <v>144</v>
      </c>
      <c r="B65" s="23">
        <v>3</v>
      </c>
      <c r="C65" t="str">
        <f t="shared" si="7"/>
        <v>Bad</v>
      </c>
      <c r="D65" s="5">
        <f t="shared" si="1"/>
        <v>70</v>
      </c>
      <c r="E65" s="5">
        <f t="shared" si="2"/>
        <v>80</v>
      </c>
      <c r="F65" s="5">
        <f t="shared" si="3"/>
        <v>210</v>
      </c>
      <c r="G65" s="5">
        <f t="shared" si="6"/>
        <v>240</v>
      </c>
      <c r="H65" s="5">
        <f t="shared" si="4"/>
        <v>30</v>
      </c>
    </row>
    <row r="66" spans="1:8" x14ac:dyDescent="0.25">
      <c r="A66" t="s">
        <v>148</v>
      </c>
      <c r="B66" s="23">
        <v>4</v>
      </c>
      <c r="C66" t="str">
        <f t="shared" si="7"/>
        <v>Good</v>
      </c>
      <c r="D66" s="5">
        <f t="shared" si="1"/>
        <v>65</v>
      </c>
      <c r="E66" s="5">
        <f t="shared" si="2"/>
        <v>75</v>
      </c>
      <c r="F66" s="5">
        <f t="shared" si="3"/>
        <v>260</v>
      </c>
      <c r="G66" s="5">
        <f t="shared" si="6"/>
        <v>300</v>
      </c>
      <c r="H66" s="5">
        <f t="shared" si="4"/>
        <v>40</v>
      </c>
    </row>
    <row r="67" spans="1:8" x14ac:dyDescent="0.25">
      <c r="A67" t="s">
        <v>148</v>
      </c>
      <c r="B67" s="23">
        <v>2</v>
      </c>
      <c r="C67" t="str">
        <f t="shared" si="7"/>
        <v>Bad</v>
      </c>
      <c r="D67" s="5">
        <f t="shared" si="1"/>
        <v>65</v>
      </c>
      <c r="E67" s="5">
        <f t="shared" si="2"/>
        <v>75</v>
      </c>
      <c r="F67" s="5">
        <f t="shared" si="3"/>
        <v>130</v>
      </c>
      <c r="G67" s="5">
        <f t="shared" si="6"/>
        <v>150</v>
      </c>
      <c r="H67" s="5">
        <f t="shared" si="4"/>
        <v>20</v>
      </c>
    </row>
    <row r="68" spans="1:8" x14ac:dyDescent="0.25">
      <c r="A68" t="s">
        <v>152</v>
      </c>
      <c r="B68" s="23">
        <v>5</v>
      </c>
      <c r="C68" t="str">
        <f t="shared" si="7"/>
        <v>Good</v>
      </c>
      <c r="D68" s="5">
        <f t="shared" ref="D68:D81" si="8">SUMIFS($Q:$Q,$P:$P,$A68)</f>
        <v>60</v>
      </c>
      <c r="E68" s="5">
        <f t="shared" ref="E68:E81" si="9">SUMIFS($R:$R,$P:$P,$A68)</f>
        <v>70</v>
      </c>
      <c r="F68" s="5">
        <f t="shared" ref="F68:F81" si="10">D68*$B68</f>
        <v>300</v>
      </c>
      <c r="G68" s="5">
        <f t="shared" ref="G68:G81" si="11">E68*$B68</f>
        <v>350</v>
      </c>
      <c r="H68" s="5">
        <f t="shared" ref="H68:H81" si="12">G68-F68</f>
        <v>50</v>
      </c>
    </row>
    <row r="69" spans="1:8" x14ac:dyDescent="0.25">
      <c r="A69" t="s">
        <v>152</v>
      </c>
      <c r="B69" s="23">
        <v>4</v>
      </c>
      <c r="C69" t="str">
        <f t="shared" si="7"/>
        <v>Good</v>
      </c>
      <c r="D69" s="5">
        <f t="shared" si="8"/>
        <v>60</v>
      </c>
      <c r="E69" s="5">
        <f t="shared" si="9"/>
        <v>70</v>
      </c>
      <c r="F69" s="5">
        <f t="shared" si="10"/>
        <v>240</v>
      </c>
      <c r="G69" s="5">
        <f t="shared" si="11"/>
        <v>280</v>
      </c>
      <c r="H69" s="5">
        <f t="shared" si="12"/>
        <v>40</v>
      </c>
    </row>
    <row r="70" spans="1:8" x14ac:dyDescent="0.25">
      <c r="A70" t="s">
        <v>158</v>
      </c>
      <c r="B70" s="23">
        <v>1</v>
      </c>
      <c r="C70" t="str">
        <f t="shared" si="7"/>
        <v>Bad</v>
      </c>
      <c r="D70" s="5">
        <f t="shared" si="8"/>
        <v>55</v>
      </c>
      <c r="E70" s="5">
        <f t="shared" si="9"/>
        <v>65</v>
      </c>
      <c r="F70" s="5">
        <f t="shared" si="10"/>
        <v>55</v>
      </c>
      <c r="G70" s="5">
        <f t="shared" si="11"/>
        <v>65</v>
      </c>
      <c r="H70" s="5">
        <f t="shared" si="12"/>
        <v>10</v>
      </c>
    </row>
    <row r="71" spans="1:8" x14ac:dyDescent="0.25">
      <c r="A71" t="s">
        <v>158</v>
      </c>
      <c r="B71" s="23">
        <v>5</v>
      </c>
      <c r="C71" t="str">
        <f t="shared" si="7"/>
        <v>Good</v>
      </c>
      <c r="D71" s="5">
        <f t="shared" si="8"/>
        <v>55</v>
      </c>
      <c r="E71" s="5">
        <f t="shared" si="9"/>
        <v>65</v>
      </c>
      <c r="F71" s="5">
        <f t="shared" si="10"/>
        <v>275</v>
      </c>
      <c r="G71" s="5">
        <f t="shared" si="11"/>
        <v>325</v>
      </c>
      <c r="H71" s="5">
        <f t="shared" si="12"/>
        <v>50</v>
      </c>
    </row>
    <row r="72" spans="1:8" x14ac:dyDescent="0.25">
      <c r="A72" t="s">
        <v>162</v>
      </c>
      <c r="B72" s="23">
        <v>5</v>
      </c>
      <c r="C72" t="str">
        <f t="shared" si="7"/>
        <v>Good</v>
      </c>
      <c r="D72" s="5">
        <f t="shared" si="8"/>
        <v>50</v>
      </c>
      <c r="E72" s="5">
        <f t="shared" si="9"/>
        <v>60</v>
      </c>
      <c r="F72" s="5">
        <f t="shared" si="10"/>
        <v>250</v>
      </c>
      <c r="G72" s="5">
        <f t="shared" si="11"/>
        <v>300</v>
      </c>
      <c r="H72" s="5">
        <f t="shared" si="12"/>
        <v>50</v>
      </c>
    </row>
    <row r="73" spans="1:8" x14ac:dyDescent="0.25">
      <c r="A73" t="s">
        <v>162</v>
      </c>
      <c r="B73" s="23">
        <v>3</v>
      </c>
      <c r="C73" t="str">
        <f t="shared" si="7"/>
        <v>Bad</v>
      </c>
      <c r="D73" s="5">
        <f t="shared" si="8"/>
        <v>50</v>
      </c>
      <c r="E73" s="5">
        <f t="shared" si="9"/>
        <v>60</v>
      </c>
      <c r="F73" s="5">
        <f t="shared" si="10"/>
        <v>150</v>
      </c>
      <c r="G73" s="5">
        <f t="shared" si="11"/>
        <v>180</v>
      </c>
      <c r="H73" s="5">
        <f t="shared" si="12"/>
        <v>30</v>
      </c>
    </row>
    <row r="74" spans="1:8" x14ac:dyDescent="0.25">
      <c r="A74" t="s">
        <v>163</v>
      </c>
      <c r="B74" s="23">
        <v>3</v>
      </c>
      <c r="C74" t="str">
        <f t="shared" si="7"/>
        <v>Bad</v>
      </c>
      <c r="D74" s="5">
        <f t="shared" si="8"/>
        <v>40</v>
      </c>
      <c r="E74" s="5">
        <f t="shared" si="9"/>
        <v>50</v>
      </c>
      <c r="F74" s="5">
        <f t="shared" si="10"/>
        <v>120</v>
      </c>
      <c r="G74" s="5">
        <f t="shared" si="11"/>
        <v>150</v>
      </c>
      <c r="H74" s="5">
        <f t="shared" si="12"/>
        <v>30</v>
      </c>
    </row>
    <row r="75" spans="1:8" x14ac:dyDescent="0.25">
      <c r="A75" t="s">
        <v>163</v>
      </c>
      <c r="B75" s="23">
        <v>2</v>
      </c>
      <c r="C75" t="str">
        <f t="shared" si="7"/>
        <v>Bad</v>
      </c>
      <c r="D75" s="5">
        <f t="shared" si="8"/>
        <v>40</v>
      </c>
      <c r="E75" s="5">
        <f t="shared" si="9"/>
        <v>50</v>
      </c>
      <c r="F75" s="5">
        <f t="shared" si="10"/>
        <v>80</v>
      </c>
      <c r="G75" s="5">
        <f t="shared" si="11"/>
        <v>100</v>
      </c>
      <c r="H75" s="5">
        <f t="shared" si="12"/>
        <v>20</v>
      </c>
    </row>
    <row r="76" spans="1:8" x14ac:dyDescent="0.25">
      <c r="A76" t="s">
        <v>168</v>
      </c>
      <c r="B76" s="23">
        <v>4</v>
      </c>
      <c r="C76" t="str">
        <f t="shared" si="7"/>
        <v>Good</v>
      </c>
      <c r="D76" s="5">
        <f t="shared" si="8"/>
        <v>45</v>
      </c>
      <c r="E76" s="5">
        <f t="shared" si="9"/>
        <v>55</v>
      </c>
      <c r="F76" s="5">
        <f t="shared" si="10"/>
        <v>180</v>
      </c>
      <c r="G76" s="5">
        <f t="shared" si="11"/>
        <v>220</v>
      </c>
      <c r="H76" s="5">
        <f t="shared" si="12"/>
        <v>40</v>
      </c>
    </row>
    <row r="77" spans="1:8" x14ac:dyDescent="0.25">
      <c r="A77" t="s">
        <v>168</v>
      </c>
      <c r="B77" s="23">
        <v>5</v>
      </c>
      <c r="C77" t="str">
        <f t="shared" si="7"/>
        <v>Good</v>
      </c>
      <c r="D77" s="5">
        <f t="shared" si="8"/>
        <v>45</v>
      </c>
      <c r="E77" s="5">
        <f t="shared" si="9"/>
        <v>55</v>
      </c>
      <c r="F77" s="5">
        <f t="shared" si="10"/>
        <v>225</v>
      </c>
      <c r="G77" s="5">
        <f t="shared" si="11"/>
        <v>275</v>
      </c>
      <c r="H77" s="5">
        <f t="shared" si="12"/>
        <v>50</v>
      </c>
    </row>
    <row r="78" spans="1:8" x14ac:dyDescent="0.25">
      <c r="A78" t="s">
        <v>176</v>
      </c>
      <c r="B78" s="23">
        <v>4</v>
      </c>
      <c r="C78" t="str">
        <f t="shared" si="7"/>
        <v>Good</v>
      </c>
      <c r="D78" s="5">
        <f t="shared" si="8"/>
        <v>52</v>
      </c>
      <c r="E78" s="5">
        <f t="shared" si="9"/>
        <v>62</v>
      </c>
      <c r="F78" s="5">
        <f t="shared" si="10"/>
        <v>208</v>
      </c>
      <c r="G78" s="5">
        <f t="shared" si="11"/>
        <v>248</v>
      </c>
      <c r="H78" s="5">
        <f t="shared" si="12"/>
        <v>40</v>
      </c>
    </row>
    <row r="79" spans="1:8" x14ac:dyDescent="0.25">
      <c r="A79" t="s">
        <v>176</v>
      </c>
      <c r="B79" s="23">
        <v>2</v>
      </c>
      <c r="C79" t="str">
        <f t="shared" si="7"/>
        <v>Bad</v>
      </c>
      <c r="D79" s="5">
        <f t="shared" si="8"/>
        <v>52</v>
      </c>
      <c r="E79" s="5">
        <f t="shared" si="9"/>
        <v>62</v>
      </c>
      <c r="F79" s="5">
        <f t="shared" si="10"/>
        <v>104</v>
      </c>
      <c r="G79" s="5">
        <f t="shared" si="11"/>
        <v>124</v>
      </c>
      <c r="H79" s="5">
        <f t="shared" si="12"/>
        <v>20</v>
      </c>
    </row>
    <row r="80" spans="1:8" x14ac:dyDescent="0.25">
      <c r="A80" t="s">
        <v>49</v>
      </c>
      <c r="B80" s="23">
        <v>1</v>
      </c>
      <c r="C80" t="str">
        <f t="shared" si="7"/>
        <v>Bad</v>
      </c>
      <c r="D80" s="5">
        <f t="shared" si="8"/>
        <v>64</v>
      </c>
      <c r="E80" s="5">
        <f t="shared" si="9"/>
        <v>74</v>
      </c>
      <c r="F80" s="5">
        <f t="shared" si="10"/>
        <v>64</v>
      </c>
      <c r="G80" s="5">
        <f t="shared" si="11"/>
        <v>74</v>
      </c>
      <c r="H80" s="5">
        <f t="shared" si="12"/>
        <v>10</v>
      </c>
    </row>
    <row r="81" spans="1:8" x14ac:dyDescent="0.25">
      <c r="A81" s="11" t="s">
        <v>1</v>
      </c>
      <c r="B81" s="26"/>
      <c r="D81" s="5">
        <f t="shared" si="8"/>
        <v>0</v>
      </c>
      <c r="E81" s="5">
        <f t="shared" si="9"/>
        <v>0</v>
      </c>
      <c r="F81" s="5">
        <f t="shared" si="10"/>
        <v>0</v>
      </c>
      <c r="G81" s="5">
        <f t="shared" si="11"/>
        <v>0</v>
      </c>
      <c r="H81" s="5">
        <f t="shared" si="12"/>
        <v>0</v>
      </c>
    </row>
  </sheetData>
  <autoFilter ref="A2:H8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F1" workbookViewId="0">
      <selection activeCell="O4" sqref="O4"/>
    </sheetView>
  </sheetViews>
  <sheetFormatPr defaultRowHeight="15" x14ac:dyDescent="0.25"/>
  <cols>
    <col min="3" max="3" width="10" bestFit="1" customWidth="1"/>
    <col min="6" max="6" width="28.85546875" customWidth="1"/>
    <col min="12" max="12" width="5.28515625" bestFit="1" customWidth="1"/>
    <col min="14" max="14" width="11.85546875" customWidth="1"/>
    <col min="15" max="15" width="11.7109375" customWidth="1"/>
    <col min="19" max="19" width="12.28515625" customWidth="1"/>
    <col min="22" max="22" width="19.42578125" customWidth="1"/>
  </cols>
  <sheetData>
    <row r="1" spans="1:23" x14ac:dyDescent="0.25">
      <c r="A1" s="43" t="s">
        <v>254</v>
      </c>
      <c r="B1" s="43" t="s">
        <v>255</v>
      </c>
      <c r="C1" s="43" t="s">
        <v>256</v>
      </c>
      <c r="E1" t="str">
        <f>VLOOKUP(A$2,$A$1:$C$5,1,FALSE)</f>
        <v>Kratika</v>
      </c>
    </row>
    <row r="2" spans="1:23" x14ac:dyDescent="0.25">
      <c r="A2" t="s">
        <v>257</v>
      </c>
      <c r="B2">
        <v>20</v>
      </c>
      <c r="C2">
        <v>34567890</v>
      </c>
      <c r="E2">
        <f>VLOOKUP($A2,$A:$C,2,FALSE)</f>
        <v>20</v>
      </c>
      <c r="F2">
        <f>VLOOKUP($A2,$A2:$C5,3,FALSE)</f>
        <v>34567890</v>
      </c>
      <c r="I2" s="8"/>
      <c r="J2" s="51" t="s">
        <v>261</v>
      </c>
      <c r="K2" s="51" t="s">
        <v>262</v>
      </c>
      <c r="L2" s="51" t="s">
        <v>263</v>
      </c>
      <c r="N2" s="51" t="s">
        <v>261</v>
      </c>
      <c r="O2" s="51" t="s">
        <v>262</v>
      </c>
      <c r="P2" s="51" t="s">
        <v>263</v>
      </c>
      <c r="S2" s="52" t="s">
        <v>277</v>
      </c>
      <c r="T2" s="52" t="s">
        <v>278</v>
      </c>
    </row>
    <row r="3" spans="1:23" x14ac:dyDescent="0.25">
      <c r="A3" t="s">
        <v>258</v>
      </c>
      <c r="B3">
        <v>23</v>
      </c>
      <c r="C3">
        <v>234567890</v>
      </c>
      <c r="E3">
        <f>VLOOKUP($A3,$A:$C,2,FALSE)</f>
        <v>23</v>
      </c>
      <c r="F3">
        <f>VLOOKUP($A3,$A3:$C6,3,FALSE)</f>
        <v>234567890</v>
      </c>
      <c r="I3" s="8"/>
      <c r="J3" s="8" t="s">
        <v>264</v>
      </c>
      <c r="K3" s="8" t="s">
        <v>270</v>
      </c>
      <c r="L3" s="8">
        <v>50</v>
      </c>
      <c r="N3" s="8" t="str">
        <f t="shared" ref="N3:N8" si="0">VLOOKUP($J3,$J:$L,1,FALSE)</f>
        <v>Rahul</v>
      </c>
      <c r="O3" s="8" t="str">
        <f t="shared" ref="O3:O8" si="1">VLOOKUP($J3,$J:$L,2,FALSE)</f>
        <v>Dravid</v>
      </c>
      <c r="P3" s="8">
        <f t="shared" ref="P3:P8" si="2">VLOOKUP($J3,$J:$L,3,FALSE)</f>
        <v>50</v>
      </c>
      <c r="S3" t="s">
        <v>279</v>
      </c>
      <c r="T3" t="s">
        <v>285</v>
      </c>
      <c r="V3" t="s">
        <v>282</v>
      </c>
      <c r="W3" t="str">
        <f>VLOOKUP($S4,$S3:$T9,2,FALSE)</f>
        <v>Stater</v>
      </c>
    </row>
    <row r="4" spans="1:23" x14ac:dyDescent="0.25">
      <c r="A4" t="s">
        <v>259</v>
      </c>
      <c r="B4">
        <v>21</v>
      </c>
      <c r="C4">
        <v>12345678</v>
      </c>
      <c r="E4">
        <f>VLOOKUP($A4,$A:$C,2,FALSE)</f>
        <v>21</v>
      </c>
      <c r="F4">
        <f>VLOOKUP($A4,$A4:$C7,3,FALSE)</f>
        <v>12345678</v>
      </c>
      <c r="I4" s="8"/>
      <c r="J4" s="8" t="s">
        <v>265</v>
      </c>
      <c r="K4" s="8" t="s">
        <v>271</v>
      </c>
      <c r="L4" s="8">
        <v>52</v>
      </c>
      <c r="N4" s="8" t="str">
        <f t="shared" si="0"/>
        <v>Sachin</v>
      </c>
      <c r="O4" s="8" t="str">
        <f t="shared" si="1"/>
        <v>Tendulkar</v>
      </c>
      <c r="P4" s="8">
        <f t="shared" si="2"/>
        <v>52</v>
      </c>
      <c r="S4" t="s">
        <v>280</v>
      </c>
      <c r="T4" t="s">
        <v>285</v>
      </c>
    </row>
    <row r="5" spans="1:23" x14ac:dyDescent="0.25">
      <c r="A5" t="s">
        <v>260</v>
      </c>
      <c r="B5">
        <v>18</v>
      </c>
      <c r="C5">
        <v>23467890</v>
      </c>
      <c r="E5">
        <f>VLOOKUP($A5,$A:$C,2,FALSE)</f>
        <v>18</v>
      </c>
      <c r="F5">
        <f>VLOOKUP($A5,$A5:$C8,3,FALSE)</f>
        <v>23467890</v>
      </c>
      <c r="I5" s="8"/>
      <c r="J5" s="8" t="s">
        <v>266</v>
      </c>
      <c r="K5" s="8" t="s">
        <v>272</v>
      </c>
      <c r="L5" s="8">
        <v>100</v>
      </c>
      <c r="N5" s="8" t="str">
        <f t="shared" si="0"/>
        <v>MSD</v>
      </c>
      <c r="O5" s="8" t="str">
        <f t="shared" si="1"/>
        <v>Dhoni</v>
      </c>
      <c r="P5" s="8">
        <f t="shared" si="2"/>
        <v>100</v>
      </c>
      <c r="S5" t="s">
        <v>281</v>
      </c>
      <c r="T5" t="s">
        <v>285</v>
      </c>
    </row>
    <row r="6" spans="1:23" x14ac:dyDescent="0.25">
      <c r="I6" s="8"/>
      <c r="J6" s="8" t="s">
        <v>267</v>
      </c>
      <c r="K6" s="8" t="s">
        <v>273</v>
      </c>
      <c r="L6" s="8">
        <v>85</v>
      </c>
      <c r="N6" s="8" t="str">
        <f t="shared" si="0"/>
        <v>Hardik</v>
      </c>
      <c r="O6" s="8" t="str">
        <f t="shared" si="1"/>
        <v>Pandya</v>
      </c>
      <c r="P6" s="8">
        <f t="shared" si="2"/>
        <v>85</v>
      </c>
      <c r="S6" t="s">
        <v>282</v>
      </c>
      <c r="T6" t="s">
        <v>286</v>
      </c>
      <c r="V6" t="s">
        <v>288</v>
      </c>
      <c r="W6" t="str">
        <f>VLOOKUP($V6,$S3:$T9,2,FALSE)</f>
        <v>Dessert</v>
      </c>
    </row>
    <row r="7" spans="1:23" x14ac:dyDescent="0.25">
      <c r="I7" s="8"/>
      <c r="J7" s="8" t="s">
        <v>268</v>
      </c>
      <c r="K7" s="8" t="s">
        <v>274</v>
      </c>
      <c r="L7" s="8">
        <v>56</v>
      </c>
      <c r="N7" s="8" t="str">
        <f t="shared" si="0"/>
        <v>Rishabh</v>
      </c>
      <c r="O7" s="8" t="str">
        <f t="shared" si="1"/>
        <v>Pant</v>
      </c>
      <c r="P7" s="8">
        <f t="shared" si="2"/>
        <v>56</v>
      </c>
      <c r="S7" t="s">
        <v>283</v>
      </c>
      <c r="T7" t="s">
        <v>287</v>
      </c>
    </row>
    <row r="8" spans="1:23" x14ac:dyDescent="0.25">
      <c r="F8" t="s">
        <v>276</v>
      </c>
      <c r="I8" s="8"/>
      <c r="J8" s="8" t="s">
        <v>269</v>
      </c>
      <c r="K8" s="8" t="s">
        <v>275</v>
      </c>
      <c r="L8" s="8">
        <v>100</v>
      </c>
      <c r="N8" s="8" t="str">
        <f t="shared" si="0"/>
        <v>Virat</v>
      </c>
      <c r="O8" s="8" t="str">
        <f t="shared" si="1"/>
        <v>Kohali</v>
      </c>
      <c r="P8" s="8">
        <f t="shared" si="2"/>
        <v>100</v>
      </c>
      <c r="S8" t="s">
        <v>284</v>
      </c>
      <c r="T8" t="s">
        <v>286</v>
      </c>
    </row>
    <row r="9" spans="1:23" x14ac:dyDescent="0.25">
      <c r="S9" t="s">
        <v>288</v>
      </c>
      <c r="T9" t="s">
        <v>287</v>
      </c>
    </row>
    <row r="10" spans="1:23" x14ac:dyDescent="0.25">
      <c r="N10" t="str">
        <f t="shared" ref="N10:N15" si="3">VLOOKUP($J3,$J$3:$L$8,2,0)</f>
        <v>Dravid</v>
      </c>
      <c r="O10">
        <f t="shared" ref="O10:O15" si="4">VLOOKUP($J3,$J$3:$L$8,3,0)</f>
        <v>50</v>
      </c>
    </row>
    <row r="11" spans="1:23" x14ac:dyDescent="0.25">
      <c r="N11" t="str">
        <f t="shared" si="3"/>
        <v>Tendulkar</v>
      </c>
      <c r="O11">
        <f t="shared" si="4"/>
        <v>52</v>
      </c>
    </row>
    <row r="12" spans="1:23" x14ac:dyDescent="0.25">
      <c r="N12" t="str">
        <f t="shared" si="3"/>
        <v>Dhoni</v>
      </c>
      <c r="O12">
        <f t="shared" si="4"/>
        <v>100</v>
      </c>
    </row>
    <row r="13" spans="1:23" x14ac:dyDescent="0.25">
      <c r="N13" t="str">
        <f t="shared" si="3"/>
        <v>Pandya</v>
      </c>
      <c r="O13">
        <f t="shared" si="4"/>
        <v>85</v>
      </c>
    </row>
    <row r="14" spans="1:23" x14ac:dyDescent="0.25">
      <c r="N14" t="str">
        <f t="shared" si="3"/>
        <v>Pant</v>
      </c>
      <c r="O14">
        <f t="shared" si="4"/>
        <v>56</v>
      </c>
    </row>
    <row r="15" spans="1:23" x14ac:dyDescent="0.25">
      <c r="N15" t="str">
        <f t="shared" si="3"/>
        <v>Kohali</v>
      </c>
      <c r="O15">
        <f t="shared" si="4"/>
        <v>100</v>
      </c>
    </row>
  </sheetData>
  <dataValidations count="1">
    <dataValidation type="list" allowBlank="1" showInputMessage="1" showErrorMessage="1" sqref="V3 V6">
      <formula1>$S$3:$S$9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9.5703125" bestFit="1" customWidth="1"/>
    <col min="2" max="2" width="8.140625" customWidth="1"/>
    <col min="3" max="3" width="12.7109375" customWidth="1"/>
    <col min="4" max="4" width="14.42578125" customWidth="1"/>
    <col min="5" max="5" width="27" customWidth="1"/>
    <col min="7" max="7" width="19.42578125" customWidth="1"/>
  </cols>
  <sheetData>
    <row r="1" spans="1:5" x14ac:dyDescent="0.25">
      <c r="A1" s="43" t="s">
        <v>217</v>
      </c>
      <c r="B1" s="43" t="s">
        <v>218</v>
      </c>
      <c r="C1" s="43" t="s">
        <v>219</v>
      </c>
      <c r="D1" s="43" t="s">
        <v>220</v>
      </c>
      <c r="E1" s="43" t="s">
        <v>221</v>
      </c>
    </row>
    <row r="2" spans="1:5" x14ac:dyDescent="0.25">
      <c r="A2">
        <v>800</v>
      </c>
      <c r="B2">
        <v>921.58</v>
      </c>
      <c r="C2" t="str">
        <f>IF(B2&gt;A2,"Over Budget","Within Budget")</f>
        <v>Over Budget</v>
      </c>
      <c r="D2">
        <f>IF(B2&gt;A2,B2-A2,0)</f>
        <v>121.58000000000004</v>
      </c>
      <c r="E2" s="44">
        <f>IF(B2&gt;A2,(B2-A2)/A2,0)</f>
        <v>0.15197500000000005</v>
      </c>
    </row>
    <row r="3" spans="1:5" x14ac:dyDescent="0.25">
      <c r="A3">
        <v>375</v>
      </c>
      <c r="B3">
        <v>324.98</v>
      </c>
      <c r="C3" t="str">
        <f>IF(B3&gt;A3,"Over Budget","Within Budget")</f>
        <v>Within Budget</v>
      </c>
      <c r="D3">
        <f>IF(B3&gt;A3,B3-A3,0)</f>
        <v>0</v>
      </c>
      <c r="E3" s="44">
        <f>IF(B3&gt;A3,(B3-A3)/A3,0)</f>
        <v>0</v>
      </c>
    </row>
    <row r="4" spans="1:5" x14ac:dyDescent="0.25">
      <c r="A4">
        <v>150</v>
      </c>
      <c r="B4">
        <v>128.43</v>
      </c>
      <c r="C4" t="str">
        <f>IF(B4&gt;A4,"Over Budget","Within Budget")</f>
        <v>Within Budget</v>
      </c>
      <c r="D4">
        <f>IF(B4&gt;A4,B4-A4,0)</f>
        <v>0</v>
      </c>
      <c r="E4" s="44">
        <f>IF(B4&gt;A4,(B4-A4)/A4,0)</f>
        <v>0</v>
      </c>
    </row>
    <row r="5" spans="1:5" x14ac:dyDescent="0.25">
      <c r="A5">
        <v>150</v>
      </c>
      <c r="B5">
        <v>174.38</v>
      </c>
      <c r="C5" t="str">
        <f>IF(B5&gt;A5,"Over Budget","Within Budget")</f>
        <v>Over Budget</v>
      </c>
      <c r="D5">
        <f>IF(B5&gt;A5,B5-A5,0)</f>
        <v>24.379999999999995</v>
      </c>
      <c r="E5" s="44">
        <f>IF(B5&gt;A5,(B5-A5)/A5,0)</f>
        <v>0.16253333333333331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13" customWidth="1"/>
    <col min="3" max="3" width="13.7109375" customWidth="1"/>
    <col min="4" max="4" width="14.28515625" customWidth="1"/>
    <col min="5" max="5" width="14.85546875" customWidth="1"/>
    <col min="6" max="6" width="30.28515625" customWidth="1"/>
    <col min="7" max="7" width="45.28515625" customWidth="1"/>
    <col min="8" max="8" width="32.7109375" customWidth="1"/>
  </cols>
  <sheetData>
    <row r="1" spans="1:8" x14ac:dyDescent="0.25">
      <c r="A1" s="47" t="s">
        <v>222</v>
      </c>
      <c r="B1" s="47" t="s">
        <v>223</v>
      </c>
      <c r="C1" s="47" t="s">
        <v>224</v>
      </c>
      <c r="D1" s="47" t="s">
        <v>225</v>
      </c>
      <c r="E1" s="47" t="s">
        <v>226</v>
      </c>
      <c r="F1" s="47" t="s">
        <v>235</v>
      </c>
      <c r="G1" s="47" t="s">
        <v>236</v>
      </c>
      <c r="H1" s="47" t="s">
        <v>237</v>
      </c>
    </row>
    <row r="2" spans="1:8" x14ac:dyDescent="0.25">
      <c r="A2" t="s">
        <v>227</v>
      </c>
      <c r="B2" s="48">
        <v>94525</v>
      </c>
      <c r="C2" s="48">
        <v>45793</v>
      </c>
      <c r="D2" s="48">
        <v>23168</v>
      </c>
      <c r="E2" s="48">
        <f>SUM(B2:D2)</f>
        <v>163486</v>
      </c>
      <c r="F2" s="49">
        <f>IF(E2&gt;100000,E2*2%,"Work Hard")</f>
        <v>3269.7200000000003</v>
      </c>
      <c r="G2" t="str">
        <f>IF(AND(B2&gt;=50000,C2&gt;=50000,D2&gt;=50000),E2*2%,"Work Hard")</f>
        <v>Work Hard</v>
      </c>
      <c r="H2" s="49">
        <f>IF(OR(B2&gt;=50000,C2&gt;=50000,D2&gt;=50000),E2*2%,"Work Hard")</f>
        <v>3269.7200000000003</v>
      </c>
    </row>
    <row r="3" spans="1:8" x14ac:dyDescent="0.25">
      <c r="A3" t="s">
        <v>228</v>
      </c>
      <c r="B3" s="48">
        <v>75664</v>
      </c>
      <c r="C3" s="48">
        <v>28165</v>
      </c>
      <c r="D3" s="48">
        <v>99316</v>
      </c>
      <c r="E3" s="48">
        <f t="shared" ref="E3:E8" si="0">SUM(B3:D3)</f>
        <v>203145</v>
      </c>
      <c r="F3" s="49">
        <f t="shared" ref="F3:F8" si="1">IF(E3&gt;100000,E3*2%,"Work Hard")</f>
        <v>4062.9</v>
      </c>
      <c r="G3" t="str">
        <f t="shared" ref="G3:G8" si="2">IF(AND(B3&gt;=50000,C3&gt;=50000,D3&gt;=50000),E3*2%,"Work Hard")</f>
        <v>Work Hard</v>
      </c>
      <c r="H3" s="49">
        <f t="shared" ref="H3:H8" si="3">IF(OR(B3&gt;=50000,C3&gt;=50000,D3&gt;=50000),E3*2%,"Work Hard")</f>
        <v>4062.9</v>
      </c>
    </row>
    <row r="4" spans="1:8" x14ac:dyDescent="0.25">
      <c r="A4" t="s">
        <v>229</v>
      </c>
      <c r="B4" s="48">
        <v>26654</v>
      </c>
      <c r="C4" s="48">
        <v>85320</v>
      </c>
      <c r="D4" s="48">
        <v>23533</v>
      </c>
      <c r="E4" s="48">
        <f t="shared" si="0"/>
        <v>135507</v>
      </c>
      <c r="F4" s="49">
        <f t="shared" si="1"/>
        <v>2710.14</v>
      </c>
      <c r="G4" t="str">
        <f t="shared" si="2"/>
        <v>Work Hard</v>
      </c>
      <c r="H4" s="49">
        <f t="shared" si="3"/>
        <v>2710.14</v>
      </c>
    </row>
    <row r="5" spans="1:8" x14ac:dyDescent="0.25">
      <c r="A5" t="s">
        <v>233</v>
      </c>
      <c r="B5" s="48">
        <v>65663</v>
      </c>
      <c r="C5" s="48">
        <v>79914</v>
      </c>
      <c r="D5" s="48">
        <v>79914</v>
      </c>
      <c r="E5" s="48">
        <f t="shared" si="0"/>
        <v>225491</v>
      </c>
      <c r="F5" s="49">
        <f t="shared" si="1"/>
        <v>4509.82</v>
      </c>
      <c r="G5" s="49">
        <f t="shared" si="2"/>
        <v>4509.82</v>
      </c>
      <c r="H5" s="49">
        <f t="shared" si="3"/>
        <v>4509.82</v>
      </c>
    </row>
    <row r="6" spans="1:8" x14ac:dyDescent="0.25">
      <c r="A6" t="s">
        <v>230</v>
      </c>
      <c r="B6" s="48">
        <v>24451</v>
      </c>
      <c r="C6" s="48">
        <v>32498</v>
      </c>
      <c r="D6" s="48">
        <v>82814</v>
      </c>
      <c r="E6" s="48">
        <f t="shared" si="0"/>
        <v>139763</v>
      </c>
      <c r="F6" s="49">
        <f t="shared" si="1"/>
        <v>2795.26</v>
      </c>
      <c r="G6" s="49" t="str">
        <f t="shared" si="2"/>
        <v>Work Hard</v>
      </c>
      <c r="H6" s="49">
        <f t="shared" si="3"/>
        <v>2795.26</v>
      </c>
    </row>
    <row r="7" spans="1:8" x14ac:dyDescent="0.25">
      <c r="A7" t="s">
        <v>231</v>
      </c>
      <c r="B7" s="48">
        <v>83228</v>
      </c>
      <c r="C7" s="48">
        <v>57867</v>
      </c>
      <c r="D7" s="48">
        <v>95206</v>
      </c>
      <c r="E7" s="48">
        <f t="shared" si="0"/>
        <v>236301</v>
      </c>
      <c r="F7" s="49">
        <f t="shared" si="1"/>
        <v>4726.0200000000004</v>
      </c>
      <c r="G7" s="49">
        <f t="shared" si="2"/>
        <v>4726.0200000000004</v>
      </c>
      <c r="H7" s="49">
        <f t="shared" si="3"/>
        <v>4726.0200000000004</v>
      </c>
    </row>
    <row r="8" spans="1:8" x14ac:dyDescent="0.25">
      <c r="A8" t="s">
        <v>232</v>
      </c>
      <c r="B8" s="48">
        <v>64737</v>
      </c>
      <c r="C8" s="48">
        <v>98614</v>
      </c>
      <c r="D8" s="48">
        <v>98614</v>
      </c>
      <c r="E8" s="48">
        <f t="shared" si="0"/>
        <v>261965</v>
      </c>
      <c r="F8" s="49">
        <f t="shared" si="1"/>
        <v>5239.3</v>
      </c>
      <c r="G8" s="49">
        <f t="shared" si="2"/>
        <v>5239.3</v>
      </c>
      <c r="H8" s="49">
        <f t="shared" si="3"/>
        <v>5239.3</v>
      </c>
    </row>
    <row r="9" spans="1:8" x14ac:dyDescent="0.25">
      <c r="G9" s="49"/>
    </row>
    <row r="10" spans="1:8" x14ac:dyDescent="0.25">
      <c r="A10" t="s">
        <v>234</v>
      </c>
    </row>
    <row r="13" spans="1:8" x14ac:dyDescent="0.25">
      <c r="C13">
        <f>IFERROR(B2/C2,"")</f>
        <v>2.0641801148647172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Data Type</vt:lpstr>
      <vt:lpstr>Formatting</vt:lpstr>
      <vt:lpstr>Sorting &amp; Filter</vt:lpstr>
      <vt:lpstr>COUNTIFS</vt:lpstr>
      <vt:lpstr>Basic Formulas</vt:lpstr>
      <vt:lpstr>Functions</vt:lpstr>
      <vt:lpstr>Vlookup</vt:lpstr>
      <vt:lpstr>If Function</vt:lpstr>
      <vt:lpstr>Logical operator</vt:lpstr>
      <vt:lpstr>sumif</vt:lpstr>
      <vt:lpstr>Pivot Table</vt:lpstr>
      <vt:lpstr>Sheet2</vt:lpstr>
      <vt:lpstr>Pivot</vt:lpstr>
      <vt:lpstr>Raw data</vt:lpstr>
      <vt:lpstr>Dashboard</vt:lpstr>
      <vt:lpstr>Sheet3</vt:lpstr>
      <vt:lpstr>Analsis</vt:lpstr>
      <vt:lpstr>IFERROR</vt:lpstr>
      <vt:lpstr>Feeder</vt:lpstr>
      <vt:lpstr>Category</vt:lpstr>
      <vt:lpstr>Channel</vt:lpstr>
      <vt:lpstr>Month</vt:lpstr>
      <vt:lpstr>Product_Name</vt:lpstr>
      <vt:lpstr>Qty</vt:lpstr>
      <vt:lpstr>Sales_Value__in_INR_Lakhs</vt:lpstr>
      <vt:lpstr>Sub_Channels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Admin</cp:lastModifiedBy>
  <cp:lastPrinted>2021-12-23T12:55:25Z</cp:lastPrinted>
  <dcterms:created xsi:type="dcterms:W3CDTF">2021-05-26T05:39:00Z</dcterms:created>
  <dcterms:modified xsi:type="dcterms:W3CDTF">2023-07-28T09:39:39Z</dcterms:modified>
</cp:coreProperties>
</file>