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ystjohns-my.sharepoint.com/personal/kazim_rattansi25_my_stjohns_edu/Documents/"/>
    </mc:Choice>
  </mc:AlternateContent>
  <xr:revisionPtr revIDLastSave="1" documentId="8_{533D5E25-8CB4-F04D-AB23-345BCEB957CD}" xr6:coauthVersionLast="47" xr6:coauthVersionMax="47" xr10:uidLastSave="{AEBBFF78-E15C-634C-A49B-081342CA259D}"/>
  <bookViews>
    <workbookView xWindow="0" yWindow="500" windowWidth="28400" windowHeight="15660" xr2:uid="{DBC7313B-91AA-A444-BC3B-02A9573ACFCB}"/>
  </bookViews>
  <sheets>
    <sheet name="Inputs" sheetId="1" r:id="rId1"/>
    <sheet name="Liabilities" sheetId="2" r:id="rId2"/>
    <sheet name="Bonds" sheetId="3" r:id="rId3"/>
    <sheet name="Duration" sheetId="4" r:id="rId4"/>
    <sheet name="Graphs" sheetId="5" r:id="rId5"/>
  </sheets>
  <definedNames>
    <definedName name="solver_adj" localSheetId="2" hidden="1">Bonds!$B$8:$B$12</definedName>
    <definedName name="solver_adj" localSheetId="3" hidden="1">Duration!$B$8:$B$12</definedName>
    <definedName name="solver_adj" localSheetId="0" hidden="1">Inputs!$B$8:$B$12</definedName>
    <definedName name="solver_cvg" localSheetId="3" hidden="1">0.0001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ng" localSheetId="0" hidden="1">1</definedName>
    <definedName name="solver_itr" localSheetId="3" hidden="1">2147483647</definedName>
    <definedName name="solver_lhs1" localSheetId="2" hidden="1">Bonds!$B$18</definedName>
    <definedName name="solver_lhs1" localSheetId="3" hidden="1">Duration!$B$16</definedName>
    <definedName name="solver_lhs1" localSheetId="0" hidden="1">Inputs!$B$18</definedName>
    <definedName name="solver_lhs10" localSheetId="2" hidden="1">Bonds!$G$10</definedName>
    <definedName name="solver_lhs10" localSheetId="0" hidden="1">Inputs!$G$10</definedName>
    <definedName name="solver_lhs11" localSheetId="2" hidden="1">Bonds!$G$11</definedName>
    <definedName name="solver_lhs11" localSheetId="0" hidden="1">Inputs!$G$11</definedName>
    <definedName name="solver_lhs2" localSheetId="2" hidden="1">Bonds!$G$2</definedName>
    <definedName name="solver_lhs2" localSheetId="0" hidden="1">Inputs!$G$3</definedName>
    <definedName name="solver_lhs3" localSheetId="2" hidden="1">Bonds!$G$3</definedName>
    <definedName name="solver_lhs3" localSheetId="0" hidden="1">Inputs!#REF!</definedName>
    <definedName name="solver_lhs4" localSheetId="2" hidden="1">Bonds!$G$4</definedName>
    <definedName name="solver_lhs4" localSheetId="0" hidden="1">Inputs!$G$4</definedName>
    <definedName name="solver_lhs5" localSheetId="2" hidden="1">Bonds!$G$5</definedName>
    <definedName name="solver_lhs5" localSheetId="0" hidden="1">Inputs!$G$5</definedName>
    <definedName name="solver_lhs6" localSheetId="2" hidden="1">Bonds!$G$6</definedName>
    <definedName name="solver_lhs6" localSheetId="0" hidden="1">Inputs!$G$6</definedName>
    <definedName name="solver_lhs7" localSheetId="2" hidden="1">Bonds!$G$7</definedName>
    <definedName name="solver_lhs7" localSheetId="0" hidden="1">Inputs!$G$7</definedName>
    <definedName name="solver_lhs8" localSheetId="2" hidden="1">Bonds!$G$8</definedName>
    <definedName name="solver_lhs8" localSheetId="0" hidden="1">Inputs!$G$8</definedName>
    <definedName name="solver_lhs9" localSheetId="2" hidden="1">Bonds!$G$9</definedName>
    <definedName name="solver_lhs9" localSheetId="0" hidden="1">Inputs!$G$9</definedName>
    <definedName name="solver_lin" localSheetId="2" hidden="1">2</definedName>
    <definedName name="solver_lin" localSheetId="3" hidden="1">2</definedName>
    <definedName name="solver_lin" localSheetId="0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od" localSheetId="3" hidden="1">2147483647</definedName>
    <definedName name="solver_num" localSheetId="2" hidden="1">11</definedName>
    <definedName name="solver_num" localSheetId="3" hidden="1">1</definedName>
    <definedName name="solver_num" localSheetId="0" hidden="1">11</definedName>
    <definedName name="solver_opt" localSheetId="2" hidden="1">Bonds!$B$18</definedName>
    <definedName name="solver_opt" localSheetId="3" hidden="1">Duration!$B$16</definedName>
    <definedName name="solver_opt" localSheetId="0" hidden="1">Inputs!$B$18</definedName>
    <definedName name="solver_pre" localSheetId="3" hidden="1">0.000001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1" localSheetId="0" hidden="1">1</definedName>
    <definedName name="solver_rel10" localSheetId="2" hidden="1">3</definedName>
    <definedName name="solver_rel10" localSheetId="0" hidden="1">3</definedName>
    <definedName name="solver_rel11" localSheetId="2" hidden="1">3</definedName>
    <definedName name="solver_rel11" localSheetId="0" hidden="1">3</definedName>
    <definedName name="solver_rel2" localSheetId="2" hidden="1">3</definedName>
    <definedName name="solver_rel2" localSheetId="0" hidden="1">3</definedName>
    <definedName name="solver_rel3" localSheetId="2" hidden="1">3</definedName>
    <definedName name="solver_rel3" localSheetId="0" hidden="1">3</definedName>
    <definedName name="solver_rel4" localSheetId="2" hidden="1">3</definedName>
    <definedName name="solver_rel4" localSheetId="0" hidden="1">3</definedName>
    <definedName name="solver_rel5" localSheetId="2" hidden="1">3</definedName>
    <definedName name="solver_rel5" localSheetId="0" hidden="1">3</definedName>
    <definedName name="solver_rel6" localSheetId="2" hidden="1">3</definedName>
    <definedName name="solver_rel6" localSheetId="0" hidden="1">3</definedName>
    <definedName name="solver_rel7" localSheetId="2" hidden="1">3</definedName>
    <definedName name="solver_rel7" localSheetId="0" hidden="1">3</definedName>
    <definedName name="solver_rel8" localSheetId="2" hidden="1">3</definedName>
    <definedName name="solver_rel8" localSheetId="0" hidden="1">3</definedName>
    <definedName name="solver_rel9" localSheetId="2" hidden="1">3</definedName>
    <definedName name="solver_rel9" localSheetId="0" hidden="1">3</definedName>
    <definedName name="solver_rhs1" localSheetId="2" hidden="1">Bonds!$B$5</definedName>
    <definedName name="solver_rhs1" localSheetId="3" hidden="1">Inputs!$B$5</definedName>
    <definedName name="solver_rhs1" localSheetId="0" hidden="1">Inputs!$B$5</definedName>
    <definedName name="solver_rhs10" localSheetId="2" hidden="1">Bonds!H10</definedName>
    <definedName name="solver_rhs10" localSheetId="0" hidden="1">Bonds!H10</definedName>
    <definedName name="solver_rhs11" localSheetId="2" hidden="1">Bonds!H11</definedName>
    <definedName name="solver_rhs11" localSheetId="0" hidden="1">Bonds!H11</definedName>
    <definedName name="solver_rhs2" localSheetId="2" hidden="1">Bonds!H2</definedName>
    <definedName name="solver_rhs2" localSheetId="0" hidden="1">Bonds!H2</definedName>
    <definedName name="solver_rhs3" localSheetId="2" hidden="1">Bonds!H3</definedName>
    <definedName name="solver_rhs3" localSheetId="0" hidden="1">Bonds!H3</definedName>
    <definedName name="solver_rhs4" localSheetId="2" hidden="1">Bonds!H4</definedName>
    <definedName name="solver_rhs4" localSheetId="0" hidden="1">Bonds!H4</definedName>
    <definedName name="solver_rhs5" localSheetId="2" hidden="1">Bonds!H5</definedName>
    <definedName name="solver_rhs5" localSheetId="0" hidden="1">Bonds!H5</definedName>
    <definedName name="solver_rhs6" localSheetId="2" hidden="1">Bonds!H6</definedName>
    <definedName name="solver_rhs6" localSheetId="0" hidden="1">Bonds!H6</definedName>
    <definedName name="solver_rhs7" localSheetId="2" hidden="1">Bonds!H7</definedName>
    <definedName name="solver_rhs7" localSheetId="0" hidden="1">Bonds!H7</definedName>
    <definedName name="solver_rhs8" localSheetId="2" hidden="1">Bonds!H8</definedName>
    <definedName name="solver_rhs8" localSheetId="0" hidden="1">Bonds!H8</definedName>
    <definedName name="solver_rhs9" localSheetId="2" hidden="1">Bonds!H9</definedName>
    <definedName name="solver_rhs9" localSheetId="0" hidden="1">Bonds!H9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typ" localSheetId="0" hidden="1">2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er" localSheetId="2" hidden="1">2</definedName>
    <definedName name="solver_ver" localSheetId="3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 s="1"/>
  <c r="J11" i="3" s="1"/>
  <c r="J3" i="3"/>
  <c r="A3" i="4"/>
  <c r="A4" i="4" s="1"/>
  <c r="A5" i="4" s="1"/>
  <c r="A6" i="4" s="1"/>
  <c r="A7" i="4" s="1"/>
  <c r="A8" i="4" s="1"/>
  <c r="A9" i="4" s="1"/>
  <c r="A10" i="4" s="1"/>
  <c r="A11" i="4" s="1"/>
  <c r="A3" i="3"/>
  <c r="A4" i="3" s="1"/>
  <c r="A5" i="3" s="1"/>
  <c r="A6" i="3" s="1"/>
  <c r="A7" i="3" s="1"/>
  <c r="A8" i="3" s="1"/>
  <c r="A9" i="3" s="1"/>
  <c r="A10" i="3" s="1"/>
  <c r="A11" i="3" s="1"/>
  <c r="A3" i="2"/>
  <c r="A4" i="2" s="1"/>
  <c r="A5" i="2" s="1"/>
  <c r="A6" i="2" s="1"/>
  <c r="A7" i="2" s="1"/>
  <c r="A8" i="2" s="1"/>
  <c r="A9" i="2" s="1"/>
  <c r="A10" i="2" s="1"/>
  <c r="A11" i="2" s="1"/>
  <c r="E12" i="1"/>
  <c r="E9" i="1"/>
  <c r="E10" i="1"/>
  <c r="E11" i="1"/>
  <c r="E8" i="1"/>
  <c r="J2" i="5" a="1"/>
  <c r="J2" i="5" s="1"/>
  <c r="D2" i="3"/>
  <c r="B3" i="2"/>
  <c r="H3" i="3" s="1"/>
  <c r="B4" i="2"/>
  <c r="H4" i="3" s="1"/>
  <c r="B5" i="2"/>
  <c r="H5" i="3" s="1"/>
  <c r="B6" i="2"/>
  <c r="H6" i="3" s="1"/>
  <c r="B7" i="2"/>
  <c r="H7" i="3" s="1"/>
  <c r="B8" i="2"/>
  <c r="H8" i="3" s="1"/>
  <c r="B9" i="2"/>
  <c r="H9" i="3" s="1"/>
  <c r="B10" i="2"/>
  <c r="H10" i="3" s="1"/>
  <c r="B11" i="2"/>
  <c r="H11" i="3" s="1"/>
  <c r="B2" i="2"/>
  <c r="H2" i="3" s="1"/>
  <c r="C10" i="2" l="1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11" i="2"/>
  <c r="D11" i="2" s="1"/>
  <c r="C3" i="2"/>
  <c r="D3" i="2" s="1"/>
  <c r="L6" i="5"/>
  <c r="L5" i="5"/>
  <c r="L4" i="5"/>
  <c r="L11" i="5"/>
  <c r="L3" i="5"/>
  <c r="C2" i="2"/>
  <c r="D2" i="2" s="1"/>
  <c r="L10" i="5"/>
  <c r="L2" i="5"/>
  <c r="L9" i="5"/>
  <c r="L8" i="5"/>
  <c r="L7" i="5"/>
  <c r="B6" i="3"/>
  <c r="C10" i="3"/>
  <c r="D11" i="3"/>
  <c r="D3" i="3"/>
  <c r="E4" i="3"/>
  <c r="F6" i="3"/>
  <c r="B5" i="3"/>
  <c r="C9" i="3"/>
  <c r="D10" i="3"/>
  <c r="E11" i="3"/>
  <c r="E3" i="3"/>
  <c r="F5" i="3"/>
  <c r="B4" i="3"/>
  <c r="F2" i="3"/>
  <c r="C7" i="3"/>
  <c r="E9" i="3"/>
  <c r="D7" i="3"/>
  <c r="E8" i="3"/>
  <c r="F10" i="3"/>
  <c r="B11" i="3"/>
  <c r="B2" i="3"/>
  <c r="E2" i="3"/>
  <c r="C4" i="3"/>
  <c r="D5" i="3"/>
  <c r="E6" i="3"/>
  <c r="F8" i="3"/>
  <c r="B9" i="3"/>
  <c r="B7" i="3"/>
  <c r="C11" i="3"/>
  <c r="C3" i="3"/>
  <c r="D4" i="3"/>
  <c r="E5" i="3"/>
  <c r="F7" i="3"/>
  <c r="B8" i="3"/>
  <c r="C8" i="3"/>
  <c r="D9" i="3"/>
  <c r="E10" i="3"/>
  <c r="F4" i="3"/>
  <c r="B3" i="3"/>
  <c r="D8" i="3"/>
  <c r="F11" i="3"/>
  <c r="F3" i="3"/>
  <c r="C2" i="3"/>
  <c r="C6" i="3"/>
  <c r="C5" i="3"/>
  <c r="D6" i="3"/>
  <c r="E7" i="3"/>
  <c r="F9" i="3"/>
  <c r="B10" i="3"/>
  <c r="G10" i="3" l="1"/>
  <c r="B10" i="4" s="1"/>
  <c r="B13" i="2"/>
  <c r="B14" i="2" s="1"/>
  <c r="B15" i="4" s="1"/>
  <c r="G3" i="3"/>
  <c r="G8" i="3"/>
  <c r="B8" i="4" s="1"/>
  <c r="G11" i="3"/>
  <c r="G7" i="3"/>
  <c r="G5" i="3"/>
  <c r="I10" i="3"/>
  <c r="G2" i="3"/>
  <c r="G6" i="3"/>
  <c r="B6" i="4" s="1"/>
  <c r="G9" i="3"/>
  <c r="B9" i="4" s="1"/>
  <c r="G4" i="3"/>
  <c r="B4" i="4" s="1"/>
  <c r="I8" i="3"/>
  <c r="I5" i="3" l="1"/>
  <c r="B5" i="4"/>
  <c r="I7" i="3"/>
  <c r="B7" i="4"/>
  <c r="I11" i="3"/>
  <c r="B11" i="4"/>
  <c r="I3" i="3"/>
  <c r="B3" i="4"/>
  <c r="I2" i="3"/>
  <c r="B2" i="4"/>
  <c r="K5" i="5"/>
  <c r="K4" i="5"/>
  <c r="K3" i="5"/>
  <c r="K11" i="5"/>
  <c r="C6" i="4"/>
  <c r="D6" i="4" s="1"/>
  <c r="J2" i="3"/>
  <c r="I6" i="3"/>
  <c r="K9" i="5"/>
  <c r="K6" i="5"/>
  <c r="K8" i="5"/>
  <c r="I4" i="3"/>
  <c r="K10" i="5"/>
  <c r="K7" i="5"/>
  <c r="K2" i="5"/>
  <c r="I9" i="3"/>
  <c r="C4" i="4" l="1"/>
  <c r="D4" i="4" s="1"/>
  <c r="C2" i="4"/>
  <c r="D2" i="4" s="1"/>
  <c r="C11" i="4"/>
  <c r="D11" i="4" s="1"/>
  <c r="C7" i="4"/>
  <c r="D7" i="4" s="1"/>
  <c r="C5" i="4"/>
  <c r="D5" i="4" s="1"/>
  <c r="C9" i="4"/>
  <c r="D9" i="4" s="1"/>
  <c r="C8" i="4"/>
  <c r="D8" i="4" s="1"/>
  <c r="C10" i="4"/>
  <c r="D10" i="4" s="1"/>
  <c r="C3" i="4"/>
  <c r="D3" i="4" s="1"/>
  <c r="K2" i="3"/>
  <c r="B13" i="4" l="1"/>
  <c r="B14" i="4" s="1"/>
  <c r="B16" i="4" s="1"/>
  <c r="B17" i="4" s="1"/>
  <c r="K3" i="3"/>
  <c r="K5" i="3"/>
  <c r="K4" i="3" l="1"/>
  <c r="K6" i="3"/>
  <c r="K7" i="3" l="1"/>
  <c r="K8" i="3"/>
  <c r="K9" i="3" l="1"/>
  <c r="K10" i="3" l="1"/>
  <c r="K11" i="3"/>
  <c r="K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<sst xmlns="http://schemas.openxmlformats.org/spreadsheetml/2006/main" count="41" uniqueCount="36">
  <si>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Total Liability Amount</t>
  </si>
  <si>
    <t>Years to Match</t>
  </si>
  <si>
    <t>Discount Rate</t>
  </si>
  <si>
    <t>Target Duration Gap</t>
  </si>
  <si>
    <t>Bond #</t>
  </si>
  <si>
    <t>Face Value</t>
  </si>
  <si>
    <t>Coupon Rate</t>
  </si>
  <si>
    <t>Maturity (Years)</t>
  </si>
  <si>
    <t>Year</t>
  </si>
  <si>
    <t>Liability CF</t>
  </si>
  <si>
    <t>PV of CF</t>
  </si>
  <si>
    <t>t * PV(CF)</t>
  </si>
  <si>
    <t>Total PV Liabilities</t>
  </si>
  <si>
    <t>Macaulay Duration (Liabilities)</t>
  </si>
  <si>
    <t>Bond 1</t>
  </si>
  <si>
    <t>Bond 2</t>
  </si>
  <si>
    <t>Bond 3</t>
  </si>
  <si>
    <t>Bond 4</t>
  </si>
  <si>
    <t>Bond 5</t>
  </si>
  <si>
    <t>Total Asset CF</t>
  </si>
  <si>
    <t>PV(CF)</t>
  </si>
  <si>
    <t>Total PV of Asset CFs</t>
  </si>
  <si>
    <t>Duration Gap</t>
  </si>
  <si>
    <t>Status</t>
  </si>
  <si>
    <t>Sufficiency Check</t>
  </si>
  <si>
    <t>All Years Covered?</t>
  </si>
  <si>
    <t>Duration Assets</t>
  </si>
  <si>
    <t>Duration Liabilities</t>
  </si>
  <si>
    <t>Years</t>
  </si>
  <si>
    <t>Cumulative Asset CF</t>
  </si>
  <si>
    <t>Cumulative Liability CF</t>
  </si>
  <si>
    <t>Net Annual CF</t>
  </si>
  <si>
    <t>Net Cumulative CF</t>
  </si>
  <si>
    <t>PV</t>
  </si>
  <si>
    <t>Input Item</t>
  </si>
  <si>
    <t>Input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</si>
</sst>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9" fontId="0" fillId="0" borderId="1" xfId="2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1" xfId="2" applyNumberFormat="1" applyFont="1" applyBorder="1"/>
    <xf numFmtId="8" fontId="0" fillId="0" borderId="6" xfId="1" applyNumberFormat="1" applyFont="1" applyBorder="1"/>
    <xf numFmtId="0" fontId="0" fillId="0" borderId="7" xfId="0" applyBorder="1"/>
    <xf numFmtId="44" fontId="0" fillId="0" borderId="8" xfId="1" applyFont="1" applyBorder="1"/>
    <xf numFmtId="10" fontId="0" fillId="0" borderId="8" xfId="2" applyNumberFormat="1" applyFont="1" applyBorder="1"/>
    <xf numFmtId="0" fontId="0" fillId="0" borderId="8" xfId="0" applyBorder="1"/>
    <xf numFmtId="8" fontId="0" fillId="0" borderId="9" xfId="1" applyNumberFormat="1" applyFont="1" applyBorder="1"/>
    <xf numFmtId="0" fontId="0" fillId="0" borderId="9" xfId="0" applyBorder="1"/>
    <xf numFmtId="0" fontId="3" fillId="0" borderId="1" xfId="0" applyFont="1" applyBorder="1"/>
    <xf numFmtId="44" fontId="0" fillId="0" borderId="1" xfId="0" applyNumberFormat="1" applyBorder="1"/>
    <xf numFmtId="0" fontId="0" fillId="0" borderId="1" xfId="1" applyNumberFormat="1" applyFont="1" applyBorder="1"/>
    <xf numFmtId="0" fontId="4" fillId="3" borderId="1" xfId="0" applyFont="1" applyFill="1" applyBorder="1"/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44" fontId="0" fillId="0" borderId="8" xfId="0" applyNumberFormat="1" applyBorder="1"/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4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2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Cash Flow Comparison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Asset CF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Liabilities!$A$2:$A$11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Bonds!$G$2:$G$11</c:f>
              <c:numCache>
                <c:formatCode>_("$"* #,##0.00_);_("$"* \(#,##0.00\);_("$"* "-"??_);_(@_)</c:formatCode>
                <c:ptCount val="10"/>
                <c:pt idx="0">
                  <c:v>1015</c:v>
                </c:pt>
                <c:pt idx="1">
                  <c:v>6515</c:v>
                </c:pt>
                <c:pt idx="2">
                  <c:v>850</c:v>
                </c:pt>
                <c:pt idx="3">
                  <c:v>5850</c:v>
                </c:pt>
                <c:pt idx="4">
                  <c:v>675</c:v>
                </c:pt>
                <c:pt idx="5">
                  <c:v>5675</c:v>
                </c:pt>
                <c:pt idx="6">
                  <c:v>475</c:v>
                </c:pt>
                <c:pt idx="7">
                  <c:v>5475</c:v>
                </c:pt>
                <c:pt idx="8">
                  <c:v>250</c:v>
                </c:pt>
                <c:pt idx="9">
                  <c:v>5250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C-974A-9DCF-B6311527BA57}"/>
            </c:ext>
          </c:extLst>
        </c:ser>
        <c:ser>
          <c:idx val="1"/>
          <c:order val="1"/>
          <c:tx>
            <c:v>Liability CF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Liabilities!$A$2:$A$11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Liabilities!$B$2:$B$11</c:f>
              <c:numCache>
                <c:formatCode>_("$"* #,##0.00_);_("$"* \(#,##0.00\);_("$"* "-"??_);_(@_)</c:formatCode>
                <c:ptCount val="1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1C-974A-9DCF-B6311527B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853744"/>
        <c:axId val="1572695920"/>
      </c:lineChart>
      <c:catAx>
        <c:axId val="157185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695920"/>
        <c:crosses val="autoZero"/>
        <c:auto val="1"/>
        <c:lblAlgn val="ctr"/>
        <c:lblOffset val="100"/>
        <c:noMultiLvlLbl val="0"/>
      </c:catAx>
      <c:valAx>
        <c:axId val="157269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85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CF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Asset CFs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Graphs!$K$2:$K$11</c:f>
              <c:numCache>
                <c:formatCode>_("$"* #,##0.00_);_("$"* \(#,##0.00\);_("$"* "-"??_);_(@_)</c:formatCode>
                <c:ptCount val="10"/>
                <c:pt idx="0">
                  <c:v>1015</c:v>
                </c:pt>
                <c:pt idx="1">
                  <c:v>7530</c:v>
                </c:pt>
                <c:pt idx="2">
                  <c:v>8380</c:v>
                </c:pt>
                <c:pt idx="3">
                  <c:v>14230</c:v>
                </c:pt>
                <c:pt idx="4">
                  <c:v>14905</c:v>
                </c:pt>
                <c:pt idx="5">
                  <c:v>20580</c:v>
                </c:pt>
                <c:pt idx="6">
                  <c:v>21055</c:v>
                </c:pt>
                <c:pt idx="7">
                  <c:v>26530</c:v>
                </c:pt>
                <c:pt idx="8">
                  <c:v>26780</c:v>
                </c:pt>
                <c:pt idx="9">
                  <c:v>32030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6-9B47-8868-0FD52B98FCE9}"/>
            </c:ext>
          </c:extLst>
        </c:ser>
        <c:ser>
          <c:idx val="2"/>
          <c:order val="1"/>
          <c:tx>
            <c:v>Liability CFs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Graphs!$L$2:$L$11</c:f>
              <c:numCache>
                <c:formatCode>_("$"* #,##0.00_);_("$"* \(#,##0.00\);_("$"* "-"??_);_(@_)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F6-9B47-8868-0FD52B98F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108640"/>
        <c:axId val="94189808"/>
      </c:lineChart>
      <c:catAx>
        <c:axId val="156310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89808"/>
        <c:crosses val="autoZero"/>
        <c:auto val="1"/>
        <c:lblAlgn val="ctr"/>
        <c:lblOffset val="100"/>
        <c:noMultiLvlLbl val="0"/>
      </c:catAx>
      <c:valAx>
        <c:axId val="941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0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406400</xdr:colOff>
      <xdr:row>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D7F6C-113F-AAC4-1E18-AADF48E09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0</xdr:row>
      <xdr:rowOff>0</xdr:rowOff>
    </xdr:from>
    <xdr:to>
      <xdr:col>15</xdr:col>
      <xdr:colOff>25400</xdr:colOff>
      <xdr:row>21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AC82D9-AE7F-B7D8-E7EB-21F298319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A88D8-75D4-AC42-A313-2791B543C5CB}" name="Table2" displayName="Table2" ref="A1:B5" totalsRowShown="0">
  <autoFilter ref="A1:B5" xr:uid="{E5FA88D8-75D4-AC42-A313-2791B543C5CB}"/>
  <tableColumns count="2">
    <tableColumn id="1" xr3:uid="{20562A9C-1863-BF4A-966F-4AE706BA44D5}" name="Input Item" dataDxfId="46"/>
    <tableColumn id="2" xr3:uid="{22F2DB1E-8759-2840-A4AB-FFE69B5F4DB3}" name="Input Value" dataDxfId="4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794EEF-622B-E741-AA43-A1DC467EFE47}" name="Table3" displayName="Table3" ref="A7:E12" totalsRowShown="0" headerRowDxfId="44" headerRowBorderDxfId="43" tableBorderDxfId="42" totalsRowBorderDxfId="41">
  <autoFilter ref="A7:E12" xr:uid="{1F794EEF-622B-E741-AA43-A1DC467EFE47}"/>
  <tableColumns count="5">
    <tableColumn id="1" xr3:uid="{A36D8053-3662-9846-8E32-9C087503FFF6}" name="Bond #" dataDxfId="40"/>
    <tableColumn id="2" xr3:uid="{E9670155-9E65-5E4E-ADA7-8BAEFEF192B2}" name="Face Value" dataDxfId="39" dataCellStyle="Currency"/>
    <tableColumn id="3" xr3:uid="{04F474A6-9675-FE4C-9B91-B927CAF6B74C}" name="Coupon Rate" dataDxfId="38" dataCellStyle="Percent"/>
    <tableColumn id="4" xr3:uid="{F8A52358-EBBD-7340-8860-B51AFB5C3423}" name="Maturity (Years)" dataDxfId="37"/>
    <tableColumn id="5" xr3:uid="{98DC10F2-E6ED-E441-96DE-685E10A5B3F4}" name="PV" dataDxfId="36" dataCellStyle="Currency">
      <calculatedColumnFormula>PV(B$4,D8,C8*B8,-B8)</calculatedColumnFormula>
    </tableColumn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4F3507-50C9-C748-9287-FF63C30D82C6}" name="Table4" displayName="Table4" ref="A1:D11" totalsRowShown="0">
  <autoFilter ref="A1:D11" xr:uid="{534F3507-50C9-C748-9287-FF63C30D82C6}"/>
  <tableColumns count="4">
    <tableColumn id="1" xr3:uid="{325A80D9-FCD3-A64F-80CC-4DFC1B2C36FF}" name="Year" dataDxfId="35"/>
    <tableColumn id="2" xr3:uid="{6370DEE4-F02E-EB49-8B94-02C4A027A6D1}" name="Liability CF" dataDxfId="34" dataCellStyle="Currency">
      <calculatedColumnFormula>Inputs!$B$2 / Inputs!$B$3</calculatedColumnFormula>
    </tableColumn>
    <tableColumn id="3" xr3:uid="{ADFADBDB-7598-4B47-9939-A6299BEFE42A}" name="PV of CF" dataDxfId="33" dataCellStyle="Currency">
      <calculatedColumnFormula>B2 / (1 + Inputs!$B$4)^A2</calculatedColumnFormula>
    </tableColumn>
    <tableColumn id="4" xr3:uid="{1F6641A4-7973-2D47-A480-0F52C0744D4B}" name="t * PV(CF)" dataDxfId="32">
      <calculatedColumnFormula>A2 * C2</calculatedColumnFormula>
    </tableColumn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EF7A9-AF86-CF43-97BE-E6547DDA203A}" name="Table5" displayName="Table5" ref="A1:K11" totalsRowShown="0" headerRowDxfId="31" dataDxfId="29" headerRowBorderDxfId="30" tableBorderDxfId="28" totalsRowBorderDxfId="27" dataCellStyle="Currency">
  <autoFilter ref="A1:K11" xr:uid="{B19EF7A9-AF86-CF43-97BE-E6547DDA203A}"/>
  <tableColumns count="11">
    <tableColumn id="1" xr3:uid="{210D1658-7C73-EB43-A2C9-C81884C8A539}" name="Year" dataDxfId="26"/>
    <tableColumn id="2" xr3:uid="{78991462-BE8C-9D46-9163-6DCAB144DE59}" name="Bond 1" dataDxfId="25" dataCellStyle="Currency">
      <calculatedColumnFormula>IF($A2&lt;=Inputs!$D$8, Inputs!$B$8*Inputs!$C$8, 0) + IF($A2=Inputs!$D$8, Inputs!$B$8, 0)</calculatedColumnFormula>
    </tableColumn>
    <tableColumn id="3" xr3:uid="{42599D4D-0F6F-234C-984B-86D5C983FABD}" name="Bond 2" dataDxfId="24" dataCellStyle="Currency">
      <calculatedColumnFormula>IF($A2&lt;=Inputs!$D$9, Inputs!$B$9*Inputs!$C$9, 0) + IF($A2=Inputs!$D$9, Inputs!$B$9, 0)</calculatedColumnFormula>
    </tableColumn>
    <tableColumn id="4" xr3:uid="{76BC2EB0-498D-0340-9D12-5B4540B8A963}" name="Bond 3" dataDxfId="23" dataCellStyle="Currency">
      <calculatedColumnFormula>IF($A2&lt;=Inputs!$D$10, Inputs!$B$10*Inputs!$C$10, 0) + IF($A2=Inputs!$D$10, Inputs!$B$10, 0)</calculatedColumnFormula>
    </tableColumn>
    <tableColumn id="5" xr3:uid="{53BEAADE-36C9-2541-8DEA-08508DE1865E}" name="Bond 4" dataDxfId="22" dataCellStyle="Currency">
      <calculatedColumnFormula>IF($A2&lt;=Inputs!$D$11, Inputs!$B$11*Inputs!$C$11, 0) + IF($A2=Inputs!$D$11, Inputs!$B$11, 0)</calculatedColumnFormula>
    </tableColumn>
    <tableColumn id="6" xr3:uid="{8F24F769-2449-1A4E-BCDF-F0EDE8D7D622}" name="Bond 5" dataDxfId="21" dataCellStyle="Currency">
      <calculatedColumnFormula>IF($A2&lt;=Inputs!$D$12, Inputs!$B$12*Inputs!$C$12, 0) + IF($A2=Inputs!$D$12, Inputs!$B$12, 0)</calculatedColumnFormula>
    </tableColumn>
    <tableColumn id="7" xr3:uid="{8458123A-288F-0E4C-B6B3-91784422C75A}" name="Total Asset CF" dataDxfId="20" dataCellStyle="Currency">
      <calculatedColumnFormula>SUM(B2:F2)</calculatedColumnFormula>
    </tableColumn>
    <tableColumn id="8" xr3:uid="{239B377B-CEAB-1242-BAB0-F28886A322A6}" name="Liability CF" dataDxfId="19" dataCellStyle="Currency">
      <calculatedColumnFormula>Table4[[#This Row],[Liability CF]]</calculatedColumnFormula>
    </tableColumn>
    <tableColumn id="9" xr3:uid="{CACC124C-9B72-4D44-ACAD-E5541633CF85}" name="Net Annual CF" dataDxfId="18" dataCellStyle="Currency">
      <calculatedColumnFormula>G2-H2</calculatedColumnFormula>
    </tableColumn>
    <tableColumn id="10" xr3:uid="{9D43A050-6A36-164C-8965-7ADADEEDD297}" name="Net Cumulative CF" dataDxfId="17">
      <calculatedColumnFormula>G2-H2+SUM(J1:J$2)</calculatedColumnFormula>
    </tableColumn>
    <tableColumn id="11" xr3:uid="{EF0060EB-6D6F-B546-9921-347CBA6BBA73}" name="Sufficiency Check" dataDxfId="16">
      <calculatedColumnFormula>IF(J2&gt;=0,"Yes","No")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7A44E9-8BC6-C24C-95E3-34A325077FF7}" name="Table6" displayName="Table6" ref="A1:D11" totalsRowShown="0" headerRowDxfId="15" headerRowBorderDxfId="14" tableBorderDxfId="13" totalsRowBorderDxfId="12">
  <autoFilter ref="A1:D11" xr:uid="{8B7A44E9-8BC6-C24C-95E3-34A325077FF7}"/>
  <tableColumns count="4">
    <tableColumn id="1" xr3:uid="{BA8EF8CA-5B11-6A40-9B5B-12A006305CB2}" name="Year" dataDxfId="11"/>
    <tableColumn id="2" xr3:uid="{EB91EDD2-4502-0248-98CE-5EB0D49ED2A2}" name="Total Asset CF" dataDxfId="10" dataCellStyle="Currency">
      <calculatedColumnFormula>Bonds!G2</calculatedColumnFormula>
    </tableColumn>
    <tableColumn id="3" xr3:uid="{13C760CB-128E-2C4F-B597-D1438EDF8858}" name="PV(CF)" dataDxfId="9">
      <calculatedColumnFormula>B2 / (1 + Inputs!$B$4)^A2</calculatedColumnFormula>
    </tableColumn>
    <tableColumn id="4" xr3:uid="{1632118B-7FAE-B64D-9EFF-EBFD6CC5529B}" name="t * PV(CF)" dataDxfId="8">
      <calculatedColumnFormula>A2 * C2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41E0-3797-774C-A5AE-EDFE8ED50EF5}">
  <sheetPr codeName="Sheet1"/>
  <dimension ref="A1:E12"/>
  <sheetViews>
    <sheetView tabSelected="1" workbookViewId="0">
      <selection activeCell="F5" sqref="F5"/>
    </sheetView>
  </sheetViews>
  <sheetFormatPr baseColWidth="10" defaultRowHeight="16" x14ac:dyDescent="0.2"/>
  <cols>
    <col min="1" max="1" width="18.5" bestFit="1" customWidth="1"/>
    <col min="2" max="2" width="12.6640625" customWidth="1"/>
    <col min="3" max="3" width="14" customWidth="1"/>
    <col min="4" max="4" width="16.6640625" customWidth="1"/>
    <col min="5" max="5" width="11.5" bestFit="1" customWidth="1"/>
  </cols>
  <sheetData>
    <row r="1" spans="1:5" x14ac:dyDescent="0.2">
      <c r="A1" t="s">
        <v>34</v>
      </c>
      <c r="B1" t="s">
        <v>35</v>
      </c>
    </row>
    <row r="2" spans="1:5" x14ac:dyDescent="0.2">
      <c r="A2" s="2" t="s">
        <v>0</v>
      </c>
      <c r="B2" s="3">
        <v>10000</v>
      </c>
    </row>
    <row r="3" spans="1:5" x14ac:dyDescent="0.2">
      <c r="A3" s="2" t="s">
        <v>1</v>
      </c>
      <c r="B3" s="2">
        <v>10</v>
      </c>
    </row>
    <row r="4" spans="1:5" x14ac:dyDescent="0.2">
      <c r="A4" s="2" t="s">
        <v>2</v>
      </c>
      <c r="B4" s="4">
        <v>0.03</v>
      </c>
    </row>
    <row r="5" spans="1:5" x14ac:dyDescent="0.2">
      <c r="A5" s="2" t="s">
        <v>3</v>
      </c>
      <c r="B5" s="2">
        <v>0.1</v>
      </c>
    </row>
    <row r="7" spans="1:5" x14ac:dyDescent="0.2">
      <c r="A7" s="5" t="s">
        <v>4</v>
      </c>
      <c r="B7" s="6" t="s">
        <v>5</v>
      </c>
      <c r="C7" s="6" t="s">
        <v>6</v>
      </c>
      <c r="D7" s="6" t="s">
        <v>7</v>
      </c>
      <c r="E7" s="7" t="s">
        <v>33</v>
      </c>
    </row>
    <row r="8" spans="1:5" x14ac:dyDescent="0.2">
      <c r="A8" s="8">
        <v>1</v>
      </c>
      <c r="B8" s="3">
        <v>5500</v>
      </c>
      <c r="C8" s="9">
        <v>0.03</v>
      </c>
      <c r="D8" s="2">
        <v>2</v>
      </c>
      <c r="E8" s="10">
        <f>PV(B$4,D8,C8*B8,-B8)</f>
        <v>4868.5550004712986</v>
      </c>
    </row>
    <row r="9" spans="1:5" x14ac:dyDescent="0.2">
      <c r="A9" s="8">
        <v>2</v>
      </c>
      <c r="B9" s="3">
        <v>5000</v>
      </c>
      <c r="C9" s="9">
        <v>3.5000000000000003E-2</v>
      </c>
      <c r="D9" s="2">
        <v>4</v>
      </c>
      <c r="E9" s="10">
        <f>PV(B$4,D9,C9*B9,-B9)</f>
        <v>3791.9430190866301</v>
      </c>
    </row>
    <row r="10" spans="1:5" x14ac:dyDescent="0.2">
      <c r="A10" s="8">
        <v>3</v>
      </c>
      <c r="B10" s="3">
        <v>5000</v>
      </c>
      <c r="C10" s="9">
        <v>0.04</v>
      </c>
      <c r="D10" s="2">
        <v>6</v>
      </c>
      <c r="E10" s="10">
        <f>PV(B$4,D10,C10*B10,-B10)</f>
        <v>3103.9829946426348</v>
      </c>
    </row>
    <row r="11" spans="1:5" x14ac:dyDescent="0.2">
      <c r="A11" s="8">
        <v>4</v>
      </c>
      <c r="B11" s="3">
        <v>5000</v>
      </c>
      <c r="C11" s="9">
        <v>4.4999999999999998E-2</v>
      </c>
      <c r="D11" s="2">
        <v>8</v>
      </c>
      <c r="E11" s="10">
        <f>PV(B$4,D11,C11*B11,-B11)</f>
        <v>2367.6154289241972</v>
      </c>
    </row>
    <row r="12" spans="1:5" x14ac:dyDescent="0.2">
      <c r="A12" s="11">
        <v>5</v>
      </c>
      <c r="B12" s="12">
        <v>5000</v>
      </c>
      <c r="C12" s="13">
        <v>0.05</v>
      </c>
      <c r="D12" s="14">
        <v>10</v>
      </c>
      <c r="E12" s="15">
        <f>PV(B$4,D12,C12*B12,-B12)</f>
        <v>1587.9188652896689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677F-A5E7-8E43-95F0-A8F2F099257F}">
  <sheetPr codeName="Sheet2"/>
  <dimension ref="A1:D14"/>
  <sheetViews>
    <sheetView workbookViewId="0">
      <selection activeCell="F22" sqref="F22"/>
    </sheetView>
  </sheetViews>
  <sheetFormatPr baseColWidth="10" defaultRowHeight="16" x14ac:dyDescent="0.2"/>
  <cols>
    <col min="1" max="1" width="26.33203125" bestFit="1" customWidth="1"/>
    <col min="2" max="2" width="15.6640625" customWidth="1"/>
    <col min="3" max="3" width="12.1640625" customWidth="1"/>
    <col min="4" max="4" width="13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s="2">
        <v>1</v>
      </c>
      <c r="B2" s="3">
        <f>Inputs!$B$2 / Inputs!$B$3</f>
        <v>1000</v>
      </c>
      <c r="C2" s="3">
        <f>B2 / (1 + Inputs!$B$4)^A2</f>
        <v>970.87378640776694</v>
      </c>
      <c r="D2" s="2">
        <f>A2 * C2</f>
        <v>970.87378640776694</v>
      </c>
    </row>
    <row r="3" spans="1:4" x14ac:dyDescent="0.2">
      <c r="A3" s="2">
        <f>A2+1</f>
        <v>2</v>
      </c>
      <c r="B3" s="3">
        <f>Inputs!$B$2 / Inputs!$B$3</f>
        <v>1000</v>
      </c>
      <c r="C3" s="3">
        <f>B3 / (1 + Inputs!$B$4)^A3</f>
        <v>942.59590913375439</v>
      </c>
      <c r="D3" s="2">
        <f t="shared" ref="D3:D11" si="0">A3 * C3</f>
        <v>1885.1918182675088</v>
      </c>
    </row>
    <row r="4" spans="1:4" x14ac:dyDescent="0.2">
      <c r="A4" s="2">
        <f t="shared" ref="A4:A11" si="1">A3+1</f>
        <v>3</v>
      </c>
      <c r="B4" s="3">
        <f>Inputs!$B$2 / Inputs!$B$3</f>
        <v>1000</v>
      </c>
      <c r="C4" s="3">
        <f>B4 / (1 + Inputs!$B$4)^A4</f>
        <v>915.14165935315953</v>
      </c>
      <c r="D4" s="2">
        <f t="shared" si="0"/>
        <v>2745.4249780594787</v>
      </c>
    </row>
    <row r="5" spans="1:4" x14ac:dyDescent="0.2">
      <c r="A5" s="2">
        <f t="shared" si="1"/>
        <v>4</v>
      </c>
      <c r="B5" s="3">
        <f>Inputs!$B$2 / Inputs!$B$3</f>
        <v>1000</v>
      </c>
      <c r="C5" s="3">
        <f>B5 / (1 + Inputs!$B$4)^A5</f>
        <v>888.487047915689</v>
      </c>
      <c r="D5" s="2">
        <f t="shared" si="0"/>
        <v>3553.948191662756</v>
      </c>
    </row>
    <row r="6" spans="1:4" x14ac:dyDescent="0.2">
      <c r="A6" s="2">
        <f t="shared" si="1"/>
        <v>5</v>
      </c>
      <c r="B6" s="3">
        <f>Inputs!$B$2 / Inputs!$B$3</f>
        <v>1000</v>
      </c>
      <c r="C6" s="3">
        <f>B6 / (1 + Inputs!$B$4)^A6</f>
        <v>862.6087843841641</v>
      </c>
      <c r="D6" s="2">
        <f t="shared" si="0"/>
        <v>4313.0439219208201</v>
      </c>
    </row>
    <row r="7" spans="1:4" x14ac:dyDescent="0.2">
      <c r="A7" s="2">
        <f t="shared" si="1"/>
        <v>6</v>
      </c>
      <c r="B7" s="3">
        <f>Inputs!$B$2 / Inputs!$B$3</f>
        <v>1000</v>
      </c>
      <c r="C7" s="3">
        <f>B7 / (1 + Inputs!$B$4)^A7</f>
        <v>837.48425668365439</v>
      </c>
      <c r="D7" s="2">
        <f t="shared" si="0"/>
        <v>5024.9055401019268</v>
      </c>
    </row>
    <row r="8" spans="1:4" x14ac:dyDescent="0.2">
      <c r="A8" s="2">
        <f t="shared" si="1"/>
        <v>7</v>
      </c>
      <c r="B8" s="3">
        <f>Inputs!$B$2 / Inputs!$B$3</f>
        <v>1000</v>
      </c>
      <c r="C8" s="3">
        <f>B8 / (1 + Inputs!$B$4)^A8</f>
        <v>813.09151134335377</v>
      </c>
      <c r="D8" s="2">
        <f t="shared" si="0"/>
        <v>5691.6405794034763</v>
      </c>
    </row>
    <row r="9" spans="1:4" x14ac:dyDescent="0.2">
      <c r="A9" s="2">
        <f t="shared" si="1"/>
        <v>8</v>
      </c>
      <c r="B9" s="3">
        <f>Inputs!$B$2 / Inputs!$B$3</f>
        <v>1000</v>
      </c>
      <c r="C9" s="3">
        <f>B9 / (1 + Inputs!$B$4)^A9</f>
        <v>789.40923431393583</v>
      </c>
      <c r="D9" s="2">
        <f t="shared" si="0"/>
        <v>6315.2738745114866</v>
      </c>
    </row>
    <row r="10" spans="1:4" x14ac:dyDescent="0.2">
      <c r="A10" s="2">
        <f t="shared" si="1"/>
        <v>9</v>
      </c>
      <c r="B10" s="3">
        <f>Inputs!$B$2 / Inputs!$B$3</f>
        <v>1000</v>
      </c>
      <c r="C10" s="3">
        <f>B10 / (1 + Inputs!$B$4)^A10</f>
        <v>766.4167323436269</v>
      </c>
      <c r="D10" s="2">
        <f t="shared" si="0"/>
        <v>6897.750591092642</v>
      </c>
    </row>
    <row r="11" spans="1:4" x14ac:dyDescent="0.2">
      <c r="A11" s="2">
        <f t="shared" si="1"/>
        <v>10</v>
      </c>
      <c r="B11" s="3">
        <f>Inputs!$B$2 / Inputs!$B$3</f>
        <v>1000</v>
      </c>
      <c r="C11" s="3">
        <f>B11 / (1 + Inputs!$B$4)^A11</f>
        <v>744.09391489672521</v>
      </c>
      <c r="D11" s="2">
        <f t="shared" si="0"/>
        <v>7440.9391489672525</v>
      </c>
    </row>
    <row r="13" spans="1:4" x14ac:dyDescent="0.2">
      <c r="A13" s="20" t="s">
        <v>12</v>
      </c>
      <c r="B13" s="18">
        <f>SUM(C2:C11)</f>
        <v>8530.2028367758285</v>
      </c>
    </row>
    <row r="14" spans="1:4" x14ac:dyDescent="0.2">
      <c r="A14" s="20" t="s">
        <v>13</v>
      </c>
      <c r="B14" s="19">
        <f>SUM(D2:D11)/B13</f>
        <v>5.2564977982801357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7EF5-2C9D-3A45-B143-42EFFAE7F807}">
  <sheetPr codeName="Sheet3"/>
  <dimension ref="A1:K13"/>
  <sheetViews>
    <sheetView workbookViewId="0">
      <selection activeCell="M11" sqref="M11"/>
    </sheetView>
  </sheetViews>
  <sheetFormatPr baseColWidth="10" defaultRowHeight="16" x14ac:dyDescent="0.2"/>
  <cols>
    <col min="2" max="6" width="11.5" bestFit="1" customWidth="1"/>
    <col min="7" max="7" width="15.33203125" customWidth="1"/>
    <col min="8" max="8" width="16.6640625" bestFit="1" customWidth="1"/>
    <col min="9" max="9" width="16.6640625" customWidth="1"/>
    <col min="10" max="10" width="19" customWidth="1"/>
    <col min="11" max="11" width="19" bestFit="1" customWidth="1"/>
  </cols>
  <sheetData>
    <row r="1" spans="1:11" x14ac:dyDescent="0.2">
      <c r="A1" s="5" t="s">
        <v>8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9</v>
      </c>
      <c r="I1" s="6" t="s">
        <v>31</v>
      </c>
      <c r="J1" s="6" t="s">
        <v>32</v>
      </c>
      <c r="K1" s="7" t="s">
        <v>24</v>
      </c>
    </row>
    <row r="2" spans="1:11" x14ac:dyDescent="0.2">
      <c r="A2" s="8">
        <v>1</v>
      </c>
      <c r="B2" s="3">
        <f>IF($A2&lt;=Inputs!$D$8, Inputs!$B$8*Inputs!$C$8, 0) + IF($A2=Inputs!$D$8, Inputs!$B$8, 0)</f>
        <v>165</v>
      </c>
      <c r="C2" s="3">
        <f>IF($A2&lt;=Inputs!$D$9, Inputs!$B$9*Inputs!$C$9, 0) + IF($A2=Inputs!$D$9, Inputs!$B$9, 0)</f>
        <v>175.00000000000003</v>
      </c>
      <c r="D2" s="3">
        <f>IF($A2&lt;=Inputs!$D$10, Inputs!$B$10*Inputs!$C$10, 0) + IF($A2=Inputs!$D$10, Inputs!$B$10, 0)</f>
        <v>200</v>
      </c>
      <c r="E2" s="3">
        <f>IF($A2&lt;=Inputs!$D$11, Inputs!$B$11*Inputs!$C$11, 0) + IF($A2=Inputs!$D$11, Inputs!$B$11, 0)</f>
        <v>225</v>
      </c>
      <c r="F2" s="3">
        <f>IF($A2&lt;=Inputs!$D$12, Inputs!$B$12*Inputs!$C$12, 0) + IF($A2=Inputs!$D$12, Inputs!$B$12, 0)</f>
        <v>250</v>
      </c>
      <c r="G2" s="3">
        <f>SUM(B2:F2)</f>
        <v>1015</v>
      </c>
      <c r="H2" s="3">
        <f>Table4[[#This Row],[Liability CF]]</f>
        <v>1000</v>
      </c>
      <c r="I2" s="3">
        <f>G2-H2</f>
        <v>15</v>
      </c>
      <c r="J2" s="18">
        <f>G2-H2</f>
        <v>15</v>
      </c>
      <c r="K2" s="22" t="str">
        <f>IF(J2&gt;=0,"Yes","No")</f>
        <v>Yes</v>
      </c>
    </row>
    <row r="3" spans="1:11" x14ac:dyDescent="0.2">
      <c r="A3" s="8">
        <f>A2+1</f>
        <v>2</v>
      </c>
      <c r="B3" s="3">
        <f>IF($A3&lt;=Inputs!$D$8, Inputs!$B$8*Inputs!$C$8, 0) + IF($A3=Inputs!$D$8, Inputs!$B$8, 0)</f>
        <v>5665</v>
      </c>
      <c r="C3" s="3">
        <f>IF($A3&lt;=Inputs!$D$9, Inputs!$B$9*Inputs!$C$9, 0) + IF($A3=Inputs!$D$9, Inputs!$B$9, 0)</f>
        <v>175.00000000000003</v>
      </c>
      <c r="D3" s="3">
        <f>IF($A3&lt;=Inputs!$D$10, Inputs!$B$10*Inputs!$C$10, 0) + IF($A3=Inputs!$D$10, Inputs!$B$10, 0)</f>
        <v>200</v>
      </c>
      <c r="E3" s="3">
        <f>IF($A3&lt;=Inputs!$D$11, Inputs!$B$11*Inputs!$C$11, 0) + IF($A3=Inputs!$D$11, Inputs!$B$11, 0)</f>
        <v>225</v>
      </c>
      <c r="F3" s="3">
        <f>IF($A3&lt;=Inputs!$D$12, Inputs!$B$12*Inputs!$C$12, 0) + IF($A3=Inputs!$D$12, Inputs!$B$12, 0)</f>
        <v>250</v>
      </c>
      <c r="G3" s="3">
        <f t="shared" ref="G3:G11" si="0">SUM(B3:F3)</f>
        <v>6515</v>
      </c>
      <c r="H3" s="3">
        <f>Table4[[#This Row],[Liability CF]]</f>
        <v>1000</v>
      </c>
      <c r="I3" s="3">
        <f t="shared" ref="I3:I11" si="1">G3-H3</f>
        <v>5515</v>
      </c>
      <c r="J3" s="18">
        <f>G3-H3+J2</f>
        <v>5530</v>
      </c>
      <c r="K3" s="22" t="str">
        <f t="shared" ref="K3:K10" si="2">IF(J3&gt;=0,"Yes","No")</f>
        <v>Yes</v>
      </c>
    </row>
    <row r="4" spans="1:11" x14ac:dyDescent="0.2">
      <c r="A4" s="8">
        <f t="shared" ref="A4:A11" si="3">A3+1</f>
        <v>3</v>
      </c>
      <c r="B4" s="3">
        <f>IF($A4&lt;=Inputs!$D$8, Inputs!$B$8*Inputs!$C$8, 0) + IF($A4=Inputs!$D$8, Inputs!$B$8, 0)</f>
        <v>0</v>
      </c>
      <c r="C4" s="3">
        <f>IF($A4&lt;=Inputs!$D$9, Inputs!$B$9*Inputs!$C$9, 0) + IF($A4=Inputs!$D$9, Inputs!$B$9, 0)</f>
        <v>175.00000000000003</v>
      </c>
      <c r="D4" s="3">
        <f>IF($A4&lt;=Inputs!$D$10, Inputs!$B$10*Inputs!$C$10, 0) + IF($A4=Inputs!$D$10, Inputs!$B$10, 0)</f>
        <v>200</v>
      </c>
      <c r="E4" s="3">
        <f>IF($A4&lt;=Inputs!$D$11, Inputs!$B$11*Inputs!$C$11, 0) + IF($A4=Inputs!$D$11, Inputs!$B$11, 0)</f>
        <v>225</v>
      </c>
      <c r="F4" s="3">
        <f>IF($A4&lt;=Inputs!$D$12, Inputs!$B$12*Inputs!$C$12, 0) + IF($A4=Inputs!$D$12, Inputs!$B$12, 0)</f>
        <v>250</v>
      </c>
      <c r="G4" s="3">
        <f t="shared" si="0"/>
        <v>850</v>
      </c>
      <c r="H4" s="3">
        <f>Table4[[#This Row],[Liability CF]]</f>
        <v>1000</v>
      </c>
      <c r="I4" s="3">
        <f t="shared" si="1"/>
        <v>-150</v>
      </c>
      <c r="J4" s="18">
        <f t="shared" ref="J4:J11" si="4">G4-H4+J3</f>
        <v>5380</v>
      </c>
      <c r="K4" s="22" t="str">
        <f t="shared" si="2"/>
        <v>Yes</v>
      </c>
    </row>
    <row r="5" spans="1:11" x14ac:dyDescent="0.2">
      <c r="A5" s="8">
        <f t="shared" si="3"/>
        <v>4</v>
      </c>
      <c r="B5" s="3">
        <f>IF($A5&lt;=Inputs!$D$8, Inputs!$B$8*Inputs!$C$8, 0) + IF($A5=Inputs!$D$8, Inputs!$B$8, 0)</f>
        <v>0</v>
      </c>
      <c r="C5" s="3">
        <f>IF($A5&lt;=Inputs!$D$9, Inputs!$B$9*Inputs!$C$9, 0) + IF($A5=Inputs!$D$9, Inputs!$B$9, 0)</f>
        <v>5175</v>
      </c>
      <c r="D5" s="3">
        <f>IF($A5&lt;=Inputs!$D$10, Inputs!$B$10*Inputs!$C$10, 0) + IF($A5=Inputs!$D$10, Inputs!$B$10, 0)</f>
        <v>200</v>
      </c>
      <c r="E5" s="3">
        <f>IF($A5&lt;=Inputs!$D$11, Inputs!$B$11*Inputs!$C$11, 0) + IF($A5=Inputs!$D$11, Inputs!$B$11, 0)</f>
        <v>225</v>
      </c>
      <c r="F5" s="3">
        <f>IF($A5&lt;=Inputs!$D$12, Inputs!$B$12*Inputs!$C$12, 0) + IF($A5=Inputs!$D$12, Inputs!$B$12, 0)</f>
        <v>250</v>
      </c>
      <c r="G5" s="3">
        <f t="shared" si="0"/>
        <v>5850</v>
      </c>
      <c r="H5" s="3">
        <f>Table4[[#This Row],[Liability CF]]</f>
        <v>1000</v>
      </c>
      <c r="I5" s="3">
        <f t="shared" si="1"/>
        <v>4850</v>
      </c>
      <c r="J5" s="18">
        <f t="shared" si="4"/>
        <v>10230</v>
      </c>
      <c r="K5" s="22" t="str">
        <f t="shared" si="2"/>
        <v>Yes</v>
      </c>
    </row>
    <row r="6" spans="1:11" x14ac:dyDescent="0.2">
      <c r="A6" s="8">
        <f t="shared" si="3"/>
        <v>5</v>
      </c>
      <c r="B6" s="3">
        <f>IF($A6&lt;=Inputs!$D$8, Inputs!$B$8*Inputs!$C$8, 0) + IF($A6=Inputs!$D$8, Inputs!$B$8, 0)</f>
        <v>0</v>
      </c>
      <c r="C6" s="3">
        <f>IF($A6&lt;=Inputs!$D$9, Inputs!$B$9*Inputs!$C$9, 0) + IF($A6=Inputs!$D$9, Inputs!$B$9, 0)</f>
        <v>0</v>
      </c>
      <c r="D6" s="3">
        <f>IF($A6&lt;=Inputs!$D$10, Inputs!$B$10*Inputs!$C$10, 0) + IF($A6=Inputs!$D$10, Inputs!$B$10, 0)</f>
        <v>200</v>
      </c>
      <c r="E6" s="3">
        <f>IF($A6&lt;=Inputs!$D$11, Inputs!$B$11*Inputs!$C$11, 0) + IF($A6=Inputs!$D$11, Inputs!$B$11, 0)</f>
        <v>225</v>
      </c>
      <c r="F6" s="3">
        <f>IF($A6&lt;=Inputs!$D$12, Inputs!$B$12*Inputs!$C$12, 0) + IF($A6=Inputs!$D$12, Inputs!$B$12, 0)</f>
        <v>250</v>
      </c>
      <c r="G6" s="3">
        <f t="shared" si="0"/>
        <v>675</v>
      </c>
      <c r="H6" s="3">
        <f>Table4[[#This Row],[Liability CF]]</f>
        <v>1000</v>
      </c>
      <c r="I6" s="3">
        <f t="shared" si="1"/>
        <v>-325</v>
      </c>
      <c r="J6" s="18">
        <f t="shared" si="4"/>
        <v>9905</v>
      </c>
      <c r="K6" s="22" t="str">
        <f t="shared" si="2"/>
        <v>Yes</v>
      </c>
    </row>
    <row r="7" spans="1:11" x14ac:dyDescent="0.2">
      <c r="A7" s="8">
        <f t="shared" si="3"/>
        <v>6</v>
      </c>
      <c r="B7" s="3">
        <f>IF($A7&lt;=Inputs!$D$8, Inputs!$B$8*Inputs!$C$8, 0) + IF($A7=Inputs!$D$8, Inputs!$B$8, 0)</f>
        <v>0</v>
      </c>
      <c r="C7" s="3">
        <f>IF($A7&lt;=Inputs!$D$9, Inputs!$B$9*Inputs!$C$9, 0) + IF($A7=Inputs!$D$9, Inputs!$B$9, 0)</f>
        <v>0</v>
      </c>
      <c r="D7" s="3">
        <f>IF($A7&lt;=Inputs!$D$10, Inputs!$B$10*Inputs!$C$10, 0) + IF($A7=Inputs!$D$10, Inputs!$B$10, 0)</f>
        <v>5200</v>
      </c>
      <c r="E7" s="3">
        <f>IF($A7&lt;=Inputs!$D$11, Inputs!$B$11*Inputs!$C$11, 0) + IF($A7=Inputs!$D$11, Inputs!$B$11, 0)</f>
        <v>225</v>
      </c>
      <c r="F7" s="3">
        <f>IF($A7&lt;=Inputs!$D$12, Inputs!$B$12*Inputs!$C$12, 0) + IF($A7=Inputs!$D$12, Inputs!$B$12, 0)</f>
        <v>250</v>
      </c>
      <c r="G7" s="3">
        <f t="shared" si="0"/>
        <v>5675</v>
      </c>
      <c r="H7" s="3">
        <f>Table4[[#This Row],[Liability CF]]</f>
        <v>1000</v>
      </c>
      <c r="I7" s="3">
        <f t="shared" si="1"/>
        <v>4675</v>
      </c>
      <c r="J7" s="18">
        <f t="shared" si="4"/>
        <v>14580</v>
      </c>
      <c r="K7" s="22" t="str">
        <f t="shared" si="2"/>
        <v>Yes</v>
      </c>
    </row>
    <row r="8" spans="1:11" x14ac:dyDescent="0.2">
      <c r="A8" s="8">
        <f t="shared" si="3"/>
        <v>7</v>
      </c>
      <c r="B8" s="3">
        <f>IF($A8&lt;=Inputs!$D$8, Inputs!$B$8*Inputs!$C$8, 0) + IF($A8=Inputs!$D$8, Inputs!$B$8, 0)</f>
        <v>0</v>
      </c>
      <c r="C8" s="3">
        <f>IF($A8&lt;=Inputs!$D$9, Inputs!$B$9*Inputs!$C$9, 0) + IF($A8=Inputs!$D$9, Inputs!$B$9, 0)</f>
        <v>0</v>
      </c>
      <c r="D8" s="3">
        <f>IF($A8&lt;=Inputs!$D$10, Inputs!$B$10*Inputs!$C$10, 0) + IF($A8=Inputs!$D$10, Inputs!$B$10, 0)</f>
        <v>0</v>
      </c>
      <c r="E8" s="3">
        <f>IF($A8&lt;=Inputs!$D$11, Inputs!$B$11*Inputs!$C$11, 0) + IF($A8=Inputs!$D$11, Inputs!$B$11, 0)</f>
        <v>225</v>
      </c>
      <c r="F8" s="3">
        <f>IF($A8&lt;=Inputs!$D$12, Inputs!$B$12*Inputs!$C$12, 0) + IF($A8=Inputs!$D$12, Inputs!$B$12, 0)</f>
        <v>250</v>
      </c>
      <c r="G8" s="3">
        <f t="shared" si="0"/>
        <v>475</v>
      </c>
      <c r="H8" s="3">
        <f>Table4[[#This Row],[Liability CF]]</f>
        <v>1000</v>
      </c>
      <c r="I8" s="3">
        <f t="shared" si="1"/>
        <v>-525</v>
      </c>
      <c r="J8" s="18">
        <f t="shared" si="4"/>
        <v>14055</v>
      </c>
      <c r="K8" s="22" t="str">
        <f t="shared" si="2"/>
        <v>Yes</v>
      </c>
    </row>
    <row r="9" spans="1:11" x14ac:dyDescent="0.2">
      <c r="A9" s="8">
        <f t="shared" si="3"/>
        <v>8</v>
      </c>
      <c r="B9" s="3">
        <f>IF($A9&lt;=Inputs!$D$8, Inputs!$B$8*Inputs!$C$8, 0) + IF($A9=Inputs!$D$8, Inputs!$B$8, 0)</f>
        <v>0</v>
      </c>
      <c r="C9" s="3">
        <f>IF($A9&lt;=Inputs!$D$9, Inputs!$B$9*Inputs!$C$9, 0) + IF($A9=Inputs!$D$9, Inputs!$B$9, 0)</f>
        <v>0</v>
      </c>
      <c r="D9" s="3">
        <f>IF($A9&lt;=Inputs!$D$10, Inputs!$B$10*Inputs!$C$10, 0) + IF($A9=Inputs!$D$10, Inputs!$B$10, 0)</f>
        <v>0</v>
      </c>
      <c r="E9" s="3">
        <f>IF($A9&lt;=Inputs!$D$11, Inputs!$B$11*Inputs!$C$11, 0) + IF($A9=Inputs!$D$11, Inputs!$B$11, 0)</f>
        <v>5225</v>
      </c>
      <c r="F9" s="3">
        <f>IF($A9&lt;=Inputs!$D$12, Inputs!$B$12*Inputs!$C$12, 0) + IF($A9=Inputs!$D$12, Inputs!$B$12, 0)</f>
        <v>250</v>
      </c>
      <c r="G9" s="3">
        <f t="shared" si="0"/>
        <v>5475</v>
      </c>
      <c r="H9" s="3">
        <f>Table4[[#This Row],[Liability CF]]</f>
        <v>1000</v>
      </c>
      <c r="I9" s="3">
        <f t="shared" si="1"/>
        <v>4475</v>
      </c>
      <c r="J9" s="18">
        <f t="shared" si="4"/>
        <v>18530</v>
      </c>
      <c r="K9" s="22" t="str">
        <f t="shared" si="2"/>
        <v>Yes</v>
      </c>
    </row>
    <row r="10" spans="1:11" x14ac:dyDescent="0.2">
      <c r="A10" s="8">
        <f t="shared" si="3"/>
        <v>9</v>
      </c>
      <c r="B10" s="3">
        <f>IF($A10&lt;=Inputs!$D$8, Inputs!$B$8*Inputs!$C$8, 0) + IF($A10=Inputs!$D$8, Inputs!$B$8, 0)</f>
        <v>0</v>
      </c>
      <c r="C10" s="3">
        <f>IF($A10&lt;=Inputs!$D$9, Inputs!$B$9*Inputs!$C$9, 0) + IF($A10=Inputs!$D$9, Inputs!$B$9, 0)</f>
        <v>0</v>
      </c>
      <c r="D10" s="3">
        <f>IF($A10&lt;=Inputs!$D$10, Inputs!$B$10*Inputs!$C$10, 0) + IF($A10=Inputs!$D$10, Inputs!$B$10, 0)</f>
        <v>0</v>
      </c>
      <c r="E10" s="3">
        <f>IF($A10&lt;=Inputs!$D$11, Inputs!$B$11*Inputs!$C$11, 0) + IF($A10=Inputs!$D$11, Inputs!$B$11, 0)</f>
        <v>0</v>
      </c>
      <c r="F10" s="3">
        <f>IF($A10&lt;=Inputs!$D$12, Inputs!$B$12*Inputs!$C$12, 0) + IF($A10=Inputs!$D$12, Inputs!$B$12, 0)</f>
        <v>250</v>
      </c>
      <c r="G10" s="3">
        <f t="shared" si="0"/>
        <v>250</v>
      </c>
      <c r="H10" s="3">
        <f>Table4[[#This Row],[Liability CF]]</f>
        <v>1000</v>
      </c>
      <c r="I10" s="3">
        <f t="shared" si="1"/>
        <v>-750</v>
      </c>
      <c r="J10" s="18">
        <f t="shared" si="4"/>
        <v>17780</v>
      </c>
      <c r="K10" s="22" t="str">
        <f t="shared" si="2"/>
        <v>Yes</v>
      </c>
    </row>
    <row r="11" spans="1:11" x14ac:dyDescent="0.2">
      <c r="A11" s="8">
        <f t="shared" si="3"/>
        <v>10</v>
      </c>
      <c r="B11" s="12">
        <f>IF($A11&lt;=Inputs!$D$8, Inputs!$B$8*Inputs!$C$8, 0) + IF($A11=Inputs!$D$8, Inputs!$B$8, 0)</f>
        <v>0</v>
      </c>
      <c r="C11" s="12">
        <f>IF($A11&lt;=Inputs!$D$9, Inputs!$B$9*Inputs!$C$9, 0) + IF($A11=Inputs!$D$9, Inputs!$B$9, 0)</f>
        <v>0</v>
      </c>
      <c r="D11" s="12">
        <f>IF($A11&lt;=Inputs!$D$10, Inputs!$B$10*Inputs!$C$10, 0) + IF($A11=Inputs!$D$10, Inputs!$B$10, 0)</f>
        <v>0</v>
      </c>
      <c r="E11" s="12">
        <f>IF($A11&lt;=Inputs!$D$11, Inputs!$B$11*Inputs!$C$11, 0) + IF($A11=Inputs!$D$11, Inputs!$B$11, 0)</f>
        <v>0</v>
      </c>
      <c r="F11" s="12">
        <f>IF($A11&lt;=Inputs!$D$12, Inputs!$B$12*Inputs!$C$12, 0) + IF($A11=Inputs!$D$12, Inputs!$B$12, 0)</f>
        <v>5250</v>
      </c>
      <c r="G11" s="12">
        <f t="shared" si="0"/>
        <v>5250</v>
      </c>
      <c r="H11" s="12">
        <f>Table4[[#This Row],[Liability CF]]</f>
        <v>1000</v>
      </c>
      <c r="I11" s="12">
        <f t="shared" si="1"/>
        <v>4250</v>
      </c>
      <c r="J11" s="18">
        <f t="shared" si="4"/>
        <v>22030</v>
      </c>
      <c r="K11" s="24" t="str">
        <f>IF(J11&gt;=0,"Yes","No")</f>
        <v>Yes</v>
      </c>
    </row>
    <row r="13" spans="1:11" x14ac:dyDescent="0.2">
      <c r="J13" s="17" t="s">
        <v>25</v>
      </c>
      <c r="K13" s="17" t="str">
        <f>IF(COUNTIF(K2:K11,"No")=0," All Liabilities Covered"," Insufficient Asset CF")</f>
        <v xml:space="preserve"> All Liabilities Covered</v>
      </c>
    </row>
  </sheetData>
  <phoneticPr fontId="2" type="noConversion"/>
  <conditionalFormatting sqref="K2:K11">
    <cfRule type="containsText" dxfId="7" priority="5" operator="containsText" text="No">
      <formula>NOT(ISERROR(SEARCH("No",K2)))</formula>
    </cfRule>
    <cfRule type="containsText" dxfId="6" priority="6" operator="containsText" text="Yes">
      <formula>NOT(ISERROR(SEARCH("Yes",K2)))</formula>
    </cfRule>
  </conditionalFormatting>
  <conditionalFormatting sqref="K13">
    <cfRule type="containsText" dxfId="5" priority="3" operator="containsText" text="All">
      <formula>NOT(ISERROR(SEARCH("All",K13)))</formula>
    </cfRule>
    <cfRule type="containsText" dxfId="4" priority="4" operator="containsText" text="CF">
      <formula>NOT(ISERROR(SEARCH("CF",K13)))</formula>
    </cfRule>
  </conditionalFormatting>
  <conditionalFormatting sqref="I2:J11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ignoredErrors>
    <ignoredError sqref="J2:J11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B7F9-26DA-F147-8D06-355F39E7F81E}">
  <sheetPr codeName="Sheet4"/>
  <dimension ref="A1:D17"/>
  <sheetViews>
    <sheetView workbookViewId="0">
      <selection activeCell="F4" sqref="F4"/>
    </sheetView>
  </sheetViews>
  <sheetFormatPr baseColWidth="10" defaultRowHeight="16" x14ac:dyDescent="0.2"/>
  <cols>
    <col min="1" max="1" width="18.83203125" bestFit="1" customWidth="1"/>
    <col min="2" max="2" width="17.6640625" bestFit="1" customWidth="1"/>
    <col min="3" max="3" width="11.5" bestFit="1" customWidth="1"/>
    <col min="4" max="4" width="13.83203125" customWidth="1"/>
  </cols>
  <sheetData>
    <row r="1" spans="1:4" x14ac:dyDescent="0.2">
      <c r="A1" s="5" t="s">
        <v>8</v>
      </c>
      <c r="B1" s="6" t="s">
        <v>19</v>
      </c>
      <c r="C1" s="6" t="s">
        <v>20</v>
      </c>
      <c r="D1" s="7" t="s">
        <v>11</v>
      </c>
    </row>
    <row r="2" spans="1:4" x14ac:dyDescent="0.2">
      <c r="A2" s="8">
        <v>1</v>
      </c>
      <c r="B2" s="18">
        <f>Bonds!G2</f>
        <v>1015</v>
      </c>
      <c r="C2" s="18">
        <f>B2 / (1 + Inputs!$B$4)^A2</f>
        <v>985.43689320388341</v>
      </c>
      <c r="D2" s="21">
        <f>A2 * C2</f>
        <v>985.43689320388341</v>
      </c>
    </row>
    <row r="3" spans="1:4" x14ac:dyDescent="0.2">
      <c r="A3" s="8">
        <f>A2+1</f>
        <v>2</v>
      </c>
      <c r="B3" s="3">
        <f>Bonds!G3</f>
        <v>6515</v>
      </c>
      <c r="C3" s="18">
        <f>B3 / (1 + Inputs!$B$4)^A3</f>
        <v>6141.0123480064103</v>
      </c>
      <c r="D3" s="21">
        <f t="shared" ref="D3:D11" si="0">A3 * C3</f>
        <v>12282.024696012821</v>
      </c>
    </row>
    <row r="4" spans="1:4" x14ac:dyDescent="0.2">
      <c r="A4" s="8">
        <f t="shared" ref="A4:A11" si="1">A3+1</f>
        <v>3</v>
      </c>
      <c r="B4" s="3">
        <f>Bonds!G4</f>
        <v>850</v>
      </c>
      <c r="C4" s="18">
        <f>B4 / (1 + Inputs!$B$4)^A4</f>
        <v>777.87041045018566</v>
      </c>
      <c r="D4" s="21">
        <f t="shared" si="0"/>
        <v>2333.6112313505569</v>
      </c>
    </row>
    <row r="5" spans="1:4" x14ac:dyDescent="0.2">
      <c r="A5" s="8">
        <f t="shared" si="1"/>
        <v>4</v>
      </c>
      <c r="B5" s="3">
        <f>Bonds!G5</f>
        <v>5850</v>
      </c>
      <c r="C5" s="18">
        <f>B5 / (1 + Inputs!$B$4)^A5</f>
        <v>5197.6492303067807</v>
      </c>
      <c r="D5" s="21">
        <f t="shared" si="0"/>
        <v>20790.596921227123</v>
      </c>
    </row>
    <row r="6" spans="1:4" x14ac:dyDescent="0.2">
      <c r="A6" s="8">
        <f t="shared" si="1"/>
        <v>5</v>
      </c>
      <c r="B6" s="3">
        <f>Bonds!G6</f>
        <v>675</v>
      </c>
      <c r="C6" s="18">
        <f>B6 / (1 + Inputs!$B$4)^A6</f>
        <v>582.26092945931077</v>
      </c>
      <c r="D6" s="21">
        <f t="shared" si="0"/>
        <v>2911.3046472965539</v>
      </c>
    </row>
    <row r="7" spans="1:4" x14ac:dyDescent="0.2">
      <c r="A7" s="8">
        <f t="shared" si="1"/>
        <v>6</v>
      </c>
      <c r="B7" s="3">
        <f>Bonds!G7</f>
        <v>5675</v>
      </c>
      <c r="C7" s="18">
        <f>B7 / (1 + Inputs!$B$4)^A7</f>
        <v>4752.7231566797391</v>
      </c>
      <c r="D7" s="21">
        <f t="shared" si="0"/>
        <v>28516.338940078436</v>
      </c>
    </row>
    <row r="8" spans="1:4" x14ac:dyDescent="0.2">
      <c r="A8" s="8">
        <f t="shared" si="1"/>
        <v>7</v>
      </c>
      <c r="B8" s="3">
        <f>Bonds!G8</f>
        <v>475</v>
      </c>
      <c r="C8" s="18">
        <f>B8 / (1 + Inputs!$B$4)^A8</f>
        <v>386.21846788809302</v>
      </c>
      <c r="D8" s="21">
        <f t="shared" si="0"/>
        <v>2703.5292752166511</v>
      </c>
    </row>
    <row r="9" spans="1:4" x14ac:dyDescent="0.2">
      <c r="A9" s="8">
        <f t="shared" si="1"/>
        <v>8</v>
      </c>
      <c r="B9" s="3">
        <f>Bonds!G9</f>
        <v>5475</v>
      </c>
      <c r="C9" s="18">
        <f>B9 / (1 + Inputs!$B$4)^A9</f>
        <v>4322.0155578687982</v>
      </c>
      <c r="D9" s="21">
        <f t="shared" si="0"/>
        <v>34576.124462950385</v>
      </c>
    </row>
    <row r="10" spans="1:4" x14ac:dyDescent="0.2">
      <c r="A10" s="8">
        <f t="shared" si="1"/>
        <v>9</v>
      </c>
      <c r="B10" s="3">
        <f>Bonds!G10</f>
        <v>250</v>
      </c>
      <c r="C10" s="18">
        <f>B10 / (1 + Inputs!$B$4)^A10</f>
        <v>191.60418308590673</v>
      </c>
      <c r="D10" s="21">
        <f t="shared" si="0"/>
        <v>1724.4376477731605</v>
      </c>
    </row>
    <row r="11" spans="1:4" x14ac:dyDescent="0.2">
      <c r="A11" s="8">
        <f t="shared" si="1"/>
        <v>10</v>
      </c>
      <c r="B11" s="12">
        <f>Bonds!G11</f>
        <v>5250</v>
      </c>
      <c r="C11" s="23">
        <f>B11 / (1 + Inputs!$B$4)^A11</f>
        <v>3906.4930532078074</v>
      </c>
      <c r="D11" s="16">
        <f t="shared" si="0"/>
        <v>39064.930532078077</v>
      </c>
    </row>
    <row r="13" spans="1:4" x14ac:dyDescent="0.2">
      <c r="A13" s="26" t="s">
        <v>21</v>
      </c>
      <c r="B13" s="18">
        <f>SUM(C2:C11)</f>
        <v>27243.284230156914</v>
      </c>
    </row>
    <row r="14" spans="1:4" x14ac:dyDescent="0.2">
      <c r="A14" s="26" t="s">
        <v>26</v>
      </c>
      <c r="B14" s="2">
        <f>SUM(D2:D11)/B13</f>
        <v>5.3550201221957208</v>
      </c>
    </row>
    <row r="15" spans="1:4" x14ac:dyDescent="0.2">
      <c r="A15" s="26" t="s">
        <v>27</v>
      </c>
      <c r="B15" s="2">
        <f>Liabilities!B14</f>
        <v>5.2564977982801357</v>
      </c>
    </row>
    <row r="16" spans="1:4" x14ac:dyDescent="0.2">
      <c r="A16" s="26" t="s">
        <v>22</v>
      </c>
      <c r="B16" s="17">
        <f>ABS(B14 - B15)</f>
        <v>9.8522323915585019E-2</v>
      </c>
    </row>
    <row r="17" spans="1:2" x14ac:dyDescent="0.2">
      <c r="A17" s="26" t="s">
        <v>23</v>
      </c>
      <c r="B17" s="25" t="str">
        <f>IF(B16&lt;=Inputs!$B$5," Within Threshold"," Exceeds Threshold")</f>
        <v xml:space="preserve"> Within Threshold</v>
      </c>
    </row>
  </sheetData>
  <conditionalFormatting sqref="B17">
    <cfRule type="containsText" dxfId="1" priority="1" operator="containsText" text="Exceeds">
      <formula>NOT(ISERROR(SEARCH("Exceeds",B17)))</formula>
    </cfRule>
    <cfRule type="containsText" dxfId="0" priority="2" operator="containsText" text="Within">
      <formula>NOT(ISERROR(SEARCH("Within",B17)))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BCD8-BB2F-0446-B423-2C4044FA93F7}">
  <sheetPr codeName="Sheet5"/>
  <dimension ref="J1:L11"/>
  <sheetViews>
    <sheetView workbookViewId="0">
      <selection activeCell="K29" sqref="K29"/>
    </sheetView>
  </sheetViews>
  <sheetFormatPr baseColWidth="10" defaultRowHeight="16" x14ac:dyDescent="0.2"/>
  <cols>
    <col min="11" max="11" width="18" bestFit="1" customWidth="1"/>
    <col min="12" max="12" width="20" bestFit="1" customWidth="1"/>
  </cols>
  <sheetData>
    <row r="1" spans="10:12" x14ac:dyDescent="0.2">
      <c r="J1" t="s">
        <v>28</v>
      </c>
      <c r="K1" t="s">
        <v>29</v>
      </c>
      <c r="L1" t="s">
        <v>30</v>
      </c>
    </row>
    <row r="2" spans="10:12" x14ac:dyDescent="0.2">
      <c r="J2" cm="1">
        <f t="array" ref="J2:J11">_xlfn.SEQUENCE(10)</f>
        <v>1</v>
      </c>
      <c r="K2" s="1">
        <f>SUM(Bonds!G$2:G2)</f>
        <v>1015</v>
      </c>
      <c r="L2" s="1">
        <f>SUM(Liabilities!B$2:B2)</f>
        <v>1000</v>
      </c>
    </row>
    <row r="3" spans="10:12" x14ac:dyDescent="0.2">
      <c r="J3">
        <v>2</v>
      </c>
      <c r="K3" s="1">
        <f>SUM(Bonds!G$2:G3)</f>
        <v>7530</v>
      </c>
      <c r="L3" s="1">
        <f>SUM(Liabilities!B$2:B3)</f>
        <v>2000</v>
      </c>
    </row>
    <row r="4" spans="10:12" x14ac:dyDescent="0.2">
      <c r="J4">
        <v>3</v>
      </c>
      <c r="K4" s="1">
        <f>SUM(Bonds!G$2:G4)</f>
        <v>8380</v>
      </c>
      <c r="L4" s="1">
        <f>SUM(Liabilities!B$2:B4)</f>
        <v>3000</v>
      </c>
    </row>
    <row r="5" spans="10:12" x14ac:dyDescent="0.2">
      <c r="J5">
        <v>4</v>
      </c>
      <c r="K5" s="1">
        <f>SUM(Bonds!G$2:G5)</f>
        <v>14230</v>
      </c>
      <c r="L5" s="1">
        <f>SUM(Liabilities!B$2:B5)</f>
        <v>4000</v>
      </c>
    </row>
    <row r="6" spans="10:12" x14ac:dyDescent="0.2">
      <c r="J6">
        <v>5</v>
      </c>
      <c r="K6" s="1">
        <f>SUM(Bonds!G$2:G6)</f>
        <v>14905</v>
      </c>
      <c r="L6" s="1">
        <f>SUM(Liabilities!B$2:B6)</f>
        <v>5000</v>
      </c>
    </row>
    <row r="7" spans="10:12" x14ac:dyDescent="0.2">
      <c r="J7">
        <v>6</v>
      </c>
      <c r="K7" s="1">
        <f>SUM(Bonds!G$2:G7)</f>
        <v>20580</v>
      </c>
      <c r="L7" s="1">
        <f>SUM(Liabilities!B$2:B7)</f>
        <v>6000</v>
      </c>
    </row>
    <row r="8" spans="10:12" x14ac:dyDescent="0.2">
      <c r="J8">
        <v>7</v>
      </c>
      <c r="K8" s="1">
        <f>SUM(Bonds!G$2:G8)</f>
        <v>21055</v>
      </c>
      <c r="L8" s="1">
        <f>SUM(Liabilities!B$2:B8)</f>
        <v>7000</v>
      </c>
    </row>
    <row r="9" spans="10:12" x14ac:dyDescent="0.2">
      <c r="J9">
        <v>8</v>
      </c>
      <c r="K9" s="1">
        <f>SUM(Bonds!G$2:G9)</f>
        <v>26530</v>
      </c>
      <c r="L9" s="1">
        <f>SUM(Liabilities!B$2:B9)</f>
        <v>8000</v>
      </c>
    </row>
    <row r="10" spans="10:12" x14ac:dyDescent="0.2">
      <c r="J10">
        <v>9</v>
      </c>
      <c r="K10" s="1">
        <f>SUM(Bonds!G$2:G10)</f>
        <v>26780</v>
      </c>
      <c r="L10" s="1">
        <f>SUM(Liabilities!B$2:B10)</f>
        <v>9000</v>
      </c>
    </row>
    <row r="11" spans="10:12" x14ac:dyDescent="0.2">
      <c r="J11">
        <v>10</v>
      </c>
      <c r="K11" s="1">
        <f>SUM(Bonds!G$2:G11)</f>
        <v>32030</v>
      </c>
      <c r="L11" s="1">
        <f>SUM(Liabilities!B$2:B11)</f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Liabilities</vt:lpstr>
      <vt:lpstr>Bonds</vt:lpstr>
      <vt:lpstr>Duration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 Rattansi</dc:creator>
  <cp:lastModifiedBy>Kazim Rattansi</cp:lastModifiedBy>
  <dcterms:created xsi:type="dcterms:W3CDTF">2025-06-18T20:22:47Z</dcterms:created>
  <dcterms:modified xsi:type="dcterms:W3CDTF">2025-06-19T15:45:18Z</dcterms:modified>
</cp:coreProperties>
</file>