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xl/embeddings/oleObject4.bin" ContentType="application/vnd.openxmlformats-officedocument.oleObject"/>
  <Override PartName="/xl/comments8.xml" ContentType="application/vnd.openxmlformats-officedocument.spreadsheetml.comments+xml"/>
  <Override PartName="/xl/drawings/drawing4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Самуйлова ЛВ\Downloads\Восточно-Прибрежное НГКМ+\Восточно-Прибрежное НГКМ+\"/>
    </mc:Choice>
  </mc:AlternateContent>
  <xr:revisionPtr revIDLastSave="0" documentId="8_{77672C52-71AC-4CA1-B68A-08EA4740DF14}" xr6:coauthVersionLast="37" xr6:coauthVersionMax="37" xr10:uidLastSave="{00000000-0000-0000-0000-000000000000}"/>
  <bookViews>
    <workbookView xWindow="0" yWindow="0" windowWidth="24345" windowHeight="11715" firstSheet="6" activeTab="12" xr2:uid="{00000000-000D-0000-FFFF-FFFF00000000}"/>
  </bookViews>
  <sheets>
    <sheet name="ИТОГО (ГАЗ)" sheetId="14" r:id="rId1"/>
    <sheet name="ИТОГО (КОНДЕНСАТ)" sheetId="17" r:id="rId2"/>
    <sheet name="ГДИ+ГКИ" sheetId="3" r:id="rId3"/>
    <sheet name="ОПОРОЖНЕНИЕ (ШЛЕЙФЫ)" sheetId="4" r:id="rId4"/>
    <sheet name="ОПОРОЖНЕНИЕ (ОБОРУДОВАНИЕ)" sheetId="16" r:id="rId5"/>
    <sheet name="Дегазация жидкостей" sheetId="6" r:id="rId6"/>
    <sheet name="Хим.реагенты" sheetId="7" r:id="rId7"/>
    <sheet name="Отбор проб (газ)" sheetId="8" r:id="rId8"/>
    <sheet name="Отбор проб (конденсат)" sheetId="18" r:id="rId9"/>
    <sheet name="Клапана" sheetId="9" r:id="rId10"/>
    <sheet name="Унос с жидкостью" sheetId="10" r:id="rId11"/>
    <sheet name="РАСЧЕТ ПЛОТНОСТИ" sheetId="13" r:id="rId12"/>
    <sheet name="РАСЧЕТ Z" sheetId="11" r:id="rId13"/>
    <sheet name="РАСТВОРИМОСТЬ ГАЗА" sheetId="12" r:id="rId14"/>
  </sheets>
  <definedNames>
    <definedName name="_Ref398113911" localSheetId="11">'РАСЧЕТ ПЛОТНОСТИ'!#REF!</definedName>
    <definedName name="_Ref399333915" localSheetId="11">'РАСЧЕТ ПЛОТНОСТИ'!#REF!</definedName>
    <definedName name="Состав" localSheetId="11">'РАСЧЕТ ПЛОТНОСТИ'!#REF!</definedName>
  </definedNames>
  <calcPr calcId="179021"/>
</workbook>
</file>

<file path=xl/calcChain.xml><?xml version="1.0" encoding="utf-8"?>
<calcChain xmlns="http://schemas.openxmlformats.org/spreadsheetml/2006/main">
  <c r="B12" i="13" l="1"/>
  <c r="P5" i="16" l="1"/>
  <c r="P7" i="4"/>
  <c r="Q10" i="16" l="1"/>
  <c r="Q12" i="16"/>
  <c r="Q11" i="16"/>
  <c r="A1" i="17" l="1"/>
  <c r="C12" i="17"/>
  <c r="C11" i="17"/>
  <c r="K5" i="12" l="1"/>
  <c r="K4" i="12"/>
  <c r="K3" i="12"/>
  <c r="K2" i="12"/>
  <c r="D4" i="8" l="1"/>
  <c r="D4" i="18" s="1"/>
  <c r="D17" i="6"/>
  <c r="Q7" i="4" l="1"/>
  <c r="C14" i="14" l="1"/>
  <c r="C13" i="14"/>
  <c r="Q5" i="16" l="1"/>
  <c r="Q6" i="16" l="1"/>
  <c r="Q7" i="16"/>
  <c r="Q9" i="16" l="1"/>
  <c r="Q8" i="16"/>
  <c r="Q14" i="16" l="1"/>
  <c r="D29" i="13" l="1"/>
  <c r="C29" i="13"/>
  <c r="D31" i="13" l="1"/>
  <c r="D30" i="13"/>
  <c r="C28" i="13" l="1"/>
  <c r="C32" i="13"/>
  <c r="C31" i="13"/>
  <c r="C30" i="13"/>
  <c r="B2" i="11" s="1"/>
  <c r="D28" i="13"/>
  <c r="D27" i="13"/>
  <c r="C27" i="13"/>
  <c r="D26" i="13"/>
  <c r="C26" i="13"/>
  <c r="D25" i="13"/>
  <c r="C25" i="13"/>
  <c r="C16" i="13"/>
  <c r="D32" i="13" s="1"/>
  <c r="E31" i="13" l="1"/>
  <c r="B3" i="11"/>
  <c r="B1" i="11" s="1"/>
  <c r="E28" i="13"/>
  <c r="E29" i="13"/>
  <c r="E30" i="13"/>
  <c r="E32" i="13"/>
  <c r="B17" i="13"/>
  <c r="E26" i="13"/>
  <c r="E27" i="13"/>
  <c r="C33" i="13"/>
  <c r="E25" i="13"/>
  <c r="E33" i="13" l="1"/>
  <c r="B36" i="13" s="1"/>
  <c r="B7" i="11" s="1"/>
  <c r="B6" i="11" s="1"/>
  <c r="B32" i="11" l="1"/>
  <c r="B22" i="11"/>
  <c r="B21" i="11"/>
  <c r="B20" i="11"/>
  <c r="B18" i="11"/>
  <c r="B17" i="11"/>
  <c r="B16" i="11"/>
  <c r="B15" i="11"/>
  <c r="B14" i="11"/>
  <c r="B13" i="11"/>
  <c r="B10" i="11"/>
  <c r="B30" i="11" s="1"/>
  <c r="B11" i="11" l="1"/>
  <c r="B12" i="11" s="1"/>
  <c r="B19" i="11" l="1"/>
  <c r="B25" i="11" s="1"/>
  <c r="B33" i="11" s="1"/>
  <c r="B23" i="11"/>
  <c r="B26" i="11" s="1"/>
  <c r="B28" i="11" l="1"/>
  <c r="B31" i="11" s="1"/>
  <c r="B34" i="11"/>
  <c r="B35" i="11" l="1"/>
  <c r="B36" i="11"/>
  <c r="B37" i="11" l="1"/>
  <c r="B39" i="11" s="1"/>
  <c r="Q9" i="4" l="1"/>
  <c r="Q22" i="4"/>
  <c r="Q8" i="4"/>
  <c r="Q12" i="4"/>
  <c r="Q18" i="4"/>
  <c r="Q10" i="4" l="1"/>
  <c r="Q15" i="4"/>
  <c r="Q20" i="4"/>
  <c r="Q27" i="4"/>
  <c r="Q13" i="4"/>
  <c r="Q11" i="4"/>
  <c r="Q23" i="4"/>
  <c r="Q17" i="4"/>
  <c r="Q29" i="4"/>
  <c r="Q25" i="4"/>
  <c r="Q30" i="4"/>
  <c r="Q19" i="4"/>
  <c r="Q14" i="4"/>
  <c r="Q16" i="4"/>
  <c r="Q21" i="4"/>
  <c r="Q24" i="4"/>
  <c r="Q28" i="4"/>
  <c r="Q26" i="4"/>
  <c r="Q32" i="4" l="1"/>
  <c r="O32" i="4"/>
  <c r="O14" i="16" l="1"/>
  <c r="C12" i="14" l="1"/>
  <c r="D12" i="14" s="1"/>
  <c r="G8" i="14" l="1"/>
  <c r="G5" i="14"/>
  <c r="G9" i="14"/>
  <c r="E12" i="14"/>
  <c r="G10" i="14"/>
  <c r="G7" i="14"/>
  <c r="G11" i="14"/>
  <c r="G4" i="14"/>
  <c r="G6" i="14" l="1"/>
  <c r="G12" i="14" s="1"/>
  <c r="C10" i="17"/>
  <c r="D10" i="17" s="1"/>
  <c r="E10" i="17" s="1"/>
  <c r="G7" i="17" l="1"/>
  <c r="G8" i="17"/>
  <c r="G5" i="17"/>
  <c r="G9" i="17"/>
  <c r="G6" i="17"/>
  <c r="G10" i="17"/>
  <c r="G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3" authorId="0" shapeId="0" xr:uid="{93A17A60-F5A3-4468-95A8-23B7FCB234C4}">
      <text>
        <r>
          <rPr>
            <b/>
            <sz val="16"/>
            <color indexed="81"/>
            <rFont val="Times New Roman"/>
            <family val="1"/>
            <charset val="204"/>
          </rPr>
          <t>Информация от недропользователя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7" authorId="0" shapeId="0" xr:uid="{AA22F003-1F89-446A-942D-249ADA3FE890}">
      <text>
        <r>
          <rPr>
            <b/>
            <sz val="12"/>
            <color indexed="81"/>
            <rFont val="Tahoma"/>
            <family val="2"/>
            <charset val="204"/>
          </rPr>
          <t>Принято среднее значение по всем УКПГ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9" authorId="0" shapeId="0" xr:uid="{BF6EAED5-CE31-4A2A-81BA-F03C9132AE1D}">
      <text>
        <r>
          <rPr>
            <b/>
            <sz val="16"/>
            <color indexed="81"/>
            <rFont val="Times New Roman"/>
            <family val="1"/>
            <charset val="204"/>
          </rPr>
          <t>Взято значение рекомендуемое для содержания нефтепродуктов в воде (рекомендации Минэнерго).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1" authorId="0" shapeId="0" xr:uid="{876845C9-CF42-4D49-BDB0-93103594AABB}">
      <text>
        <r>
          <rPr>
            <b/>
            <sz val="16"/>
            <color indexed="81"/>
            <rFont val="Times New Roman"/>
            <family val="1"/>
            <charset val="204"/>
          </rPr>
          <t>Информация от недропользователя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1" authorId="0" shapeId="0" xr:uid="{89BD1C40-D218-4DF3-9F67-5331D945570F}">
      <text>
        <r>
          <rPr>
            <b/>
            <sz val="16"/>
            <color indexed="81"/>
            <rFont val="Times New Roman"/>
            <family val="1"/>
            <charset val="204"/>
          </rPr>
          <t>Взято значение 20% содержания конденсата в пластовом газе при первичных ГДИ и ГКИ.</t>
        </r>
      </text>
    </comment>
    <comment ref="D24" authorId="0" shapeId="0" xr:uid="{240131C0-83C8-4608-B006-0CD61C68AB2F}">
      <text>
        <r>
          <rPr>
            <b/>
            <sz val="16"/>
            <color indexed="81"/>
            <rFont val="Times New Roman"/>
            <family val="1"/>
            <charset val="204"/>
          </rPr>
          <t>Взято значение 100% содержания конденсата в пластовом газе при первичных ГДИ и ГКИ.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7" authorId="0" shapeId="0" xr:uid="{86F3593D-DCAD-46B6-9AD2-BBC0827AD1A6}">
      <text>
        <r>
          <rPr>
            <b/>
            <sz val="18"/>
            <color indexed="81"/>
            <rFont val="Times New Roman"/>
            <family val="1"/>
            <charset val="204"/>
          </rPr>
          <t>Принято с Протокла ЦКР (среднее устьевое давление)</t>
        </r>
      </text>
    </comment>
    <comment ref="I7" authorId="0" shapeId="0" xr:uid="{39D58367-048A-4D1F-A57E-538CC5224745}">
      <text>
        <r>
          <rPr>
            <sz val="20"/>
            <color indexed="81"/>
            <rFont val="Times New Roman"/>
            <family val="1"/>
            <charset val="204"/>
          </rPr>
          <t>Использовать лист РАСЧЕТ Z (при различии термобарических данных по шлейфу необходимо подставить соответствующие значения в исходных данных по каждому шлейфу)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K7" authorId="0" shapeId="0" xr:uid="{EA9C2D0B-D5B3-4E3E-8DD8-7E2C8840BC6E}">
      <text>
        <r>
          <rPr>
            <sz val="16"/>
            <color indexed="81"/>
            <rFont val="Tahoma"/>
            <family val="2"/>
            <charset val="204"/>
          </rPr>
          <t>Температура принята по проектному документу стр. 31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" authorId="0" shapeId="0" xr:uid="{C60AF28A-7C90-43EE-A995-548F4FD0102A}">
      <text>
        <r>
          <rPr>
            <b/>
            <sz val="14"/>
            <color indexed="81"/>
            <rFont val="Times New Roman"/>
            <family val="1"/>
            <charset val="204"/>
          </rPr>
          <t>(Тех.регламент УКПГ)- Параметры работы</t>
        </r>
      </text>
    </comment>
    <comment ref="I5" authorId="0" shapeId="0" xr:uid="{E50B9261-F736-438A-8A5C-3548927DAA8D}">
      <text>
        <r>
          <rPr>
            <sz val="18"/>
            <color indexed="81"/>
            <rFont val="Tahoma"/>
            <family val="2"/>
            <charset val="204"/>
          </rPr>
          <t xml:space="preserve">Использовать лист РАСЧЕТ Z (подставить необходимые значения в исходных данных по каждому оборудованию)
</t>
        </r>
      </text>
    </comment>
    <comment ref="K5" authorId="0" shapeId="0" xr:uid="{BB07BF9F-5D2C-4FCA-BFBD-7AE439F27196}">
      <text>
        <r>
          <rPr>
            <sz val="16"/>
            <color indexed="81"/>
            <rFont val="Tahoma"/>
            <family val="2"/>
            <charset val="204"/>
          </rPr>
          <t>Температура принята по проектному документу стр. 31</t>
        </r>
      </text>
    </comment>
    <comment ref="R5" authorId="0" shapeId="0" xr:uid="{9312757D-F929-4829-A2B1-4A8146714B7D}">
      <text>
        <r>
          <rPr>
            <b/>
            <sz val="14"/>
            <color indexed="81"/>
            <rFont val="Tahoma"/>
            <family val="2"/>
            <charset val="204"/>
          </rPr>
          <t>Длина участка принята на основании документов предыдущего года (файл excel с расчетами потерь)</t>
        </r>
      </text>
    </comment>
    <comment ref="R7" authorId="0" shapeId="0" xr:uid="{D5342086-E9CA-47C4-8D39-C43D4106024C}">
      <text>
        <r>
          <rPr>
            <b/>
            <sz val="14"/>
            <color indexed="81"/>
            <rFont val="Tahoma"/>
            <family val="2"/>
            <charset val="204"/>
          </rPr>
          <t>Длина участка принята на основании документов предыдущего года (файл excel с расчетами потерь)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C1C43AC7-1E9A-4A79-8D0C-1FFD749096A8}">
      <text>
        <r>
          <rPr>
            <b/>
            <sz val="12"/>
            <color indexed="81"/>
            <rFont val="Tahoma"/>
            <family val="2"/>
            <charset val="204"/>
          </rPr>
          <t>Принято значение из файла Добыча воды КГПУ</t>
        </r>
      </text>
    </comment>
    <comment ref="D12" authorId="0" shapeId="0" xr:uid="{CB063AF5-503A-4EB6-99DE-7A15342DCE43}">
      <text>
        <r>
          <rPr>
            <b/>
            <sz val="9"/>
            <color indexed="81"/>
            <rFont val="Tahoma"/>
            <family val="2"/>
            <charset val="204"/>
          </rPr>
          <t>С учетом остановки УКПГ на 14 суток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 xr:uid="{7E042690-251D-400E-983B-5CDEB642531B}">
      <text>
        <r>
          <rPr>
            <b/>
            <sz val="9"/>
            <color indexed="81"/>
            <rFont val="Tahoma"/>
            <family val="2"/>
            <charset val="204"/>
          </rPr>
          <t>С учетом остановки УКПГ на 14 суток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8" authorId="0" shapeId="0" xr:uid="{D27EBC9C-3820-46F5-983C-3E8D976F5CAC}">
      <text>
        <r>
          <rPr>
            <b/>
            <sz val="14"/>
            <color indexed="81"/>
            <rFont val="Times New Roman"/>
            <family val="1"/>
            <charset val="204"/>
          </rPr>
          <t>Принято давление на устье условно равное давлению при опорожнении трубопроводов (См. лист ОПОРОЖНЕНИЕ)</t>
        </r>
        <r>
          <rPr>
            <sz val="14"/>
            <color indexed="81"/>
            <rFont val="Times New Roman"/>
            <family val="1"/>
            <charset val="204"/>
          </rPr>
          <t xml:space="preserve">
</t>
        </r>
      </text>
    </comment>
    <comment ref="D9" authorId="0" shapeId="0" xr:uid="{8A4E46E2-5877-475D-A2F5-F49F6E3F3888}">
      <text>
        <r>
          <rPr>
            <b/>
            <sz val="14"/>
            <color indexed="81"/>
            <rFont val="Times New Roman"/>
            <family val="1"/>
            <charset val="204"/>
          </rPr>
          <t>Принята температура на устье условно равная температуре при опорожнении трубопроводов (См. лист ОПОРОЖНЕНИЕ)</t>
        </r>
        <r>
          <rPr>
            <sz val="14"/>
            <color indexed="81"/>
            <rFont val="Times New Roman"/>
            <family val="1"/>
            <charset val="204"/>
          </rPr>
          <t xml:space="preserve">
</t>
        </r>
      </text>
    </comment>
    <comment ref="D10" authorId="0" shapeId="0" xr:uid="{E81CF7DD-7224-4022-BCF2-8113665454D9}">
      <text>
        <r>
          <rPr>
            <sz val="20"/>
            <color indexed="81"/>
            <rFont val="Times New Roman"/>
            <family val="1"/>
            <charset val="204"/>
          </rPr>
          <t>Использовать лист РАСЧЕТ Z (при различии термобарических данных по пробоотборникам необходимо подставить соответствующие значения в исходных данных по каждому оборудованию)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D11" authorId="0" shapeId="0" xr:uid="{E885990E-5789-47BB-82D1-08A22E48A8CB}">
      <text>
        <r>
          <rPr>
            <b/>
            <sz val="9"/>
            <color indexed="81"/>
            <rFont val="Tahoma"/>
            <family val="2"/>
            <charset val="204"/>
          </rPr>
          <t>Отбор проб принят согласно файлу План отбора проб газа по Обществу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7" authorId="0" shapeId="0" xr:uid="{02F16341-8084-4A5D-A670-0FE0949DE860}">
      <text>
        <r>
          <rPr>
            <b/>
            <sz val="14"/>
            <color indexed="81"/>
            <rFont val="Times New Roman"/>
            <family val="1"/>
            <charset val="204"/>
          </rPr>
          <t>Принято давление на устье условно равное давлению при опорожнении трубопроводов (См. лист ОПОРОЖНЕНИЕ)</t>
        </r>
        <r>
          <rPr>
            <sz val="14"/>
            <color indexed="81"/>
            <rFont val="Times New Roman"/>
            <family val="1"/>
            <charset val="204"/>
          </rPr>
          <t xml:space="preserve">
</t>
        </r>
      </text>
    </comment>
    <comment ref="D8" authorId="0" shapeId="0" xr:uid="{A6392B20-6628-4652-8B14-C9D103CA2C39}">
      <text>
        <r>
          <rPr>
            <b/>
            <sz val="14"/>
            <color indexed="81"/>
            <rFont val="Times New Roman"/>
            <family val="1"/>
            <charset val="204"/>
          </rPr>
          <t>Принята температура на устье условно равная температуре при опорожнении трубопроводов (См. лист ОПОРОЖНЕНИЕ)</t>
        </r>
        <r>
          <rPr>
            <sz val="14"/>
            <color indexed="81"/>
            <rFont val="Times New Roman"/>
            <family val="1"/>
            <charset val="204"/>
          </rPr>
          <t xml:space="preserve">
</t>
        </r>
      </text>
    </comment>
    <comment ref="D9" authorId="0" shapeId="0" xr:uid="{84BC7E52-AD52-420A-8EA9-7EC5E8A65489}">
      <text>
        <r>
          <rPr>
            <sz val="20"/>
            <color indexed="81"/>
            <rFont val="Times New Roman"/>
            <family val="1"/>
            <charset val="204"/>
          </rPr>
          <t>Принято среднее значение плотности конденсата по проектному документу (стр.180)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D10" authorId="0" shapeId="0" xr:uid="{9F22F904-9010-452D-88D2-8BE9F44126CE}">
      <text>
        <r>
          <rPr>
            <b/>
            <sz val="9"/>
            <color indexed="81"/>
            <rFont val="Tahoma"/>
            <family val="2"/>
            <charset val="204"/>
          </rPr>
          <t xml:space="preserve">Отбор проб при первичных исследованиях (см. Лист-ГДИ+ГКИ)+текущие исследования (см. Лист-ГДИ+ГКИ)+отбор проб (1 раз в 10 дней, т.е. 1*365/10=37 раз в год)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2" authorId="0" shapeId="0" xr:uid="{5D49265B-385C-4D11-9FD4-4483F6E8FB55}">
      <text>
        <r>
          <rPr>
            <b/>
            <sz val="16"/>
            <color indexed="81"/>
            <rFont val="Times New Roman"/>
            <family val="1"/>
            <charset val="204"/>
          </rPr>
          <t>Взято значение 10% содержания конденсата в теряемом газе.</t>
        </r>
      </text>
    </comment>
  </commentList>
</comments>
</file>

<file path=xl/sharedStrings.xml><?xml version="1.0" encoding="utf-8"?>
<sst xmlns="http://schemas.openxmlformats.org/spreadsheetml/2006/main" count="684" uniqueCount="447">
  <si>
    <t>№№ п/п</t>
  </si>
  <si>
    <t>Параметр</t>
  </si>
  <si>
    <t>Обозначение</t>
  </si>
  <si>
    <t>Значение параметра</t>
  </si>
  <si>
    <t>Единицы измерения</t>
  </si>
  <si>
    <t>Ссылка на обосновывающие документы</t>
  </si>
  <si>
    <t>Количество скважин</t>
  </si>
  <si>
    <t>шт.</t>
  </si>
  <si>
    <t>Средний дебит скважины по газу</t>
  </si>
  <si>
    <t>n</t>
  </si>
  <si>
    <t>Количество режимов при ГДИ</t>
  </si>
  <si>
    <t>Количество исследований в год</t>
  </si>
  <si>
    <t>N</t>
  </si>
  <si>
    <t>Мольная доля добываемой продукции в пластовом газе</t>
  </si>
  <si>
    <r>
      <t>X</t>
    </r>
    <r>
      <rPr>
        <vertAlign val="subscript"/>
        <sz val="11"/>
        <color indexed="8"/>
        <rFont val="Times New Roman"/>
        <family val="1"/>
        <charset val="204"/>
      </rPr>
      <t>i</t>
    </r>
  </si>
  <si>
    <t>Продолжительность одного режима при ГДИ</t>
  </si>
  <si>
    <t xml:space="preserve">τ
</t>
  </si>
  <si>
    <t>сут</t>
  </si>
  <si>
    <r>
      <t>м</t>
    </r>
    <r>
      <rPr>
        <vertAlign val="superscript"/>
        <sz val="12"/>
        <color indexed="8"/>
        <rFont val="Times New Roman"/>
        <family val="1"/>
        <charset val="204"/>
      </rPr>
      <t>3</t>
    </r>
  </si>
  <si>
    <t>МПа</t>
  </si>
  <si>
    <t>К</t>
  </si>
  <si>
    <t>шт</t>
  </si>
  <si>
    <r>
      <t>Q</t>
    </r>
    <r>
      <rPr>
        <vertAlign val="subscript"/>
        <sz val="12"/>
        <color indexed="8"/>
        <rFont val="Times New Roman"/>
        <family val="1"/>
        <charset val="204"/>
      </rPr>
      <t>в</t>
    </r>
  </si>
  <si>
    <r>
      <t>м</t>
    </r>
    <r>
      <rPr>
        <vertAlign val="superscript"/>
        <sz val="12"/>
        <color indexed="8"/>
        <rFont val="Times New Roman"/>
        <family val="1"/>
        <charset val="204"/>
      </rPr>
      <t>3</t>
    </r>
    <r>
      <rPr>
        <sz val="12"/>
        <color indexed="8"/>
        <rFont val="Times New Roman"/>
        <family val="1"/>
        <charset val="204"/>
      </rPr>
      <t>/ч</t>
    </r>
  </si>
  <si>
    <t>Растворимость природного газа в дистиллированной воде соответственно при атмосферном давлении</t>
  </si>
  <si>
    <r>
      <t>r</t>
    </r>
    <r>
      <rPr>
        <vertAlign val="subscript"/>
        <sz val="12"/>
        <color indexed="8"/>
        <rFont val="Times New Roman"/>
        <family val="1"/>
        <charset val="204"/>
      </rPr>
      <t>1</t>
    </r>
  </si>
  <si>
    <r>
      <t>r</t>
    </r>
    <r>
      <rPr>
        <vertAlign val="subscript"/>
        <sz val="12"/>
        <color indexed="8"/>
        <rFont val="Times New Roman"/>
        <family val="1"/>
        <charset val="204"/>
      </rPr>
      <t>2</t>
    </r>
    <r>
      <rPr>
        <sz val="11"/>
        <color indexed="8"/>
        <rFont val="Calibri"/>
        <family val="2"/>
        <charset val="204"/>
      </rPr>
      <t/>
    </r>
  </si>
  <si>
    <t>Растворимость природного газа в дистиллированной воде соответственно при давлении перед выветривателем</t>
  </si>
  <si>
    <t>Коэффициент Сеченова, учитывающий изменение растворимости газа при наличии солей (коэффициент высаливания)</t>
  </si>
  <si>
    <t>k</t>
  </si>
  <si>
    <t>Концентрация солей в пластовой воде</t>
  </si>
  <si>
    <t>c</t>
  </si>
  <si>
    <t>г-экв/л</t>
  </si>
  <si>
    <t>Мольная доля добываемой продукции в газе дегазации (выветривани)</t>
  </si>
  <si>
    <t>Продолжительность расчетного периода</t>
  </si>
  <si>
    <r>
      <t>Х</t>
    </r>
    <r>
      <rPr>
        <vertAlign val="subscript"/>
        <sz val="12"/>
        <color indexed="8"/>
        <rFont val="Times New Roman"/>
        <family val="1"/>
        <charset val="204"/>
      </rPr>
      <t>г.прод.</t>
    </r>
  </si>
  <si>
    <t>τ</t>
  </si>
  <si>
    <t>ч</t>
  </si>
  <si>
    <r>
      <t>Q</t>
    </r>
    <r>
      <rPr>
        <vertAlign val="subscript"/>
        <sz val="12"/>
        <color indexed="8"/>
        <rFont val="Times New Roman"/>
        <family val="1"/>
        <charset val="204"/>
      </rPr>
      <t>ж</t>
    </r>
  </si>
  <si>
    <t>Растворимость природного газа в жидкости при термобарических параметрах регенерации</t>
  </si>
  <si>
    <t>r</t>
  </si>
  <si>
    <r>
      <t>м</t>
    </r>
    <r>
      <rPr>
        <vertAlign val="superscript"/>
        <sz val="12"/>
        <color indexed="8"/>
        <rFont val="Times New Roman"/>
        <family val="1"/>
        <charset val="204"/>
      </rPr>
      <t xml:space="preserve">3 </t>
    </r>
    <r>
      <rPr>
        <sz val="12"/>
        <color indexed="8"/>
        <rFont val="Times New Roman"/>
        <family val="1"/>
        <charset val="204"/>
      </rPr>
      <t>/ м</t>
    </r>
    <r>
      <rPr>
        <vertAlign val="superscript"/>
        <sz val="12"/>
        <color indexed="8"/>
        <rFont val="Times New Roman"/>
        <family val="1"/>
        <charset val="204"/>
      </rPr>
      <t>3</t>
    </r>
  </si>
  <si>
    <t>Мольная доля добываемой продукции в газе, выделяющемся при регенерации</t>
  </si>
  <si>
    <t>Геометрическая емкость i-го устройства ввода хим. реагентов</t>
  </si>
  <si>
    <r>
      <t>V</t>
    </r>
    <r>
      <rPr>
        <vertAlign val="subscript"/>
        <sz val="12"/>
        <color indexed="8"/>
        <rFont val="Times New Roman"/>
        <family val="1"/>
        <charset val="204"/>
      </rPr>
      <t>i</t>
    </r>
  </si>
  <si>
    <t>Рабочее давление</t>
  </si>
  <si>
    <r>
      <t>Р</t>
    </r>
    <r>
      <rPr>
        <vertAlign val="subscript"/>
        <sz val="12"/>
        <color indexed="8"/>
        <rFont val="Times New Roman"/>
        <family val="1"/>
        <charset val="204"/>
      </rPr>
      <t>i</t>
    </r>
  </si>
  <si>
    <t>Температура природного газа в устройстве</t>
  </si>
  <si>
    <r>
      <t>Т</t>
    </r>
    <r>
      <rPr>
        <vertAlign val="subscript"/>
        <sz val="12"/>
        <color indexed="8"/>
        <rFont val="Calibri"/>
        <family val="2"/>
        <charset val="204"/>
      </rPr>
      <t>i</t>
    </r>
  </si>
  <si>
    <r>
      <t>Коэффициент сверхсжимаемости газа при Р</t>
    </r>
    <r>
      <rPr>
        <b/>
        <vertAlign val="subscript"/>
        <sz val="12"/>
        <color indexed="8"/>
        <rFont val="Times New Roman"/>
        <family val="1"/>
        <charset val="204"/>
      </rPr>
      <t>i</t>
    </r>
    <r>
      <rPr>
        <b/>
        <sz val="12"/>
        <color indexed="8"/>
        <rFont val="Times New Roman"/>
        <family val="1"/>
        <charset val="204"/>
      </rPr>
      <t xml:space="preserve"> и Т</t>
    </r>
    <r>
      <rPr>
        <b/>
        <vertAlign val="subscript"/>
        <sz val="12"/>
        <color indexed="8"/>
        <rFont val="Times New Roman"/>
        <family val="1"/>
        <charset val="204"/>
      </rPr>
      <t>i</t>
    </r>
  </si>
  <si>
    <r>
      <t>Z</t>
    </r>
    <r>
      <rPr>
        <vertAlign val="subscript"/>
        <sz val="12"/>
        <color indexed="8"/>
        <rFont val="Times New Roman"/>
        <family val="1"/>
        <charset val="204"/>
      </rPr>
      <t>i</t>
    </r>
  </si>
  <si>
    <t>Количество заправок i-го устройства</t>
  </si>
  <si>
    <r>
      <t>N</t>
    </r>
    <r>
      <rPr>
        <vertAlign val="subscript"/>
        <sz val="12"/>
        <color indexed="8"/>
        <rFont val="Times New Roman"/>
        <family val="1"/>
        <charset val="204"/>
      </rPr>
      <t>i</t>
    </r>
  </si>
  <si>
    <t>Количество устройств</t>
  </si>
  <si>
    <t>Мольная доля добываемой продукции в отбираемом газе</t>
  </si>
  <si>
    <r>
      <t>X</t>
    </r>
    <r>
      <rPr>
        <vertAlign val="subscript"/>
        <sz val="11"/>
        <color indexed="8"/>
        <rFont val="Times New Roman"/>
        <family val="1"/>
        <charset val="204"/>
      </rPr>
      <t>г.прод</t>
    </r>
  </si>
  <si>
    <t>Потери природного газа при периодическом отборе проб для разовых (лабораторных) анализов газового потока</t>
  </si>
  <si>
    <r>
      <t>П</t>
    </r>
    <r>
      <rPr>
        <vertAlign val="subscript"/>
        <sz val="12"/>
        <color indexed="8"/>
        <rFont val="Times New Roman"/>
        <family val="1"/>
        <charset val="204"/>
      </rPr>
      <t>г.оп.</t>
    </r>
  </si>
  <si>
    <t xml:space="preserve">Геометрический объем пробоотборника </t>
  </si>
  <si>
    <r>
      <t>V</t>
    </r>
    <r>
      <rPr>
        <vertAlign val="subscript"/>
        <sz val="12"/>
        <color indexed="8"/>
        <rFont val="Calibri"/>
        <family val="2"/>
        <charset val="204"/>
      </rPr>
      <t>пр</t>
    </r>
  </si>
  <si>
    <t>Давление в пробоотборнике</t>
  </si>
  <si>
    <r>
      <t>Р</t>
    </r>
    <r>
      <rPr>
        <vertAlign val="subscript"/>
        <sz val="12"/>
        <color indexed="8"/>
        <rFont val="Times New Roman"/>
        <family val="1"/>
        <charset val="204"/>
      </rPr>
      <t>пр</t>
    </r>
  </si>
  <si>
    <t>Температура в пробоотборнике</t>
  </si>
  <si>
    <r>
      <t>Т</t>
    </r>
    <r>
      <rPr>
        <vertAlign val="subscript"/>
        <sz val="11"/>
        <color indexed="8"/>
        <rFont val="Times New Roman"/>
        <family val="1"/>
        <charset val="204"/>
      </rPr>
      <t>пр</t>
    </r>
  </si>
  <si>
    <r>
      <t>Коэффициент сжимаемости при Р</t>
    </r>
    <r>
      <rPr>
        <b/>
        <vertAlign val="subscript"/>
        <sz val="12"/>
        <color indexed="8"/>
        <rFont val="Times New Roman"/>
        <family val="1"/>
        <charset val="204"/>
      </rPr>
      <t xml:space="preserve">пр </t>
    </r>
    <r>
      <rPr>
        <b/>
        <sz val="12"/>
        <color indexed="8"/>
        <rFont val="Times New Roman"/>
        <family val="1"/>
        <charset val="204"/>
      </rPr>
      <t>и Т</t>
    </r>
    <r>
      <rPr>
        <b/>
        <vertAlign val="subscript"/>
        <sz val="12"/>
        <color indexed="8"/>
        <rFont val="Times New Roman"/>
        <family val="1"/>
        <charset val="204"/>
      </rPr>
      <t xml:space="preserve">пр </t>
    </r>
  </si>
  <si>
    <t>Количество анализов i-ого вида в расчетном периоде согласно графику аналитического контроля</t>
  </si>
  <si>
    <r>
      <t>n</t>
    </r>
    <r>
      <rPr>
        <vertAlign val="subscript"/>
        <sz val="12"/>
        <color indexed="8"/>
        <rFont val="Calibri"/>
        <family val="2"/>
        <charset val="204"/>
      </rPr>
      <t>i</t>
    </r>
  </si>
  <si>
    <t>Потери природного газа при непрерывной работе i-ого прибора на потоке</t>
  </si>
  <si>
    <r>
      <t>П</t>
    </r>
    <r>
      <rPr>
        <vertAlign val="subscript"/>
        <sz val="12"/>
        <color indexed="8"/>
        <rFont val="Times New Roman"/>
        <family val="1"/>
        <charset val="204"/>
      </rPr>
      <t>г.пот</t>
    </r>
  </si>
  <si>
    <t>Планируемое время работы i-го прибора в отчетном году</t>
  </si>
  <si>
    <t>час</t>
  </si>
  <si>
    <t>Количество приборов</t>
  </si>
  <si>
    <t>Площадь сечения клапана</t>
  </si>
  <si>
    <r>
      <t>F</t>
    </r>
    <r>
      <rPr>
        <vertAlign val="subscript"/>
        <sz val="12"/>
        <color indexed="8"/>
        <rFont val="Times New Roman"/>
        <family val="1"/>
        <charset val="204"/>
      </rPr>
      <t>кл</t>
    </r>
  </si>
  <si>
    <r>
      <t>м</t>
    </r>
    <r>
      <rPr>
        <vertAlign val="superscript"/>
        <sz val="12"/>
        <color indexed="8"/>
        <rFont val="Times New Roman"/>
        <family val="1"/>
        <charset val="204"/>
      </rPr>
      <t>2</t>
    </r>
  </si>
  <si>
    <t>Коэффициент расхода газа клапаном</t>
  </si>
  <si>
    <t>По паспортным данным</t>
  </si>
  <si>
    <r>
      <t>К</t>
    </r>
    <r>
      <rPr>
        <vertAlign val="subscript"/>
        <sz val="12"/>
        <color indexed="8"/>
        <rFont val="Times New Roman"/>
        <family val="1"/>
        <charset val="204"/>
      </rPr>
      <t>кл</t>
    </r>
  </si>
  <si>
    <t>Рабочее давление газа в аппарате</t>
  </si>
  <si>
    <t>Р</t>
  </si>
  <si>
    <t>Рабочая температура газа в аппарате</t>
  </si>
  <si>
    <t>Т</t>
  </si>
  <si>
    <t>Коэффицент сжимаемости газа при Р и Т</t>
  </si>
  <si>
    <t>Z</t>
  </si>
  <si>
    <t>Время срабатывания предохранительного клапана</t>
  </si>
  <si>
    <r>
      <rPr>
        <sz val="12"/>
        <color indexed="8"/>
        <rFont val="Calibri"/>
        <family val="2"/>
        <charset val="204"/>
      </rPr>
      <t>τ</t>
    </r>
    <r>
      <rPr>
        <vertAlign val="subscript"/>
        <sz val="12"/>
        <color indexed="8"/>
        <rFont val="Times New Roman"/>
        <family val="1"/>
        <charset val="204"/>
      </rPr>
      <t>кл</t>
    </r>
  </si>
  <si>
    <t>мин</t>
  </si>
  <si>
    <t>Мольная доля добываемой продукции в выпускаемом газе</t>
  </si>
  <si>
    <r>
      <t>Х</t>
    </r>
    <r>
      <rPr>
        <vertAlign val="subscript"/>
        <sz val="12"/>
        <color indexed="8"/>
        <rFont val="Calibri"/>
        <family val="2"/>
        <charset val="204"/>
      </rPr>
      <t>г.прод.</t>
    </r>
  </si>
  <si>
    <t>Количество проверок предохранительного клапана в расчетном периоде</t>
  </si>
  <si>
    <t>Объем жидкости, сбрасываемой из оборудования на утилизацию</t>
  </si>
  <si>
    <t xml:space="preserve">Растворимость природного газа в дистиллированной воде при атмосферном давлении </t>
  </si>
  <si>
    <r>
      <t>м</t>
    </r>
    <r>
      <rPr>
        <vertAlign val="superscript"/>
        <sz val="12"/>
        <color indexed="8"/>
        <rFont val="Times New Roman"/>
        <family val="1"/>
        <charset val="204"/>
      </rPr>
      <t>3</t>
    </r>
    <r>
      <rPr>
        <sz val="12"/>
        <color indexed="8"/>
        <rFont val="Times New Roman"/>
        <family val="1"/>
        <charset val="204"/>
      </rPr>
      <t xml:space="preserve"> / м</t>
    </r>
    <r>
      <rPr>
        <vertAlign val="superscript"/>
        <sz val="12"/>
        <color indexed="8"/>
        <rFont val="Times New Roman"/>
        <family val="1"/>
        <charset val="204"/>
      </rPr>
      <t>3</t>
    </r>
  </si>
  <si>
    <t>Коэффициент Сеченова, учитывающий изменение растворимости газа в присутствии солей</t>
  </si>
  <si>
    <t>Мольная доля добываемой продукции в газе, уносимом с жидкостью</t>
  </si>
  <si>
    <r>
      <t>N</t>
    </r>
    <r>
      <rPr>
        <vertAlign val="subscript"/>
        <sz val="12"/>
        <color indexed="8"/>
        <rFont val="Times New Roman"/>
        <family val="1"/>
        <charset val="204"/>
      </rPr>
      <t>скв</t>
    </r>
  </si>
  <si>
    <r>
      <t>q</t>
    </r>
    <r>
      <rPr>
        <vertAlign val="subscript"/>
        <sz val="12"/>
        <color indexed="8"/>
        <rFont val="Times New Roman"/>
        <family val="1"/>
        <charset val="204"/>
      </rPr>
      <t>i</t>
    </r>
  </si>
  <si>
    <r>
      <t>X</t>
    </r>
    <r>
      <rPr>
        <vertAlign val="subscript"/>
        <sz val="12"/>
        <color indexed="8"/>
        <rFont val="Times New Roman"/>
        <family val="1"/>
        <charset val="204"/>
      </rPr>
      <t>i</t>
    </r>
  </si>
  <si>
    <r>
      <t>тыс.м</t>
    </r>
    <r>
      <rPr>
        <vertAlign val="superscript"/>
        <sz val="12"/>
        <color indexed="8"/>
        <rFont val="Times New Roman"/>
        <family val="1"/>
        <charset val="204"/>
      </rPr>
      <t>3</t>
    </r>
    <r>
      <rPr>
        <sz val="12"/>
        <color indexed="8"/>
        <rFont val="Times New Roman"/>
        <family val="1"/>
        <charset val="204"/>
      </rPr>
      <t>/сут</t>
    </r>
  </si>
  <si>
    <t>Потери природного газа</t>
  </si>
  <si>
    <r>
      <t>П</t>
    </r>
    <r>
      <rPr>
        <vertAlign val="subscript"/>
        <sz val="12"/>
        <color theme="1"/>
        <rFont val="Times New Roman"/>
        <family val="1"/>
        <charset val="204"/>
      </rPr>
      <t>ГДИ</t>
    </r>
  </si>
  <si>
    <r>
      <t>тыс.м</t>
    </r>
    <r>
      <rPr>
        <vertAlign val="superscript"/>
        <sz val="12"/>
        <color theme="1"/>
        <rFont val="Times New Roman"/>
        <family val="1"/>
        <charset val="204"/>
      </rPr>
      <t>3</t>
    </r>
  </si>
  <si>
    <t xml:space="preserve">Объект </t>
  </si>
  <si>
    <t>Внутренний диаметр</t>
  </si>
  <si>
    <r>
      <t>Кооэффициент сверхсжимаемости при Р</t>
    </r>
    <r>
      <rPr>
        <b/>
        <vertAlign val="subscript"/>
        <sz val="12"/>
        <color indexed="8"/>
        <rFont val="Times New Roman"/>
        <family val="1"/>
        <charset val="204"/>
      </rPr>
      <t xml:space="preserve">н </t>
    </r>
    <r>
      <rPr>
        <b/>
        <sz val="12"/>
        <color indexed="8"/>
        <rFont val="Times New Roman"/>
        <family val="1"/>
        <charset val="204"/>
      </rPr>
      <t>и</t>
    </r>
    <r>
      <rPr>
        <b/>
        <vertAlign val="subscript"/>
        <sz val="12"/>
        <color indexed="8"/>
        <rFont val="Times New Roman"/>
        <family val="1"/>
        <charset val="204"/>
      </rPr>
      <t xml:space="preserve"> </t>
    </r>
    <r>
      <rPr>
        <b/>
        <sz val="12"/>
        <color indexed="8"/>
        <rFont val="Times New Roman"/>
        <family val="1"/>
        <charset val="204"/>
      </rPr>
      <t>Т</t>
    </r>
    <r>
      <rPr>
        <b/>
        <vertAlign val="subscript"/>
        <sz val="12"/>
        <color indexed="8"/>
        <rFont val="Times New Roman"/>
        <family val="1"/>
        <charset val="204"/>
      </rPr>
      <t>н</t>
    </r>
  </si>
  <si>
    <r>
      <t>L</t>
    </r>
    <r>
      <rPr>
        <b/>
        <vertAlign val="subscript"/>
        <sz val="12"/>
        <color theme="1"/>
        <rFont val="Times New Roman"/>
        <family val="1"/>
        <charset val="204"/>
      </rPr>
      <t>тр</t>
    </r>
    <r>
      <rPr>
        <b/>
        <sz val="12"/>
        <color theme="1"/>
        <rFont val="Times New Roman"/>
        <family val="1"/>
        <charset val="204"/>
      </rPr>
      <t>, м</t>
    </r>
  </si>
  <si>
    <r>
      <t>V, м</t>
    </r>
    <r>
      <rPr>
        <b/>
        <vertAlign val="superscript"/>
        <sz val="12"/>
        <color theme="1"/>
        <rFont val="Times New Roman"/>
        <family val="1"/>
        <charset val="204"/>
      </rPr>
      <t>3</t>
    </r>
  </si>
  <si>
    <r>
      <t>Р</t>
    </r>
    <r>
      <rPr>
        <b/>
        <vertAlign val="subscript"/>
        <sz val="12"/>
        <color theme="1"/>
        <rFont val="Times New Roman"/>
        <family val="1"/>
        <charset val="204"/>
      </rPr>
      <t>н</t>
    </r>
    <r>
      <rPr>
        <b/>
        <sz val="12"/>
        <color theme="1"/>
        <rFont val="Times New Roman"/>
        <family val="1"/>
        <charset val="204"/>
      </rPr>
      <t>, МПа</t>
    </r>
  </si>
  <si>
    <r>
      <t>Т</t>
    </r>
    <r>
      <rPr>
        <b/>
        <vertAlign val="subscript"/>
        <sz val="12"/>
        <color theme="1"/>
        <rFont val="Times New Roman"/>
        <family val="1"/>
        <charset val="204"/>
      </rPr>
      <t>н</t>
    </r>
    <r>
      <rPr>
        <b/>
        <sz val="12"/>
        <color theme="1"/>
        <rFont val="Times New Roman"/>
        <family val="1"/>
        <charset val="204"/>
      </rPr>
      <t>, К</t>
    </r>
  </si>
  <si>
    <t>Давление перед началом опорожнения</t>
  </si>
  <si>
    <t>Температура перед началом опорожнения</t>
  </si>
  <si>
    <t>Объем аппарата или тех. линии</t>
  </si>
  <si>
    <t>Давление после опорожнения</t>
  </si>
  <si>
    <t>Температура после опорожнения</t>
  </si>
  <si>
    <r>
      <t>Кооэффициент сверхсжимаемости при Р</t>
    </r>
    <r>
      <rPr>
        <b/>
        <vertAlign val="subscript"/>
        <sz val="12"/>
        <color indexed="8"/>
        <rFont val="Times New Roman"/>
        <family val="1"/>
        <charset val="204"/>
      </rPr>
      <t xml:space="preserve">к </t>
    </r>
    <r>
      <rPr>
        <b/>
        <sz val="12"/>
        <color indexed="8"/>
        <rFont val="Times New Roman"/>
        <family val="1"/>
        <charset val="204"/>
      </rPr>
      <t>и</t>
    </r>
    <r>
      <rPr>
        <b/>
        <vertAlign val="subscript"/>
        <sz val="12"/>
        <color indexed="8"/>
        <rFont val="Times New Roman"/>
        <family val="1"/>
        <charset val="204"/>
      </rPr>
      <t xml:space="preserve"> </t>
    </r>
    <r>
      <rPr>
        <b/>
        <sz val="12"/>
        <color indexed="8"/>
        <rFont val="Times New Roman"/>
        <family val="1"/>
        <charset val="204"/>
      </rPr>
      <t>Т</t>
    </r>
    <r>
      <rPr>
        <b/>
        <vertAlign val="subscript"/>
        <sz val="12"/>
        <color indexed="8"/>
        <rFont val="Times New Roman"/>
        <family val="1"/>
        <charset val="204"/>
      </rPr>
      <t>к</t>
    </r>
  </si>
  <si>
    <r>
      <t>Р</t>
    </r>
    <r>
      <rPr>
        <b/>
        <vertAlign val="subscript"/>
        <sz val="12"/>
        <color theme="1"/>
        <rFont val="Times New Roman"/>
        <family val="1"/>
        <charset val="204"/>
      </rPr>
      <t>к</t>
    </r>
    <r>
      <rPr>
        <b/>
        <sz val="12"/>
        <color theme="1"/>
        <rFont val="Times New Roman"/>
        <family val="1"/>
        <charset val="204"/>
      </rPr>
      <t>, МПа</t>
    </r>
  </si>
  <si>
    <r>
      <t>Т</t>
    </r>
    <r>
      <rPr>
        <b/>
        <vertAlign val="subscript"/>
        <sz val="12"/>
        <color theme="1"/>
        <rFont val="Times New Roman"/>
        <family val="1"/>
        <charset val="204"/>
      </rPr>
      <t>к</t>
    </r>
    <r>
      <rPr>
        <b/>
        <sz val="12"/>
        <color theme="1"/>
        <rFont val="Times New Roman"/>
        <family val="1"/>
        <charset val="204"/>
      </rPr>
      <t>, К</t>
    </r>
  </si>
  <si>
    <r>
      <t>Z</t>
    </r>
    <r>
      <rPr>
        <b/>
        <vertAlign val="subscript"/>
        <sz val="12"/>
        <color theme="1"/>
        <rFont val="Times New Roman"/>
        <family val="1"/>
        <charset val="204"/>
      </rPr>
      <t>н</t>
    </r>
  </si>
  <si>
    <r>
      <t>Z</t>
    </r>
    <r>
      <rPr>
        <b/>
        <vertAlign val="subscript"/>
        <sz val="12"/>
        <color theme="1"/>
        <rFont val="Times New Roman"/>
        <family val="1"/>
        <charset val="204"/>
      </rPr>
      <t>к</t>
    </r>
  </si>
  <si>
    <t>Мольная доля добываемой продукции в газе</t>
  </si>
  <si>
    <t>N, шт.</t>
  </si>
  <si>
    <r>
      <t>X</t>
    </r>
    <r>
      <rPr>
        <b/>
        <vertAlign val="subscript"/>
        <sz val="12"/>
        <color theme="1"/>
        <rFont val="Times New Roman"/>
        <family val="1"/>
        <charset val="204"/>
      </rPr>
      <t>i</t>
    </r>
    <r>
      <rPr>
        <b/>
        <sz val="12"/>
        <color theme="1"/>
        <rFont val="Times New Roman"/>
        <family val="1"/>
        <charset val="204"/>
      </rPr>
      <t>, дол.ед.</t>
    </r>
  </si>
  <si>
    <t>Длина</t>
  </si>
  <si>
    <t>Мольная доля эквивалентного углерода</t>
  </si>
  <si>
    <t>формула (4)</t>
  </si>
  <si>
    <t>Молярная доля азота</t>
  </si>
  <si>
    <t>Молярная доля диоксида углерода</t>
  </si>
  <si>
    <t xml:space="preserve">Температура газа </t>
  </si>
  <si>
    <t>Давление газа</t>
  </si>
  <si>
    <t>Относительная плотность газа=</t>
  </si>
  <si>
    <t>Плотность газа в ст.усл.=</t>
  </si>
  <si>
    <t>кг/м3</t>
  </si>
  <si>
    <t>Zc=</t>
  </si>
  <si>
    <t>формула (18)</t>
  </si>
  <si>
    <t>Мэ=</t>
  </si>
  <si>
    <t>формула (17)</t>
  </si>
  <si>
    <t>Нэ=</t>
  </si>
  <si>
    <t>формула (16)</t>
  </si>
  <si>
    <t>С*=</t>
  </si>
  <si>
    <t>формула (15)</t>
  </si>
  <si>
    <t>В*=</t>
  </si>
  <si>
    <t>формула (14)</t>
  </si>
  <si>
    <t>C233=</t>
  </si>
  <si>
    <t>формула (13)</t>
  </si>
  <si>
    <t>С223=</t>
  </si>
  <si>
    <t>формула (12)</t>
  </si>
  <si>
    <t>C3=</t>
  </si>
  <si>
    <t>формула (11)</t>
  </si>
  <si>
    <t>C2=</t>
  </si>
  <si>
    <t>формула (10)</t>
  </si>
  <si>
    <t>C1=</t>
  </si>
  <si>
    <t>формула (9)</t>
  </si>
  <si>
    <t>B3=</t>
  </si>
  <si>
    <t>формула (8)</t>
  </si>
  <si>
    <t>B23=</t>
  </si>
  <si>
    <t>формула (7)</t>
  </si>
  <si>
    <t>B2=</t>
  </si>
  <si>
    <t>формула (6)</t>
  </si>
  <si>
    <t>B1=</t>
  </si>
  <si>
    <t>формула (5)</t>
  </si>
  <si>
    <t>Cm=</t>
  </si>
  <si>
    <t>формула (3)</t>
  </si>
  <si>
    <t>Bm=</t>
  </si>
  <si>
    <t>формула (2)</t>
  </si>
  <si>
    <t>Z=</t>
  </si>
  <si>
    <t>формула (1)</t>
  </si>
  <si>
    <t>Mm=</t>
  </si>
  <si>
    <t>формула (27)</t>
  </si>
  <si>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Calibri"/>
        <family val="2"/>
        <charset val="204"/>
        <scheme val="minor"/>
      </rPr>
      <t>=</t>
    </r>
  </si>
  <si>
    <t>формула (26)</t>
  </si>
  <si>
    <t>b=</t>
  </si>
  <si>
    <t>формула (25)</t>
  </si>
  <si>
    <t>C0=</t>
  </si>
  <si>
    <t>формула (24)</t>
  </si>
  <si>
    <t>B0=</t>
  </si>
  <si>
    <t>формула (23)</t>
  </si>
  <si>
    <t>A0=</t>
  </si>
  <si>
    <t>формула (22)</t>
  </si>
  <si>
    <t>A1=</t>
  </si>
  <si>
    <t>формула (20)</t>
  </si>
  <si>
    <t>A2=</t>
  </si>
  <si>
    <t>формула (21)</t>
  </si>
  <si>
    <t>Z(P,T)=</t>
  </si>
  <si>
    <t>формула (19)</t>
  </si>
  <si>
    <t>Количество операций</t>
  </si>
  <si>
    <r>
      <t>П</t>
    </r>
    <r>
      <rPr>
        <b/>
        <vertAlign val="subscript"/>
        <sz val="12"/>
        <color theme="1"/>
        <rFont val="Times New Roman"/>
        <family val="1"/>
        <charset val="204"/>
      </rPr>
      <t>оп</t>
    </r>
    <r>
      <rPr>
        <b/>
        <sz val="12"/>
        <color theme="1"/>
        <rFont val="Times New Roman"/>
        <family val="1"/>
        <charset val="204"/>
      </rPr>
      <t>, тыс.м</t>
    </r>
    <r>
      <rPr>
        <b/>
        <vertAlign val="superscript"/>
        <sz val="12"/>
        <color theme="1"/>
        <rFont val="Times New Roman"/>
        <family val="1"/>
        <charset val="204"/>
      </rPr>
      <t>3</t>
    </r>
  </si>
  <si>
    <t xml:space="preserve">Добыча пластовой воды, подвергаемой дегазации </t>
  </si>
  <si>
    <t>Расход жидкости, подвергаемой регенерации</t>
  </si>
  <si>
    <t>Таблица 3.1 – Растворимость газов в дистиллированной воде при атмосферном давлении и различных температурах.</t>
  </si>
  <si>
    <t>Газ</t>
  </si>
  <si>
    <r>
      <t>Растворимость газов в дистиллированной воде r</t>
    </r>
    <r>
      <rPr>
        <b/>
        <vertAlign val="subscript"/>
        <sz val="12"/>
        <color theme="1"/>
        <rFont val="Times New Roman"/>
        <family val="1"/>
        <charset val="204"/>
      </rPr>
      <t>1</t>
    </r>
    <r>
      <rPr>
        <b/>
        <sz val="12"/>
        <color theme="1"/>
        <rFont val="Times New Roman"/>
        <family val="1"/>
        <charset val="204"/>
      </rPr>
      <t>, м</t>
    </r>
    <r>
      <rPr>
        <b/>
        <vertAlign val="superscript"/>
        <sz val="12"/>
        <color theme="1"/>
        <rFont val="Times New Roman"/>
        <family val="1"/>
        <charset val="204"/>
      </rPr>
      <t>3</t>
    </r>
    <r>
      <rPr>
        <b/>
        <sz val="12"/>
        <color theme="1"/>
        <rFont val="Times New Roman"/>
        <family val="1"/>
        <charset val="204"/>
      </rPr>
      <t>/м</t>
    </r>
    <r>
      <rPr>
        <b/>
        <vertAlign val="superscript"/>
        <sz val="12"/>
        <color theme="1"/>
        <rFont val="Times New Roman"/>
        <family val="1"/>
        <charset val="204"/>
      </rPr>
      <t>3</t>
    </r>
    <r>
      <rPr>
        <b/>
        <sz val="12"/>
        <color theme="1"/>
        <rFont val="Times New Roman"/>
        <family val="1"/>
        <charset val="204"/>
      </rPr>
      <t xml:space="preserve">, при температуре, </t>
    </r>
    <r>
      <rPr>
        <b/>
        <vertAlign val="superscript"/>
        <sz val="12"/>
        <color theme="1"/>
        <rFont val="Times New Roman"/>
        <family val="1"/>
        <charset val="204"/>
      </rPr>
      <t>0</t>
    </r>
    <r>
      <rPr>
        <b/>
        <sz val="12"/>
        <color theme="1"/>
        <rFont val="Times New Roman"/>
        <family val="1"/>
        <charset val="204"/>
      </rPr>
      <t>С</t>
    </r>
  </si>
  <si>
    <t>Метан</t>
  </si>
  <si>
    <t>Этан</t>
  </si>
  <si>
    <r>
      <t>Растворимость газов в дистиллированной воде r</t>
    </r>
    <r>
      <rPr>
        <b/>
        <vertAlign val="subscript"/>
        <sz val="12"/>
        <color theme="1"/>
        <rFont val="Times New Roman"/>
        <family val="1"/>
        <charset val="204"/>
      </rPr>
      <t>2</t>
    </r>
    <r>
      <rPr>
        <b/>
        <sz val="12"/>
        <color theme="1"/>
        <rFont val="Times New Roman"/>
        <family val="1"/>
        <charset val="204"/>
      </rPr>
      <t>, м</t>
    </r>
    <r>
      <rPr>
        <b/>
        <vertAlign val="superscript"/>
        <sz val="12"/>
        <color theme="1"/>
        <rFont val="Times New Roman"/>
        <family val="1"/>
        <charset val="204"/>
      </rPr>
      <t>3</t>
    </r>
    <r>
      <rPr>
        <b/>
        <sz val="12"/>
        <color theme="1"/>
        <rFont val="Times New Roman"/>
        <family val="1"/>
        <charset val="204"/>
      </rPr>
      <t>/м</t>
    </r>
    <r>
      <rPr>
        <b/>
        <vertAlign val="superscript"/>
        <sz val="12"/>
        <color theme="1"/>
        <rFont val="Times New Roman"/>
        <family val="1"/>
        <charset val="204"/>
      </rPr>
      <t>3</t>
    </r>
    <r>
      <rPr>
        <b/>
        <sz val="12"/>
        <color theme="1"/>
        <rFont val="Times New Roman"/>
        <family val="1"/>
        <charset val="204"/>
      </rPr>
      <t>, при давлении МПа</t>
    </r>
  </si>
  <si>
    <t>Пропан</t>
  </si>
  <si>
    <t>–</t>
  </si>
  <si>
    <t>Норм. бутан</t>
  </si>
  <si>
    <t>Температура в аппарате</t>
  </si>
  <si>
    <r>
      <t>Т</t>
    </r>
    <r>
      <rPr>
        <vertAlign val="subscript"/>
        <sz val="12"/>
        <color theme="1"/>
        <rFont val="Times New Roman"/>
        <family val="1"/>
        <charset val="204"/>
      </rPr>
      <t>АП</t>
    </r>
  </si>
  <si>
    <r>
      <t>C</t>
    </r>
    <r>
      <rPr>
        <vertAlign val="subscript"/>
        <sz val="12"/>
        <color theme="1"/>
        <rFont val="Times New Roman"/>
        <family val="1"/>
        <charset val="204"/>
      </rPr>
      <t>1</t>
    </r>
  </si>
  <si>
    <r>
      <t>C</t>
    </r>
    <r>
      <rPr>
        <vertAlign val="subscript"/>
        <sz val="12"/>
        <color theme="1"/>
        <rFont val="Times New Roman"/>
        <family val="1"/>
        <charset val="204"/>
      </rPr>
      <t>2</t>
    </r>
  </si>
  <si>
    <r>
      <t>C</t>
    </r>
    <r>
      <rPr>
        <vertAlign val="subscript"/>
        <sz val="12"/>
        <color theme="1"/>
        <rFont val="Times New Roman"/>
        <family val="1"/>
        <charset val="204"/>
      </rPr>
      <t>3</t>
    </r>
  </si>
  <si>
    <t>Таблица 3.3 – Коэффициенты Сеченова для метана, растворенного в водных растворах хлористого натрия.</t>
  </si>
  <si>
    <r>
      <t xml:space="preserve">Температура, </t>
    </r>
    <r>
      <rPr>
        <b/>
        <sz val="12"/>
        <color theme="1"/>
        <rFont val="Symbol"/>
        <family val="1"/>
        <charset val="2"/>
      </rPr>
      <t>°</t>
    </r>
    <r>
      <rPr>
        <b/>
        <sz val="12"/>
        <color theme="1"/>
        <rFont val="Times New Roman"/>
        <family val="1"/>
        <charset val="204"/>
      </rPr>
      <t>С</t>
    </r>
  </si>
  <si>
    <t>Коэффициент Сеченова</t>
  </si>
  <si>
    <r>
      <t>Таблица 3.2 – Растворимость газов при 40</t>
    </r>
    <r>
      <rPr>
        <b/>
        <sz val="12"/>
        <color theme="1"/>
        <rFont val="Symbol"/>
        <family val="1"/>
        <charset val="2"/>
      </rPr>
      <t>°</t>
    </r>
    <r>
      <rPr>
        <b/>
        <sz val="12"/>
        <color theme="1"/>
        <rFont val="Times New Roman"/>
        <family val="1"/>
        <charset val="204"/>
      </rPr>
      <t>С в дистиллированной воде.</t>
    </r>
  </si>
  <si>
    <t>Объем технологических потерь природного газа при дегазации воды</t>
  </si>
  <si>
    <t>тыс.м3</t>
  </si>
  <si>
    <t>Растворимость газа в дистиллированной воде</t>
  </si>
  <si>
    <t>и</t>
  </si>
  <si>
    <t>Методические рекомендации от 04.2018</t>
  </si>
  <si>
    <t>Растворимость газа при различных давлениях</t>
  </si>
  <si>
    <r>
      <t>м</t>
    </r>
    <r>
      <rPr>
        <vertAlign val="superscript"/>
        <sz val="12"/>
        <color indexed="8"/>
        <rFont val="Times New Roman"/>
        <family val="1"/>
        <charset val="204"/>
      </rPr>
      <t>3</t>
    </r>
    <r>
      <rPr>
        <sz val="12"/>
        <color indexed="8"/>
        <rFont val="Times New Roman"/>
        <family val="1"/>
        <charset val="204"/>
      </rPr>
      <t>/год</t>
    </r>
  </si>
  <si>
    <r>
      <t>П</t>
    </r>
    <r>
      <rPr>
        <vertAlign val="subscript"/>
        <sz val="12"/>
        <color theme="1"/>
        <rFont val="Times New Roman"/>
        <family val="1"/>
        <charset val="204"/>
      </rPr>
      <t>г.ж</t>
    </r>
  </si>
  <si>
    <t>Расчёт плотности природного газа</t>
  </si>
  <si>
    <t>Таблица 1 - Исходные данные о составе природного газа</t>
  </si>
  <si>
    <t>Компонент</t>
  </si>
  <si>
    <t>Мольный состав</t>
  </si>
  <si>
    <t>Молекул. масса комп-та</t>
  </si>
  <si>
    <t>Критическое давление компонента</t>
  </si>
  <si>
    <t>Критическая температура компонента</t>
  </si>
  <si>
    <t>Xi</t>
  </si>
  <si>
    <t>Mi</t>
  </si>
  <si>
    <r>
      <t>P</t>
    </r>
    <r>
      <rPr>
        <b/>
        <vertAlign val="subscript"/>
        <sz val="10"/>
        <rFont val="Times New Roman"/>
        <family val="1"/>
        <charset val="204"/>
      </rPr>
      <t>кр</t>
    </r>
    <r>
      <rPr>
        <b/>
        <sz val="10"/>
        <rFont val="Times New Roman"/>
        <family val="1"/>
        <charset val="204"/>
      </rPr>
      <t>i</t>
    </r>
  </si>
  <si>
    <r>
      <t>T</t>
    </r>
    <r>
      <rPr>
        <b/>
        <vertAlign val="subscript"/>
        <sz val="10"/>
        <rFont val="Times New Roman"/>
        <family val="1"/>
        <charset val="204"/>
      </rPr>
      <t>кр</t>
    </r>
    <r>
      <rPr>
        <b/>
        <sz val="10"/>
        <rFont val="Times New Roman"/>
        <family val="1"/>
        <charset val="204"/>
      </rPr>
      <t>i</t>
    </r>
  </si>
  <si>
    <t>%</t>
  </si>
  <si>
    <t>г/моль</t>
  </si>
  <si>
    <t xml:space="preserve">К </t>
  </si>
  <si>
    <r>
      <t>СН</t>
    </r>
    <r>
      <rPr>
        <b/>
        <vertAlign val="subscript"/>
        <sz val="10"/>
        <rFont val="Times New Roman"/>
        <family val="1"/>
        <charset val="204"/>
      </rPr>
      <t>4</t>
    </r>
  </si>
  <si>
    <r>
      <t>С</t>
    </r>
    <r>
      <rPr>
        <b/>
        <vertAlign val="subscript"/>
        <sz val="10"/>
        <rFont val="Times New Roman"/>
        <family val="1"/>
        <charset val="204"/>
      </rPr>
      <t>2</t>
    </r>
    <r>
      <rPr>
        <b/>
        <sz val="10"/>
        <rFont val="Times New Roman"/>
        <family val="1"/>
        <charset val="204"/>
      </rPr>
      <t>Н</t>
    </r>
    <r>
      <rPr>
        <b/>
        <vertAlign val="subscript"/>
        <sz val="10"/>
        <rFont val="Times New Roman"/>
        <family val="1"/>
        <charset val="204"/>
      </rPr>
      <t>6</t>
    </r>
  </si>
  <si>
    <r>
      <t>С</t>
    </r>
    <r>
      <rPr>
        <b/>
        <vertAlign val="subscript"/>
        <sz val="10"/>
        <rFont val="Times New Roman"/>
        <family val="1"/>
        <charset val="204"/>
      </rPr>
      <t>3</t>
    </r>
    <r>
      <rPr>
        <b/>
        <sz val="10"/>
        <rFont val="Times New Roman"/>
        <family val="1"/>
        <charset val="204"/>
      </rPr>
      <t>Н</t>
    </r>
    <r>
      <rPr>
        <b/>
        <vertAlign val="subscript"/>
        <sz val="10"/>
        <rFont val="Times New Roman"/>
        <family val="1"/>
        <charset val="204"/>
      </rPr>
      <t>8</t>
    </r>
  </si>
  <si>
    <r>
      <t>С</t>
    </r>
    <r>
      <rPr>
        <b/>
        <vertAlign val="subscript"/>
        <sz val="10"/>
        <rFont val="Times New Roman"/>
        <family val="1"/>
        <charset val="204"/>
      </rPr>
      <t>4</t>
    </r>
    <r>
      <rPr>
        <b/>
        <sz val="10"/>
        <rFont val="Times New Roman"/>
        <family val="1"/>
        <charset val="204"/>
      </rPr>
      <t>Н</t>
    </r>
    <r>
      <rPr>
        <b/>
        <vertAlign val="subscript"/>
        <sz val="10"/>
        <rFont val="Times New Roman"/>
        <family val="1"/>
        <charset val="204"/>
      </rPr>
      <t>10</t>
    </r>
  </si>
  <si>
    <r>
      <t>С</t>
    </r>
    <r>
      <rPr>
        <b/>
        <vertAlign val="subscript"/>
        <sz val="10"/>
        <rFont val="Times New Roman"/>
        <family val="1"/>
        <charset val="204"/>
      </rPr>
      <t>5</t>
    </r>
    <r>
      <rPr>
        <b/>
        <sz val="10"/>
        <rFont val="Times New Roman"/>
        <family val="1"/>
        <charset val="204"/>
      </rPr>
      <t>Н</t>
    </r>
    <r>
      <rPr>
        <b/>
        <vertAlign val="subscript"/>
        <sz val="10"/>
        <rFont val="Times New Roman"/>
        <family val="1"/>
        <charset val="204"/>
      </rPr>
      <t>12</t>
    </r>
  </si>
  <si>
    <r>
      <t>N</t>
    </r>
    <r>
      <rPr>
        <b/>
        <vertAlign val="subscript"/>
        <sz val="10"/>
        <rFont val="Times New Roman"/>
        <family val="1"/>
        <charset val="204"/>
      </rPr>
      <t>2</t>
    </r>
  </si>
  <si>
    <r>
      <t>СO</t>
    </r>
    <r>
      <rPr>
        <b/>
        <vertAlign val="subscript"/>
        <sz val="10"/>
        <rFont val="Times New Roman"/>
        <family val="1"/>
        <charset val="204"/>
      </rPr>
      <t>2</t>
    </r>
  </si>
  <si>
    <r>
      <t>О</t>
    </r>
    <r>
      <rPr>
        <b/>
        <vertAlign val="subscript"/>
        <sz val="10"/>
        <rFont val="Times New Roman"/>
        <family val="1"/>
        <charset val="204"/>
      </rPr>
      <t>2</t>
    </r>
  </si>
  <si>
    <t>Таблица 1 - Определение молекулярной массы природного газа</t>
  </si>
  <si>
    <t>Номер комп-та</t>
  </si>
  <si>
    <t>Молярный состав газа</t>
  </si>
  <si>
    <r>
      <t>М</t>
    </r>
    <r>
      <rPr>
        <vertAlign val="subscript"/>
        <sz val="12"/>
        <rFont val="Times New Roman"/>
        <family val="1"/>
        <charset val="204"/>
      </rPr>
      <t>i</t>
    </r>
    <r>
      <rPr>
        <sz val="12"/>
        <rFont val="Times New Roman"/>
        <family val="1"/>
        <charset val="204"/>
      </rPr>
      <t>*X</t>
    </r>
    <r>
      <rPr>
        <vertAlign val="subscript"/>
        <sz val="12"/>
        <rFont val="Times New Roman"/>
        <family val="1"/>
        <charset val="204"/>
      </rPr>
      <t>i</t>
    </r>
  </si>
  <si>
    <t>дол.ед.</t>
  </si>
  <si>
    <r>
      <t>CH</t>
    </r>
    <r>
      <rPr>
        <vertAlign val="subscript"/>
        <sz val="10"/>
        <rFont val="Times New Roman"/>
        <family val="1"/>
        <charset val="204"/>
      </rPr>
      <t>4</t>
    </r>
  </si>
  <si>
    <r>
      <t>C</t>
    </r>
    <r>
      <rPr>
        <vertAlign val="sub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>H</t>
    </r>
    <r>
      <rPr>
        <vertAlign val="subscript"/>
        <sz val="10"/>
        <rFont val="Times New Roman"/>
        <family val="1"/>
        <charset val="204"/>
      </rPr>
      <t>6</t>
    </r>
  </si>
  <si>
    <r>
      <t>C</t>
    </r>
    <r>
      <rPr>
        <vertAlign val="subscript"/>
        <sz val="10"/>
        <rFont val="Times New Roman"/>
        <family val="1"/>
        <charset val="204"/>
      </rPr>
      <t>3</t>
    </r>
    <r>
      <rPr>
        <sz val="10"/>
        <rFont val="Times New Roman"/>
        <family val="1"/>
        <charset val="204"/>
      </rPr>
      <t>H</t>
    </r>
    <r>
      <rPr>
        <vertAlign val="subscript"/>
        <sz val="10"/>
        <rFont val="Times New Roman"/>
        <family val="1"/>
        <charset val="204"/>
      </rPr>
      <t>8</t>
    </r>
  </si>
  <si>
    <r>
      <t>C</t>
    </r>
    <r>
      <rPr>
        <vertAlign val="subscript"/>
        <sz val="10"/>
        <rFont val="Times New Roman"/>
        <family val="1"/>
        <charset val="204"/>
      </rPr>
      <t>4</t>
    </r>
    <r>
      <rPr>
        <sz val="10"/>
        <rFont val="Times New Roman"/>
        <family val="1"/>
        <charset val="204"/>
      </rPr>
      <t>H</t>
    </r>
    <r>
      <rPr>
        <vertAlign val="subscript"/>
        <sz val="10"/>
        <rFont val="Times New Roman"/>
        <family val="1"/>
        <charset val="204"/>
      </rPr>
      <t>10</t>
    </r>
  </si>
  <si>
    <r>
      <t>C</t>
    </r>
    <r>
      <rPr>
        <vertAlign val="subscript"/>
        <sz val="10"/>
        <rFont val="Times New Roman"/>
        <family val="1"/>
        <charset val="204"/>
      </rPr>
      <t>5</t>
    </r>
    <r>
      <rPr>
        <sz val="10"/>
        <rFont val="Times New Roman"/>
        <family val="1"/>
        <charset val="204"/>
      </rPr>
      <t>H</t>
    </r>
    <r>
      <rPr>
        <vertAlign val="subscript"/>
        <sz val="10"/>
        <rFont val="Times New Roman"/>
        <family val="1"/>
        <charset val="204"/>
      </rPr>
      <t>12+</t>
    </r>
  </si>
  <si>
    <r>
      <t>N</t>
    </r>
    <r>
      <rPr>
        <vertAlign val="subscript"/>
        <sz val="10"/>
        <rFont val="Times New Roman"/>
        <family val="1"/>
        <charset val="204"/>
      </rPr>
      <t>2</t>
    </r>
  </si>
  <si>
    <r>
      <t>CO</t>
    </r>
    <r>
      <rPr>
        <vertAlign val="subscript"/>
        <sz val="10"/>
        <rFont val="Times New Roman"/>
        <family val="1"/>
        <charset val="204"/>
      </rPr>
      <t>2</t>
    </r>
  </si>
  <si>
    <t>Сумма:</t>
  </si>
  <si>
    <t>Определение плотности природного газа при стандартных условиях</t>
  </si>
  <si>
    <r>
      <rPr>
        <b/>
        <sz val="14"/>
        <rFont val="Symbol"/>
        <family val="1"/>
        <charset val="2"/>
      </rPr>
      <t>r</t>
    </r>
    <r>
      <rPr>
        <b/>
        <vertAlign val="subscript"/>
        <sz val="14"/>
        <rFont val="Times New Roman"/>
        <family val="1"/>
        <charset val="204"/>
      </rPr>
      <t>г.ст.усл</t>
    </r>
    <r>
      <rPr>
        <b/>
        <sz val="14"/>
        <rFont val="Times New Roman"/>
        <family val="1"/>
        <charset val="204"/>
      </rPr>
      <t>=</t>
    </r>
  </si>
  <si>
    <r>
      <t>кг/м</t>
    </r>
    <r>
      <rPr>
        <b/>
        <vertAlign val="superscript"/>
        <sz val="14"/>
        <rFont val="Times New Roman"/>
        <family val="1"/>
        <charset val="204"/>
      </rPr>
      <t>3</t>
    </r>
  </si>
  <si>
    <t>Сумма</t>
  </si>
  <si>
    <r>
      <t>O</t>
    </r>
    <r>
      <rPr>
        <vertAlign val="subscript"/>
        <sz val="10"/>
        <rFont val="Times New Roman"/>
        <family val="1"/>
        <charset val="204"/>
      </rPr>
      <t>2</t>
    </r>
  </si>
  <si>
    <t>Давление регенерации</t>
  </si>
  <si>
    <t>Температура регенерации</t>
  </si>
  <si>
    <r>
      <t>Т</t>
    </r>
    <r>
      <rPr>
        <vertAlign val="subscript"/>
        <sz val="12"/>
        <color theme="1"/>
        <rFont val="Times New Roman"/>
        <family val="1"/>
        <charset val="204"/>
      </rPr>
      <t>рег</t>
    </r>
  </si>
  <si>
    <r>
      <t>Р</t>
    </r>
    <r>
      <rPr>
        <vertAlign val="subscript"/>
        <sz val="12"/>
        <color theme="1"/>
        <rFont val="Times New Roman"/>
        <family val="1"/>
        <charset val="204"/>
      </rPr>
      <t>рег</t>
    </r>
  </si>
  <si>
    <t>Коэффициент А в формуле (4.6) МР</t>
  </si>
  <si>
    <t>А</t>
  </si>
  <si>
    <t>Концентрация тех.жидкости</t>
  </si>
  <si>
    <t>С</t>
  </si>
  <si>
    <t>%, масс.</t>
  </si>
  <si>
    <t>Объем технологических потерь природного газа при регенерации тех.жидкостей</t>
  </si>
  <si>
    <r>
      <t>П</t>
    </r>
    <r>
      <rPr>
        <vertAlign val="subscript"/>
        <sz val="12"/>
        <color theme="1"/>
        <rFont val="Times New Roman"/>
        <family val="1"/>
        <charset val="204"/>
      </rPr>
      <t>г.р.ж</t>
    </r>
  </si>
  <si>
    <t>Методические рекомендации от 04.2019 (Растворимость ДЭГ)</t>
  </si>
  <si>
    <t>Методические рекомендации от 04.2018 (Коэффициент А)</t>
  </si>
  <si>
    <t>Методические рекомендации от 04.2018 (Растворимость газа в воде)</t>
  </si>
  <si>
    <t>Методические рекомендации от 04.2018 (Растворимость газа при Р)</t>
  </si>
  <si>
    <t>Методические рекомендации от 04.2018 (Коэффициент Сеченова)</t>
  </si>
  <si>
    <t>Потери при опорожнении аппаратов</t>
  </si>
  <si>
    <t>Потери при отборе проб</t>
  </si>
  <si>
    <t>Потери при ГДИ и ГКИ</t>
  </si>
  <si>
    <t>Потери при опорожнении трубопроводов</t>
  </si>
  <si>
    <t>Потери при дегазации жидкостей</t>
  </si>
  <si>
    <t>Потери при вводе хим.реагентов</t>
  </si>
  <si>
    <t>Потери при проверке ППК</t>
  </si>
  <si>
    <t>Потери при уносе с жидкостью</t>
  </si>
  <si>
    <r>
      <t>Потери природного газа по видам потерь, тыс.м</t>
    </r>
    <r>
      <rPr>
        <b/>
        <vertAlign val="superscript"/>
        <sz val="14"/>
        <color theme="1"/>
        <rFont val="Times New Roman"/>
        <family val="1"/>
        <charset val="204"/>
      </rPr>
      <t>3</t>
    </r>
  </si>
  <si>
    <r>
      <t>Общие потери природного газа, млн.м</t>
    </r>
    <r>
      <rPr>
        <b/>
        <vertAlign val="superscript"/>
        <sz val="14"/>
        <color theme="1"/>
        <rFont val="Times New Roman"/>
        <family val="1"/>
        <charset val="204"/>
      </rPr>
      <t>3</t>
    </r>
  </si>
  <si>
    <r>
      <t>Добыча природного газа, млн.м</t>
    </r>
    <r>
      <rPr>
        <b/>
        <vertAlign val="superscript"/>
        <sz val="14"/>
        <color theme="1"/>
        <rFont val="Times New Roman"/>
        <family val="1"/>
        <charset val="204"/>
      </rPr>
      <t>3</t>
    </r>
  </si>
  <si>
    <r>
      <t>П</t>
    </r>
    <r>
      <rPr>
        <vertAlign val="subscript"/>
        <sz val="14"/>
        <color theme="1"/>
        <rFont val="Calibri"/>
        <family val="2"/>
        <charset val="204"/>
        <scheme val="minor"/>
      </rPr>
      <t>ГДИ+ГКИ</t>
    </r>
  </si>
  <si>
    <r>
      <t>П</t>
    </r>
    <r>
      <rPr>
        <vertAlign val="subscript"/>
        <sz val="12"/>
        <color theme="1"/>
        <rFont val="Times New Roman"/>
        <family val="1"/>
        <charset val="204"/>
      </rPr>
      <t>Г.</t>
    </r>
    <r>
      <rPr>
        <vertAlign val="subscript"/>
        <sz val="14"/>
        <color theme="1"/>
        <rFont val="Calibri"/>
        <family val="2"/>
        <charset val="204"/>
        <scheme val="minor"/>
      </rPr>
      <t>ОП</t>
    </r>
  </si>
  <si>
    <r>
      <t>П</t>
    </r>
    <r>
      <rPr>
        <vertAlign val="subscript"/>
        <sz val="12"/>
        <color theme="1"/>
        <rFont val="Times New Roman"/>
        <family val="1"/>
        <charset val="204"/>
      </rPr>
      <t>г.д.в</t>
    </r>
  </si>
  <si>
    <r>
      <t>П</t>
    </r>
    <r>
      <rPr>
        <vertAlign val="subscript"/>
        <sz val="11"/>
        <color theme="1"/>
        <rFont val="Calibri"/>
        <family val="2"/>
        <charset val="204"/>
        <scheme val="minor"/>
      </rPr>
      <t>г.д</t>
    </r>
  </si>
  <si>
    <r>
      <t>П</t>
    </r>
    <r>
      <rPr>
        <vertAlign val="subscript"/>
        <sz val="11"/>
        <color theme="1"/>
        <rFont val="Calibri"/>
        <family val="2"/>
        <charset val="204"/>
        <scheme val="minor"/>
      </rPr>
      <t>г.х</t>
    </r>
  </si>
  <si>
    <t>Объем технологических потерь природного газа при вводе хим.реагентов</t>
  </si>
  <si>
    <r>
      <t>П</t>
    </r>
    <r>
      <rPr>
        <vertAlign val="subscript"/>
        <sz val="11"/>
        <color theme="1"/>
        <rFont val="Calibri"/>
        <family val="2"/>
        <charset val="204"/>
        <scheme val="minor"/>
      </rPr>
      <t>г.пр</t>
    </r>
  </si>
  <si>
    <t>Объем технологических потерь природного газа при отборе проб</t>
  </si>
  <si>
    <r>
      <t>П</t>
    </r>
    <r>
      <rPr>
        <vertAlign val="subscript"/>
        <sz val="11"/>
        <color theme="1"/>
        <rFont val="Calibri"/>
        <family val="2"/>
        <charset val="204"/>
        <scheme val="minor"/>
      </rPr>
      <t>г.п.к</t>
    </r>
  </si>
  <si>
    <t>Объем технологических потерь природного газа при проверке ПК</t>
  </si>
  <si>
    <t>Объем технологических потерь природного газа при уносе с водой</t>
  </si>
  <si>
    <t>4.6 Технологические потери природного газа при обслуживании предохранительных клапанов</t>
  </si>
  <si>
    <r>
      <t>П</t>
    </r>
    <r>
      <rPr>
        <vertAlign val="subscript"/>
        <sz val="11"/>
        <color theme="1"/>
        <rFont val="Calibri"/>
        <family val="2"/>
        <charset val="204"/>
        <scheme val="minor"/>
      </rPr>
      <t>г.ж</t>
    </r>
  </si>
  <si>
    <r>
      <t>П</t>
    </r>
    <r>
      <rPr>
        <b/>
        <vertAlign val="subscript"/>
        <sz val="14"/>
        <color theme="1"/>
        <rFont val="Times New Roman"/>
        <family val="1"/>
        <charset val="204"/>
      </rPr>
      <t>г.общ</t>
    </r>
  </si>
  <si>
    <t>4.5 Технологические потери природного газа при отборе проб</t>
  </si>
  <si>
    <t>4.4 Технологические потери природного газа при вводе в скважины, трубопроводы и технологические линии химических реагентов</t>
  </si>
  <si>
    <t>4.3 Технологические потери природного газа при дегазации или регенерации жидкостей</t>
  </si>
  <si>
    <t>4.3.1 Технологические потери природного газа при дегазации и выветривании пластовой и конденсационной воды</t>
  </si>
  <si>
    <t>4.3.2 Технологические потери природного газа при регенерации технических жидкостей</t>
  </si>
  <si>
    <r>
      <t>Q</t>
    </r>
    <r>
      <rPr>
        <b/>
        <vertAlign val="subscript"/>
        <sz val="16"/>
        <color theme="1"/>
        <rFont val="Times New Roman"/>
        <family val="1"/>
        <charset val="204"/>
      </rPr>
      <t>г</t>
    </r>
  </si>
  <si>
    <t>или</t>
  </si>
  <si>
    <t>ОТСУТСТВУЕТ</t>
  </si>
  <si>
    <t>ПОТОЧНЫЕ ПРИБОРЫ ОТСУТСТВУЮТ</t>
  </si>
  <si>
    <t xml:space="preserve">где, </t>
  </si>
  <si>
    <r>
      <t>V</t>
    </r>
    <r>
      <rPr>
        <vertAlign val="subscript"/>
        <sz val="14"/>
        <color theme="1"/>
        <rFont val="Times New Roman"/>
        <family val="1"/>
        <charset val="204"/>
      </rPr>
      <t>пр</t>
    </r>
    <r>
      <rPr>
        <sz val="14"/>
        <color theme="1"/>
        <rFont val="Times New Roman"/>
        <family val="1"/>
        <charset val="204"/>
      </rPr>
      <t xml:space="preserve"> – геометрический объем пробоотборника, м</t>
    </r>
    <r>
      <rPr>
        <vertAlign val="super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 xml:space="preserve">; </t>
    </r>
  </si>
  <si>
    <r>
      <t>Р</t>
    </r>
    <r>
      <rPr>
        <vertAlign val="subscript"/>
        <sz val="14"/>
        <color theme="1"/>
        <rFont val="Times New Roman"/>
        <family val="1"/>
        <charset val="204"/>
      </rPr>
      <t>пр</t>
    </r>
    <r>
      <rPr>
        <sz val="14"/>
        <color theme="1"/>
        <rFont val="Times New Roman"/>
        <family val="1"/>
        <charset val="204"/>
      </rPr>
      <t xml:space="preserve"> – давление в пробоотборнике, МПа; </t>
    </r>
  </si>
  <si>
    <r>
      <t>Т</t>
    </r>
    <r>
      <rPr>
        <vertAlign val="subscript"/>
        <sz val="14"/>
        <color theme="1"/>
        <rFont val="Times New Roman"/>
        <family val="1"/>
        <charset val="204"/>
      </rPr>
      <t>пр</t>
    </r>
    <r>
      <rPr>
        <sz val="14"/>
        <color theme="1"/>
        <rFont val="Times New Roman"/>
        <family val="1"/>
        <charset val="204"/>
      </rPr>
      <t xml:space="preserve"> – температура в пробоотборнике, К; </t>
    </r>
  </si>
  <si>
    <r>
      <t>Z</t>
    </r>
    <r>
      <rPr>
        <vertAlign val="subscript"/>
        <sz val="14"/>
        <color theme="1"/>
        <rFont val="Times New Roman"/>
        <family val="1"/>
        <charset val="204"/>
      </rPr>
      <t>пр</t>
    </r>
    <r>
      <rPr>
        <sz val="14"/>
        <color theme="1"/>
        <rFont val="Times New Roman"/>
        <family val="1"/>
        <charset val="204"/>
      </rPr>
      <t xml:space="preserve"> – коэффициент сжимаемости при Р</t>
    </r>
    <r>
      <rPr>
        <vertAlign val="subscript"/>
        <sz val="14"/>
        <color theme="1"/>
        <rFont val="Times New Roman"/>
        <family val="1"/>
        <charset val="204"/>
      </rPr>
      <t>пр</t>
    </r>
    <r>
      <rPr>
        <sz val="14"/>
        <color theme="1"/>
        <rFont val="Times New Roman"/>
        <family val="1"/>
        <charset val="204"/>
      </rPr>
      <t xml:space="preserve"> и Т</t>
    </r>
    <r>
      <rPr>
        <vertAlign val="subscript"/>
        <sz val="14"/>
        <color theme="1"/>
        <rFont val="Times New Roman"/>
        <family val="1"/>
        <charset val="204"/>
      </rPr>
      <t>пр</t>
    </r>
    <r>
      <rPr>
        <sz val="14"/>
        <color theme="1"/>
        <rFont val="Times New Roman"/>
        <family val="1"/>
        <charset val="204"/>
      </rPr>
      <t xml:space="preserve"> соответственно; </t>
    </r>
  </si>
  <si>
    <t xml:space="preserve">b – кратность продувки, т.е. отношение объема (при условии отбора) газа, выпущенного в атмосферу при продувке линии и пробоотборника, к объему пробоотборника (кратность продувки при отборе проб газа принимают равной b=30); </t>
  </si>
  <si>
    <r>
      <t>n</t>
    </r>
    <r>
      <rPr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 xml:space="preserve"> – количество анализов i-ого вида в расчетном периоде согласно графику аналитического контроля.</t>
    </r>
  </si>
  <si>
    <t>Природный газ</t>
  </si>
  <si>
    <r>
      <t>Добыча природного газа, млн.м</t>
    </r>
    <r>
      <rPr>
        <b/>
        <vertAlign val="superscript"/>
        <sz val="14"/>
        <color theme="1"/>
        <rFont val="Times New Roman"/>
        <family val="1"/>
        <charset val="204"/>
      </rPr>
      <t>3</t>
    </r>
    <r>
      <rPr>
        <b/>
        <sz val="14"/>
        <color theme="1"/>
        <rFont val="Times New Roman"/>
        <family val="1"/>
        <charset val="204"/>
      </rPr>
      <t xml:space="preserve"> (из протокола ЦКР)</t>
    </r>
  </si>
  <si>
    <t>4.2.1 Трубопроводы, шлейфы, коллектора</t>
  </si>
  <si>
    <t>4.1 Технологические потери природного газа и конденсата при проведении газогидродинамических или газоконденсатных исследований</t>
  </si>
  <si>
    <t>4.1.1 Технологические потери природного газа и конденсата при первичных ГДИ и ГКИ скважин</t>
  </si>
  <si>
    <t>4.1.2 Технологические потери природного газа и конденсата при текущих ГДИ и ГКИ скважин</t>
  </si>
  <si>
    <t>4.7 Технологические потери природного газа и конденсата при уносе с жидкостью</t>
  </si>
  <si>
    <r>
      <t>q</t>
    </r>
    <r>
      <rPr>
        <vertAlign val="subscript"/>
        <sz val="12"/>
        <color indexed="8"/>
        <rFont val="Times New Roman"/>
        <family val="1"/>
        <charset val="204"/>
      </rPr>
      <t>ж</t>
    </r>
  </si>
  <si>
    <t>4.2 Технологические потери природного газа и конденсата при опороженении технологического оборудования и трубопроводов перед проведением ремонтных работ</t>
  </si>
  <si>
    <r>
      <t>nC</t>
    </r>
    <r>
      <rPr>
        <vertAlign val="subscript"/>
        <sz val="12"/>
        <color theme="1"/>
        <rFont val="Times New Roman"/>
        <family val="1"/>
        <charset val="204"/>
      </rPr>
      <t>4</t>
    </r>
  </si>
  <si>
    <t>Программа исследовательских работ (Протокол ЦКР)</t>
  </si>
  <si>
    <r>
      <t>тыс.м</t>
    </r>
    <r>
      <rPr>
        <b/>
        <vertAlign val="superscript"/>
        <sz val="12"/>
        <color theme="1"/>
        <rFont val="Times New Roman"/>
        <family val="1"/>
        <charset val="204"/>
      </rPr>
      <t>3</t>
    </r>
  </si>
  <si>
    <r>
      <t>млн.м</t>
    </r>
    <r>
      <rPr>
        <b/>
        <vertAlign val="superscript"/>
        <sz val="12"/>
        <color theme="1"/>
        <rFont val="Times New Roman"/>
        <family val="1"/>
        <charset val="204"/>
      </rPr>
      <t>3</t>
    </r>
  </si>
  <si>
    <t>Трубопроводы сырого газа от кустов скважин</t>
  </si>
  <si>
    <t>ИТОГО ПО ОПОРОЖНЕНИЮ ШЛЕЙФОВ И КОЛЛЕКТОРОВ</t>
  </si>
  <si>
    <t>Толщина стенки</t>
  </si>
  <si>
    <t>мм</t>
  </si>
  <si>
    <r>
      <t>d</t>
    </r>
    <r>
      <rPr>
        <b/>
        <vertAlign val="subscript"/>
        <sz val="12"/>
        <color theme="1"/>
        <rFont val="Times New Roman"/>
        <family val="1"/>
        <charset val="204"/>
      </rPr>
      <t>вн</t>
    </r>
    <r>
      <rPr>
        <b/>
        <sz val="12"/>
        <color theme="1"/>
        <rFont val="Times New Roman"/>
        <family val="1"/>
        <charset val="204"/>
      </rPr>
      <t>, мм</t>
    </r>
  </si>
  <si>
    <t>Технологический регламент СПТ - Вкладка - Остановка СПТ</t>
  </si>
  <si>
    <t>СПТ (газопроводы-шлейфы)</t>
  </si>
  <si>
    <t>ИТОГО ПО ОПОРОЖНЕНИЮ ОБОРУДОВАНИЯ И АППАРАТОВ</t>
  </si>
  <si>
    <t>4.2.2 Оборудование, аппараты и тех.линии УКПГ</t>
  </si>
  <si>
    <r>
      <rPr>
        <vertAlign val="superscript"/>
        <sz val="12"/>
        <color theme="1"/>
        <rFont val="Times New Roman"/>
        <family val="1"/>
        <charset val="204"/>
      </rPr>
      <t>0</t>
    </r>
    <r>
      <rPr>
        <sz val="12"/>
        <color theme="1"/>
        <rFont val="Times New Roman"/>
        <family val="1"/>
        <charset val="204"/>
      </rPr>
      <t>С</t>
    </r>
  </si>
  <si>
    <r>
      <t>F</t>
    </r>
    <r>
      <rPr>
        <vertAlign val="subscript"/>
        <sz val="14"/>
        <color theme="1"/>
        <rFont val="Times New Roman"/>
        <family val="1"/>
        <charset val="204"/>
      </rPr>
      <t>кл</t>
    </r>
    <r>
      <rPr>
        <sz val="14"/>
        <color theme="1"/>
        <rFont val="Times New Roman"/>
        <family val="1"/>
        <charset val="204"/>
      </rPr>
      <t xml:space="preserve"> – площадь сечения клапана, м</t>
    </r>
    <r>
      <rPr>
        <vertAlign val="super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 xml:space="preserve">; </t>
    </r>
  </si>
  <si>
    <r>
      <t>К</t>
    </r>
    <r>
      <rPr>
        <vertAlign val="subscript"/>
        <sz val="14"/>
        <color theme="1"/>
        <rFont val="Times New Roman"/>
        <family val="1"/>
        <charset val="204"/>
      </rPr>
      <t>кл</t>
    </r>
    <r>
      <rPr>
        <sz val="14"/>
        <color theme="1"/>
        <rFont val="Times New Roman"/>
        <family val="1"/>
        <charset val="204"/>
      </rPr>
      <t xml:space="preserve"> – коэффициент расхода газа клапаном, определяемый по паспортным данным; </t>
    </r>
  </si>
  <si>
    <t xml:space="preserve">Р – рабочее давление газа в аппарате, МПа; </t>
  </si>
  <si>
    <t xml:space="preserve">Т – рабочая температура газа в аппарате, К; </t>
  </si>
  <si>
    <t xml:space="preserve">Z – коэффициент сжимаемости газа при Р и Т соответственно; </t>
  </si>
  <si>
    <r>
      <t>τ</t>
    </r>
    <r>
      <rPr>
        <vertAlign val="subscript"/>
        <sz val="14"/>
        <color theme="1"/>
        <rFont val="Times New Roman"/>
        <family val="1"/>
        <charset val="204"/>
      </rPr>
      <t>кл</t>
    </r>
    <r>
      <rPr>
        <sz val="14"/>
        <color theme="1"/>
        <rFont val="Times New Roman"/>
        <family val="1"/>
        <charset val="204"/>
      </rPr>
      <t xml:space="preserve"> – время срабатывания предохранительного клапана, мин; </t>
    </r>
  </si>
  <si>
    <t>n – количество проверок предохранительного клапана в расчётном периоде.</t>
  </si>
  <si>
    <t xml:space="preserve">         – мольная доля добываемой продукции в выпускаемом газе; </t>
  </si>
  <si>
    <t>Технологический регламент СПТ - Вкладка - Таблица 11.1</t>
  </si>
  <si>
    <t>(4.12)</t>
  </si>
  <si>
    <r>
      <t>V</t>
    </r>
    <r>
      <rPr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 xml:space="preserve"> – геометрическая емкость i-го устройства ввода хим.реагентов, м</t>
    </r>
    <r>
      <rPr>
        <vertAlign val="super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 xml:space="preserve">; </t>
    </r>
  </si>
  <si>
    <r>
      <t>Р</t>
    </r>
    <r>
      <rPr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 xml:space="preserve"> – рабочее давление, МПа; </t>
    </r>
  </si>
  <si>
    <r>
      <t>Т</t>
    </r>
    <r>
      <rPr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 xml:space="preserve"> – температура природного газа в устройстве, К; </t>
    </r>
  </si>
  <si>
    <r>
      <t>Z</t>
    </r>
    <r>
      <rPr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 xml:space="preserve"> – коэффициент сверхсжимаемости газа при Р</t>
    </r>
    <r>
      <rPr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 xml:space="preserve"> и Т</t>
    </r>
    <r>
      <rPr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 xml:space="preserve"> соответственно;</t>
    </r>
  </si>
  <si>
    <r>
      <t>N</t>
    </r>
    <r>
      <rPr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 xml:space="preserve"> – количество заправок i-го устройства; </t>
    </r>
  </si>
  <si>
    <t>n – количество устройств.</t>
  </si>
  <si>
    <t xml:space="preserve">             – мольная доля добываемой продукции в пластовом газе; </t>
  </si>
  <si>
    <t>паспорт установки подачи ингибитора</t>
  </si>
  <si>
    <t>Потери природного газа по видам потерь, тыс.тонн</t>
  </si>
  <si>
    <t>тонн</t>
  </si>
  <si>
    <t>тыс.тонн</t>
  </si>
  <si>
    <t>Содержание конденсата при ГДИ и ГКИ</t>
  </si>
  <si>
    <r>
      <t>g</t>
    </r>
    <r>
      <rPr>
        <vertAlign val="subscript"/>
        <sz val="12"/>
        <color theme="1"/>
        <rFont val="Times New Roman"/>
        <family val="1"/>
        <charset val="204"/>
      </rPr>
      <t>к.прод</t>
    </r>
  </si>
  <si>
    <t>Потери газового конденсата</t>
  </si>
  <si>
    <r>
      <t>П</t>
    </r>
    <r>
      <rPr>
        <vertAlign val="subscript"/>
        <sz val="12"/>
        <color theme="1"/>
        <rFont val="Times New Roman"/>
        <family val="1"/>
        <charset val="204"/>
      </rPr>
      <t>к.иссл</t>
    </r>
  </si>
  <si>
    <t xml:space="preserve">тыс.тонн </t>
  </si>
  <si>
    <t>моли</t>
  </si>
  <si>
    <t>УКПГ ГУ-4</t>
  </si>
  <si>
    <t>Технологические трубопроводы</t>
  </si>
  <si>
    <t>Содержание конденсата в природном газе</t>
  </si>
  <si>
    <r>
      <t>g</t>
    </r>
    <r>
      <rPr>
        <b/>
        <vertAlign val="subscript"/>
        <sz val="12"/>
        <color theme="1"/>
        <rFont val="Times New Roman"/>
        <family val="1"/>
        <charset val="204"/>
      </rPr>
      <t>к.прод</t>
    </r>
    <r>
      <rPr>
        <b/>
        <sz val="12"/>
        <color theme="1"/>
        <rFont val="Times New Roman"/>
        <family val="1"/>
        <charset val="204"/>
      </rPr>
      <t>, г/м</t>
    </r>
    <r>
      <rPr>
        <b/>
        <vertAlign val="superscript"/>
        <sz val="12"/>
        <color theme="1"/>
        <rFont val="Times New Roman"/>
        <family val="1"/>
        <charset val="204"/>
      </rPr>
      <t>3</t>
    </r>
  </si>
  <si>
    <r>
      <t>П</t>
    </r>
    <r>
      <rPr>
        <b/>
        <vertAlign val="subscript"/>
        <sz val="12"/>
        <color theme="1"/>
        <rFont val="Times New Roman"/>
        <family val="1"/>
        <charset val="204"/>
      </rPr>
      <t>к.оп</t>
    </r>
    <r>
      <rPr>
        <b/>
        <sz val="12"/>
        <color theme="1"/>
        <rFont val="Times New Roman"/>
        <family val="1"/>
        <charset val="204"/>
      </rPr>
      <t>, тыс.тонн</t>
    </r>
  </si>
  <si>
    <t>5.3 Технологические потери газового конденсата при отборе проб</t>
  </si>
  <si>
    <t>Газовый конденсат</t>
  </si>
  <si>
    <t>Паспорт пробоотборника</t>
  </si>
  <si>
    <r>
      <t>Плотность жидкости при Р</t>
    </r>
    <r>
      <rPr>
        <b/>
        <vertAlign val="subscript"/>
        <sz val="12"/>
        <color indexed="8"/>
        <rFont val="Times New Roman"/>
        <family val="1"/>
        <charset val="204"/>
      </rPr>
      <t xml:space="preserve">пр </t>
    </r>
    <r>
      <rPr>
        <b/>
        <sz val="12"/>
        <color indexed="8"/>
        <rFont val="Times New Roman"/>
        <family val="1"/>
        <charset val="204"/>
      </rPr>
      <t>и Т</t>
    </r>
    <r>
      <rPr>
        <b/>
        <vertAlign val="subscript"/>
        <sz val="12"/>
        <color indexed="8"/>
        <rFont val="Times New Roman"/>
        <family val="1"/>
        <charset val="204"/>
      </rPr>
      <t xml:space="preserve">пр </t>
    </r>
  </si>
  <si>
    <r>
      <t>кг/м</t>
    </r>
    <r>
      <rPr>
        <vertAlign val="superscript"/>
        <sz val="12"/>
        <color theme="1"/>
        <rFont val="Times New Roman"/>
        <family val="1"/>
        <charset val="204"/>
      </rPr>
      <t>3</t>
    </r>
  </si>
  <si>
    <t>Объем технологических потерь газового конденсата при отборе проб</t>
  </si>
  <si>
    <r>
      <t>П</t>
    </r>
    <r>
      <rPr>
        <vertAlign val="subscript"/>
        <sz val="11"/>
        <color theme="1"/>
        <rFont val="Calibri"/>
        <family val="2"/>
        <charset val="204"/>
        <scheme val="minor"/>
      </rPr>
      <t>г.о.п</t>
    </r>
  </si>
  <si>
    <r>
      <t>V</t>
    </r>
    <r>
      <rPr>
        <vertAlign val="subscript"/>
        <sz val="14"/>
        <color theme="1"/>
        <rFont val="Times New Roman"/>
        <family val="1"/>
        <charset val="204"/>
      </rPr>
      <t>пр</t>
    </r>
    <r>
      <rPr>
        <sz val="14"/>
        <color theme="1"/>
        <rFont val="Times New Roman"/>
        <family val="1"/>
        <charset val="204"/>
      </rPr>
      <t xml:space="preserve"> – геометрический объём пробоотборника, м</t>
    </r>
    <r>
      <rPr>
        <vertAlign val="super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 xml:space="preserve">; </t>
    </r>
  </si>
  <si>
    <r>
      <t>ρ</t>
    </r>
    <r>
      <rPr>
        <vertAlign val="subscript"/>
        <sz val="14"/>
        <color theme="1"/>
        <rFont val="Times New Roman"/>
        <family val="1"/>
        <charset val="204"/>
      </rPr>
      <t>ж</t>
    </r>
    <r>
      <rPr>
        <sz val="14"/>
        <color theme="1"/>
        <rFont val="Times New Roman"/>
        <family val="1"/>
        <charset val="204"/>
      </rPr>
      <t xml:space="preserve"> – плотность жидкости при рабочих условиях, кг/м</t>
    </r>
    <r>
      <rPr>
        <vertAlign val="super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 xml:space="preserve">; </t>
    </r>
  </si>
  <si>
    <r>
      <t>n</t>
    </r>
    <r>
      <rPr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 xml:space="preserve"> – количество анализов i-го вида в расчетном периоде согласно графику аналитического контроля; </t>
    </r>
  </si>
  <si>
    <r>
      <t>X</t>
    </r>
    <r>
      <rPr>
        <vertAlign val="subscript"/>
        <sz val="14"/>
        <color theme="1"/>
        <rFont val="Times New Roman"/>
        <family val="1"/>
        <charset val="204"/>
      </rPr>
      <t>к.прод</t>
    </r>
    <r>
      <rPr>
        <sz val="14"/>
        <color theme="1"/>
        <rFont val="Times New Roman"/>
        <family val="1"/>
        <charset val="204"/>
      </rPr>
      <t xml:space="preserve"> – мольная доля добываемой продукции в пробе газоконденсатной смеси, дол.ед.; </t>
    </r>
  </si>
  <si>
    <t>b – кратность продувки (при отборе проб жидкости принимают равной 3).</t>
  </si>
  <si>
    <t>Проектный документ (Таблица 2.7)</t>
  </si>
  <si>
    <t>Объем технологических потерь газового конденсата при уносе с водой</t>
  </si>
  <si>
    <r>
      <t>П</t>
    </r>
    <r>
      <rPr>
        <vertAlign val="subscript"/>
        <sz val="12"/>
        <color theme="1"/>
        <rFont val="Times New Roman"/>
        <family val="1"/>
        <charset val="204"/>
      </rPr>
      <t>к.ж</t>
    </r>
  </si>
  <si>
    <t>Содержание конденсата в сбрасываемой воде</t>
  </si>
  <si>
    <t>мг/л</t>
  </si>
  <si>
    <t>Объем технологических потерь газового конденсата при проверке ПК</t>
  </si>
  <si>
    <t>Содержание конденсата при проверке ПК</t>
  </si>
  <si>
    <t>Потери при проверке ПК</t>
  </si>
  <si>
    <t>Общие потери газового конденсата, тыс.тонн</t>
  </si>
  <si>
    <t>Добыча газового конденсата, тыс.тонн</t>
  </si>
  <si>
    <t>Добыча газового конденсата, тыс.тонн (из протокола ЦКР)</t>
  </si>
  <si>
    <r>
      <t>Q</t>
    </r>
    <r>
      <rPr>
        <b/>
        <vertAlign val="subscript"/>
        <sz val="16"/>
        <color theme="1"/>
        <rFont val="Times New Roman"/>
        <family val="1"/>
        <charset val="204"/>
      </rPr>
      <t>к</t>
    </r>
  </si>
  <si>
    <t>Восточно-Прибрежное</t>
  </si>
  <si>
    <t>Протокол ЦКР</t>
  </si>
  <si>
    <t>Газопровод-шлейф от скважины №1 до УПШС №1</t>
  </si>
  <si>
    <t>Газопровод-шлейф от скважины №2 до УПШС №11</t>
  </si>
  <si>
    <t>Газопровод-шлейф от скважины №3 до УПШС №1</t>
  </si>
  <si>
    <t>Газопровод-шлейф от скважины №4 до УПШС №10</t>
  </si>
  <si>
    <t>Газопровод-шлейф от скважины №5 БИС до УПГ-500</t>
  </si>
  <si>
    <t xml:space="preserve">Газопровод-шлейф от скважины №11 до УПШС №11 </t>
  </si>
  <si>
    <t>Газопровод-шлейф от скважины №20 до УПШС №3</t>
  </si>
  <si>
    <t>Обвязка устья скважины №11</t>
  </si>
  <si>
    <t>Обвязка устья скважины №21</t>
  </si>
  <si>
    <t>скважины в бездействующем фонде (или ликвидированы)</t>
  </si>
  <si>
    <t>поступает готовая продукция (газ горючий природный)</t>
  </si>
  <si>
    <t>Газосепаратор С-1/1, С-1/2, С-1/3, С-2/1, С-2/2</t>
  </si>
  <si>
    <t>Газосепаратор С-3</t>
  </si>
  <si>
    <t>Технологический регламент УКПГ</t>
  </si>
  <si>
    <t>Таблица 2.17 – Расчет состава пластового газа и содержания конденсата скважины № 20Пр (СеверНИПИгаз, г.Ухта)</t>
  </si>
  <si>
    <t>Газ сепарации</t>
  </si>
  <si>
    <t>Газ дегазации</t>
  </si>
  <si>
    <t>ДГК</t>
  </si>
  <si>
    <t>Сырой конденсат</t>
  </si>
  <si>
    <t>Пластовый газ</t>
  </si>
  <si>
    <t>мол.%</t>
  </si>
  <si>
    <t>мас.%</t>
  </si>
  <si>
    <t>Содержание</t>
  </si>
  <si>
    <t>компонентов</t>
  </si>
  <si>
    <r>
      <t>на 1 м</t>
    </r>
    <r>
      <rPr>
        <vertAlign val="superscript"/>
        <sz val="10.5"/>
        <color rgb="FF000000"/>
        <rFont val="Times New Roman"/>
        <family val="1"/>
        <charset val="204"/>
      </rPr>
      <t>3</t>
    </r>
    <r>
      <rPr>
        <sz val="10.5"/>
        <color rgb="FF000000"/>
        <rFont val="Times New Roman"/>
        <family val="1"/>
        <charset val="204"/>
      </rPr>
      <t xml:space="preserve"> газа, </t>
    </r>
  </si>
  <si>
    <r>
      <t>г/м</t>
    </r>
    <r>
      <rPr>
        <vertAlign val="superscript"/>
        <sz val="10.5"/>
        <color rgb="FF000000"/>
        <rFont val="Times New Roman"/>
        <family val="1"/>
        <charset val="204"/>
      </rPr>
      <t>3</t>
    </r>
  </si>
  <si>
    <t>пластового</t>
  </si>
  <si>
    <t>«сухого»</t>
  </si>
  <si>
    <r>
      <t>СН</t>
    </r>
    <r>
      <rPr>
        <vertAlign val="subscript"/>
        <sz val="10.5"/>
        <color rgb="FF000000"/>
        <rFont val="Times New Roman"/>
        <family val="1"/>
        <charset val="204"/>
      </rPr>
      <t>4</t>
    </r>
  </si>
  <si>
    <r>
      <t>С</t>
    </r>
    <r>
      <rPr>
        <vertAlign val="subscript"/>
        <sz val="10.5"/>
        <color rgb="FF000000"/>
        <rFont val="Times New Roman"/>
        <family val="1"/>
        <charset val="204"/>
      </rPr>
      <t>2</t>
    </r>
    <r>
      <rPr>
        <sz val="10.5"/>
        <color rgb="FF000000"/>
        <rFont val="Times New Roman"/>
        <family val="1"/>
        <charset val="204"/>
      </rPr>
      <t>Н</t>
    </r>
    <r>
      <rPr>
        <vertAlign val="subscript"/>
        <sz val="10.5"/>
        <color rgb="FF000000"/>
        <rFont val="Times New Roman"/>
        <family val="1"/>
        <charset val="204"/>
      </rPr>
      <t>6</t>
    </r>
  </si>
  <si>
    <r>
      <t>С</t>
    </r>
    <r>
      <rPr>
        <vertAlign val="subscript"/>
        <sz val="10.5"/>
        <color rgb="FF000000"/>
        <rFont val="Times New Roman"/>
        <family val="1"/>
        <charset val="204"/>
      </rPr>
      <t>3</t>
    </r>
    <r>
      <rPr>
        <sz val="10.5"/>
        <color rgb="FF000000"/>
        <rFont val="Times New Roman"/>
        <family val="1"/>
        <charset val="204"/>
      </rPr>
      <t>Н</t>
    </r>
    <r>
      <rPr>
        <vertAlign val="subscript"/>
        <sz val="10.5"/>
        <color rgb="FF000000"/>
        <rFont val="Times New Roman"/>
        <family val="1"/>
        <charset val="204"/>
      </rPr>
      <t>8</t>
    </r>
  </si>
  <si>
    <r>
      <t>i-С</t>
    </r>
    <r>
      <rPr>
        <vertAlign val="subscript"/>
        <sz val="10.5"/>
        <color rgb="FF000000"/>
        <rFont val="Times New Roman"/>
        <family val="1"/>
        <charset val="204"/>
      </rPr>
      <t>4</t>
    </r>
    <r>
      <rPr>
        <sz val="10.5"/>
        <color rgb="FF000000"/>
        <rFont val="Times New Roman"/>
        <family val="1"/>
        <charset val="204"/>
      </rPr>
      <t>Н</t>
    </r>
    <r>
      <rPr>
        <vertAlign val="subscript"/>
        <sz val="10.5"/>
        <color rgb="FF000000"/>
        <rFont val="Times New Roman"/>
        <family val="1"/>
        <charset val="204"/>
      </rPr>
      <t>10</t>
    </r>
  </si>
  <si>
    <r>
      <t>n-С</t>
    </r>
    <r>
      <rPr>
        <vertAlign val="subscript"/>
        <sz val="10.5"/>
        <color rgb="FF000000"/>
        <rFont val="Times New Roman"/>
        <family val="1"/>
        <charset val="204"/>
      </rPr>
      <t>4</t>
    </r>
    <r>
      <rPr>
        <sz val="10.5"/>
        <color rgb="FF000000"/>
        <rFont val="Times New Roman"/>
        <family val="1"/>
        <charset val="204"/>
      </rPr>
      <t>Н</t>
    </r>
    <r>
      <rPr>
        <vertAlign val="subscript"/>
        <sz val="10.5"/>
        <color rgb="FF000000"/>
        <rFont val="Times New Roman"/>
        <family val="1"/>
        <charset val="204"/>
      </rPr>
      <t>10</t>
    </r>
  </si>
  <si>
    <r>
      <t>С</t>
    </r>
    <r>
      <rPr>
        <vertAlign val="subscript"/>
        <sz val="10.5"/>
        <color rgb="FF000000"/>
        <rFont val="Times New Roman"/>
        <family val="1"/>
        <charset val="204"/>
      </rPr>
      <t>5</t>
    </r>
    <r>
      <rPr>
        <sz val="10.5"/>
        <color rgb="FF000000"/>
        <rFont val="Times New Roman"/>
        <family val="1"/>
        <charset val="204"/>
      </rPr>
      <t>Н</t>
    </r>
    <r>
      <rPr>
        <vertAlign val="subscript"/>
        <sz val="10.5"/>
        <color rgb="FF000000"/>
        <rFont val="Times New Roman"/>
        <family val="1"/>
        <charset val="204"/>
      </rPr>
      <t>12+</t>
    </r>
  </si>
  <si>
    <r>
      <t>N</t>
    </r>
    <r>
      <rPr>
        <vertAlign val="subscript"/>
        <sz val="10.5"/>
        <color rgb="FF000000"/>
        <rFont val="Times New Roman"/>
        <family val="1"/>
        <charset val="204"/>
      </rPr>
      <t>2</t>
    </r>
  </si>
  <si>
    <r>
      <t>СО</t>
    </r>
    <r>
      <rPr>
        <vertAlign val="subscript"/>
        <sz val="10.5"/>
        <color rgb="FF000000"/>
        <rFont val="Times New Roman"/>
        <family val="1"/>
        <charset val="204"/>
      </rPr>
      <t>2</t>
    </r>
  </si>
  <si>
    <t>Не</t>
  </si>
  <si>
    <t>-</t>
  </si>
  <si>
    <t>Молекулярная масса, г/моль</t>
  </si>
  <si>
    <r>
      <t>Плотность, кг/м</t>
    </r>
    <r>
      <rPr>
        <vertAlign val="superscript"/>
        <sz val="10.5"/>
        <color rgb="FF000000"/>
        <rFont val="Times New Roman"/>
        <family val="1"/>
        <charset val="204"/>
      </rPr>
      <t>3</t>
    </r>
  </si>
  <si>
    <t>Исследуемые потоки</t>
  </si>
  <si>
    <r>
      <t>Содержание конденсата (г/м</t>
    </r>
    <r>
      <rPr>
        <vertAlign val="superscript"/>
        <sz val="10.5"/>
        <color rgb="FF000000"/>
        <rFont val="Times New Roman"/>
        <family val="1"/>
        <charset val="204"/>
      </rPr>
      <t>3</t>
    </r>
    <r>
      <rPr>
        <sz val="10.5"/>
        <color rgb="FF000000"/>
        <rFont val="Times New Roman"/>
        <family val="1"/>
        <charset val="204"/>
      </rPr>
      <t>) в исследуемых</t>
    </r>
  </si>
  <si>
    <t>Молекулярная масса конденсата, содержащегося в составе пластового газа - 138 г/моль.</t>
  </si>
  <si>
    <r>
      <t>потоках  из расчета на 1 м</t>
    </r>
    <r>
      <rPr>
        <vertAlign val="superscript"/>
        <sz val="10.5"/>
        <color rgb="FF000000"/>
        <rFont val="Times New Roman"/>
        <family val="1"/>
        <charset val="204"/>
      </rPr>
      <t>3</t>
    </r>
    <r>
      <rPr>
        <sz val="10.5"/>
        <color rgb="FF000000"/>
        <rFont val="Times New Roman"/>
        <family val="1"/>
        <charset val="204"/>
      </rPr>
      <t xml:space="preserve"> газа</t>
    </r>
  </si>
  <si>
    <t>сепарации</t>
  </si>
  <si>
    <t>Плотность конденсата, содержащегося в составе пластового газа -</t>
  </si>
  <si>
    <r>
      <t>0,769 г/см</t>
    </r>
    <r>
      <rPr>
        <vertAlign val="superscript"/>
        <sz val="10.5"/>
        <color rgb="FF000000"/>
        <rFont val="Times New Roman"/>
        <family val="1"/>
        <charset val="204"/>
      </rPr>
      <t>3</t>
    </r>
  </si>
  <si>
    <t>Мольная доля в пластовом газе:</t>
  </si>
  <si>
    <t>газа сепарации – 0,761;</t>
  </si>
  <si>
    <t>«сухого» газа – 0,877</t>
  </si>
  <si>
    <t>УКПГ</t>
  </si>
  <si>
    <t>Минерализация пластовых вод по проектному документу стр.59</t>
  </si>
  <si>
    <t>ПРИНЯТО ЗНАЧЕНИЕ ЗАПРАВОК ОДНОГО АППАРАТА В РАЗМЕРЕ 1 РАЗ В МЕСЯЦ (В ДОКУМЕНТАХ 500)</t>
  </si>
  <si>
    <t>В 2021 году было 1,2774%</t>
  </si>
  <si>
    <t>В 2021 году было 0,1313%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</si>
</sst>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\ _₽_-;\-* #,##0\ _₽_-;_-* &quot;-&quot;\ _₽_-;_-@_-"/>
    <numFmt numFmtId="43" formatCode="_-* #,##0.00\ _₽_-;\-* #,##0.00\ _₽_-;_-* &quot;-&quot;??\ _₽_-;_-@_-"/>
    <numFmt numFmtId="164" formatCode="0.0"/>
    <numFmt numFmtId="165" formatCode="0.0000"/>
    <numFmt numFmtId="166" formatCode="0.00000"/>
    <numFmt numFmtId="167" formatCode="0.000"/>
    <numFmt numFmtId="168" formatCode="0.000000"/>
    <numFmt numFmtId="169" formatCode="0.0000000"/>
    <numFmt numFmtId="170" formatCode="0.00000000"/>
    <numFmt numFmtId="171" formatCode="0.0000000000"/>
    <numFmt numFmtId="172" formatCode="0.000000000000"/>
    <numFmt numFmtId="173" formatCode="0.0000000000000"/>
  </numFmts>
  <fonts count="84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2"/>
      <color indexed="8"/>
      <name val="Times New Roman"/>
      <family val="1"/>
      <charset val="204"/>
    </font>
    <font>
      <vertAlign val="subscript"/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vertAlign val="superscript"/>
      <sz val="12"/>
      <color indexed="8"/>
      <name val="Times New Roman"/>
      <family val="1"/>
      <charset val="204"/>
    </font>
    <font>
      <b/>
      <vertAlign val="subscript"/>
      <sz val="12"/>
      <color indexed="8"/>
      <name val="Times New Roman"/>
      <family val="1"/>
      <charset val="204"/>
    </font>
    <font>
      <vertAlign val="subscript"/>
      <sz val="12"/>
      <color indexed="8"/>
      <name val="Times New Roman"/>
      <family val="1"/>
      <charset val="204"/>
    </font>
    <font>
      <sz val="12"/>
      <color indexed="8"/>
      <name val="Calibri"/>
      <family val="2"/>
      <charset val="204"/>
    </font>
    <font>
      <vertAlign val="subscript"/>
      <sz val="12"/>
      <color indexed="8"/>
      <name val="Calibri"/>
      <family val="2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vertAlign val="subscript"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vertAlign val="subscript"/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0"/>
      <name val="MS Sans Serif"/>
      <family val="2"/>
      <charset val="204"/>
    </font>
    <font>
      <sz val="18"/>
      <color indexed="24"/>
      <name val="Modern"/>
      <family val="3"/>
      <charset val="255"/>
    </font>
    <font>
      <sz val="8"/>
      <color indexed="24"/>
      <name val="Modern"/>
      <family val="3"/>
      <charset val="255"/>
    </font>
    <font>
      <i/>
      <sz val="12"/>
      <color indexed="24"/>
      <name val="Modern"/>
      <family val="3"/>
      <charset val="255"/>
    </font>
    <font>
      <sz val="12"/>
      <color indexed="24"/>
      <name val="Roman"/>
      <family val="1"/>
      <charset val="255"/>
    </font>
    <font>
      <sz val="18"/>
      <color indexed="24"/>
      <name val="Roman"/>
      <family val="1"/>
      <charset val="255"/>
    </font>
    <font>
      <sz val="8"/>
      <color indexed="24"/>
      <name val="Roman"/>
      <family val="1"/>
      <charset val="255"/>
    </font>
    <font>
      <i/>
      <sz val="12"/>
      <color indexed="24"/>
      <name val="Roman"/>
      <family val="1"/>
      <charset val="255"/>
    </font>
    <font>
      <sz val="12"/>
      <name val="Modern"/>
      <family val="3"/>
      <charset val="255"/>
    </font>
    <font>
      <sz val="12"/>
      <color indexed="24"/>
      <name val="Modern"/>
      <family val="3"/>
      <charset val="255"/>
    </font>
    <font>
      <u/>
      <sz val="11"/>
      <color theme="10"/>
      <name val="Calibri"/>
      <family val="2"/>
      <charset val="204"/>
    </font>
    <font>
      <sz val="11"/>
      <color theme="1"/>
      <name val="Symbol"/>
      <family val="1"/>
      <charset val="2"/>
    </font>
    <font>
      <b/>
      <sz val="14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12"/>
      <color theme="1"/>
      <name val="Symbol"/>
      <family val="1"/>
      <charset val="2"/>
    </font>
    <font>
      <b/>
      <sz val="16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b/>
      <vertAlign val="subscript"/>
      <sz val="10"/>
      <name val="Times New Roman"/>
      <family val="1"/>
      <charset val="204"/>
    </font>
    <font>
      <sz val="14"/>
      <name val="Times New Roman"/>
      <family val="1"/>
      <charset val="204"/>
    </font>
    <font>
      <sz val="10"/>
      <name val="Arial Cyr"/>
      <family val="2"/>
      <charset val="204"/>
    </font>
    <font>
      <b/>
      <sz val="8"/>
      <name val="Times New Roman"/>
      <family val="1"/>
      <charset val="204"/>
    </font>
    <font>
      <sz val="10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sz val="8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sz val="8"/>
      <name val="Arial Cyr"/>
      <family val="2"/>
      <charset val="204"/>
    </font>
    <font>
      <b/>
      <sz val="14"/>
      <name val="Symbol"/>
      <family val="1"/>
      <charset val="2"/>
    </font>
    <font>
      <b/>
      <vertAlign val="subscript"/>
      <sz val="14"/>
      <name val="Times New Roman"/>
      <family val="1"/>
      <charset val="204"/>
    </font>
    <font>
      <b/>
      <vertAlign val="superscript"/>
      <sz val="14"/>
      <name val="Times New Roman"/>
      <family val="1"/>
      <charset val="204"/>
    </font>
    <font>
      <b/>
      <vertAlign val="superscript"/>
      <sz val="14"/>
      <color theme="1"/>
      <name val="Times New Roman"/>
      <family val="1"/>
      <charset val="204"/>
    </font>
    <font>
      <vertAlign val="subscript"/>
      <sz val="14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vertAlign val="subscript"/>
      <sz val="14"/>
      <color theme="1"/>
      <name val="Times New Roman"/>
      <family val="1"/>
      <charset val="204"/>
    </font>
    <font>
      <b/>
      <vertAlign val="subscript"/>
      <sz val="16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b/>
      <sz val="14"/>
      <color indexed="81"/>
      <name val="Tahoma"/>
      <family val="2"/>
      <charset val="204"/>
    </font>
    <font>
      <sz val="16"/>
      <color indexed="81"/>
      <name val="Tahoma"/>
      <family val="2"/>
      <charset val="204"/>
    </font>
    <font>
      <sz val="18"/>
      <color indexed="81"/>
      <name val="Tahoma"/>
      <family val="2"/>
      <charset val="204"/>
    </font>
    <font>
      <sz val="14"/>
      <color indexed="81"/>
      <name val="Times New Roman"/>
      <family val="1"/>
      <charset val="204"/>
    </font>
    <font>
      <sz val="12"/>
      <color theme="10"/>
      <name val="Times New Roman"/>
      <family val="1"/>
      <charset val="204"/>
    </font>
    <font>
      <b/>
      <sz val="14"/>
      <color indexed="81"/>
      <name val="Times New Roman"/>
      <family val="1"/>
      <charset val="204"/>
    </font>
    <font>
      <sz val="8"/>
      <color indexed="81"/>
      <name val="Tahoma"/>
      <family val="2"/>
      <charset val="204"/>
    </font>
    <font>
      <sz val="20"/>
      <color indexed="8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b/>
      <sz val="16"/>
      <color indexed="8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18"/>
      <color indexed="81"/>
      <name val="Times New Roman"/>
      <family val="1"/>
      <charset val="204"/>
    </font>
    <font>
      <sz val="12"/>
      <color theme="10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indexed="81"/>
      <name val="Tahoma"/>
      <family val="2"/>
      <charset val="204"/>
    </font>
    <font>
      <sz val="11"/>
      <name val="Calibri"/>
      <family val="2"/>
      <charset val="204"/>
    </font>
    <font>
      <b/>
      <sz val="16"/>
      <color theme="1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.5"/>
      <color rgb="FF000000"/>
      <name val="Times New Roman"/>
      <family val="1"/>
      <charset val="204"/>
    </font>
    <font>
      <vertAlign val="superscript"/>
      <sz val="10.5"/>
      <color rgb="FF000000"/>
      <name val="Times New Roman"/>
      <family val="1"/>
      <charset val="204"/>
    </font>
    <font>
      <vertAlign val="subscript"/>
      <sz val="10.5"/>
      <color rgb="FF00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lightGray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1">
    <xf numFmtId="0" fontId="0" fillId="0" borderId="0"/>
    <xf numFmtId="0" fontId="1" fillId="0" borderId="0"/>
    <xf numFmtId="0" fontId="21" fillId="0" borderId="0"/>
    <xf numFmtId="0" fontId="22" fillId="0" borderId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0" borderId="0"/>
    <xf numFmtId="0" fontId="18" fillId="0" borderId="0"/>
    <xf numFmtId="0" fontId="24" fillId="4" borderId="0"/>
    <xf numFmtId="0" fontId="25" fillId="0" borderId="0" applyProtection="0"/>
    <xf numFmtId="0" fontId="26" fillId="0" borderId="0" applyProtection="0"/>
    <xf numFmtId="0" fontId="27" fillId="0" borderId="0" applyProtection="0"/>
    <xf numFmtId="0" fontId="28" fillId="0" borderId="0" applyProtection="0"/>
    <xf numFmtId="0" fontId="29" fillId="0" borderId="0" applyProtection="0"/>
    <xf numFmtId="0" fontId="30" fillId="0" borderId="0" applyProtection="0"/>
    <xf numFmtId="0" fontId="31" fillId="0" borderId="0" applyProtection="0"/>
    <xf numFmtId="0" fontId="24" fillId="0" borderId="9"/>
    <xf numFmtId="0" fontId="32" fillId="0" borderId="0" applyNumberFormat="0" applyFill="0" applyBorder="0" applyAlignment="0" applyProtection="0"/>
    <xf numFmtId="0" fontId="23" fillId="0" borderId="0"/>
    <xf numFmtId="0" fontId="18" fillId="0" borderId="0"/>
    <xf numFmtId="0" fontId="21" fillId="0" borderId="0"/>
    <xf numFmtId="0" fontId="33" fillId="0" borderId="0"/>
    <xf numFmtId="4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34" fillId="0" borderId="0" applyNumberFormat="0" applyFill="0" applyBorder="0" applyAlignment="0" applyProtection="0"/>
  </cellStyleXfs>
  <cellXfs count="505">
    <xf numFmtId="0" fontId="0" fillId="0" borderId="0" xfId="0"/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0" fillId="0" borderId="0" xfId="0"/>
    <xf numFmtId="0" fontId="12" fillId="0" borderId="5" xfId="0" applyFont="1" applyBorder="1" applyAlignment="1">
      <alignment horizontal="center" vertical="center" shrinkToFit="1"/>
    </xf>
    <xf numFmtId="0" fontId="12" fillId="0" borderId="6" xfId="0" applyFont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shrinkToFit="1"/>
    </xf>
    <xf numFmtId="165" fontId="11" fillId="0" borderId="5" xfId="0" applyNumberFormat="1" applyFont="1" applyBorder="1" applyAlignment="1">
      <alignment horizontal="center" vertical="center" wrapText="1"/>
    </xf>
    <xf numFmtId="2" fontId="11" fillId="0" borderId="5" xfId="0" applyNumberFormat="1" applyFont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hidden="1"/>
    </xf>
    <xf numFmtId="164" fontId="11" fillId="0" borderId="5" xfId="0" applyNumberFormat="1" applyFont="1" applyBorder="1" applyAlignment="1">
      <alignment horizontal="center" vertical="center" wrapText="1"/>
    </xf>
    <xf numFmtId="0" fontId="0" fillId="0" borderId="0" xfId="0"/>
    <xf numFmtId="0" fontId="0" fillId="0" borderId="0" xfId="0" applyProtection="1">
      <protection hidden="1"/>
    </xf>
    <xf numFmtId="0" fontId="0" fillId="0" borderId="0" xfId="0" applyProtection="1">
      <protection locked="0" hidden="1"/>
    </xf>
    <xf numFmtId="0" fontId="0" fillId="0" borderId="0" xfId="0" applyAlignment="1" applyProtection="1">
      <alignment horizontal="center"/>
      <protection locked="0" hidden="1"/>
    </xf>
    <xf numFmtId="0" fontId="0" fillId="0" borderId="0" xfId="0" applyAlignment="1" applyProtection="1">
      <alignment horizontal="left"/>
      <protection locked="0" hidden="1"/>
    </xf>
    <xf numFmtId="0" fontId="0" fillId="3" borderId="0" xfId="0" applyFill="1" applyProtection="1">
      <protection locked="0" hidden="1"/>
    </xf>
    <xf numFmtId="166" fontId="36" fillId="3" borderId="0" xfId="0" applyNumberFormat="1" applyFont="1" applyFill="1" applyAlignment="1" applyProtection="1">
      <alignment horizontal="center" vertical="center"/>
      <protection hidden="1"/>
    </xf>
    <xf numFmtId="1" fontId="11" fillId="0" borderId="5" xfId="0" applyNumberFormat="1" applyFont="1" applyBorder="1" applyAlignment="1">
      <alignment horizontal="center" vertical="center" wrapText="1"/>
    </xf>
    <xf numFmtId="2" fontId="10" fillId="2" borderId="5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2" fontId="14" fillId="0" borderId="5" xfId="0" applyNumberFormat="1" applyFont="1" applyBorder="1" applyAlignment="1">
      <alignment horizontal="center" vertical="center" wrapText="1"/>
    </xf>
    <xf numFmtId="2" fontId="14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167" fontId="14" fillId="0" borderId="4" xfId="0" applyNumberFormat="1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14" fillId="0" borderId="3" xfId="0" applyFont="1" applyBorder="1" applyAlignment="1">
      <alignment horizontal="center" vertical="center" wrapText="1"/>
    </xf>
    <xf numFmtId="167" fontId="11" fillId="2" borderId="4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40" fillId="0" borderId="0" xfId="0" applyFont="1" applyAlignment="1">
      <alignment vertical="center"/>
    </xf>
    <xf numFmtId="0" fontId="41" fillId="0" borderId="0" xfId="0" applyFont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2" fillId="0" borderId="24" xfId="0" applyFont="1" applyBorder="1" applyAlignment="1">
      <alignment horizontal="center" vertical="center"/>
    </xf>
    <xf numFmtId="0" fontId="42" fillId="0" borderId="25" xfId="0" applyFont="1" applyBorder="1" applyAlignment="1">
      <alignment horizontal="center" vertical="center"/>
    </xf>
    <xf numFmtId="0" fontId="42" fillId="0" borderId="26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28" xfId="0" applyFont="1" applyBorder="1" applyAlignment="1">
      <alignment horizontal="center" vertical="center"/>
    </xf>
    <xf numFmtId="0" fontId="42" fillId="0" borderId="29" xfId="0" applyFont="1" applyBorder="1" applyAlignment="1">
      <alignment horizontal="center" vertical="center"/>
    </xf>
    <xf numFmtId="0" fontId="42" fillId="0" borderId="30" xfId="0" applyFont="1" applyBorder="1" applyAlignment="1">
      <alignment horizontal="center" vertical="center"/>
    </xf>
    <xf numFmtId="0" fontId="42" fillId="0" borderId="31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wrapText="1"/>
    </xf>
    <xf numFmtId="0" fontId="41" fillId="0" borderId="8" xfId="0" applyFont="1" applyBorder="1" applyAlignment="1">
      <alignment horizontal="center"/>
    </xf>
    <xf numFmtId="0" fontId="44" fillId="0" borderId="16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44" fillId="0" borderId="15" xfId="0" applyFont="1" applyBorder="1" applyAlignment="1">
      <alignment horizontal="center"/>
    </xf>
    <xf numFmtId="0" fontId="41" fillId="0" borderId="15" xfId="0" applyFont="1" applyBorder="1" applyAlignment="1">
      <alignment horizontal="center"/>
    </xf>
    <xf numFmtId="0" fontId="41" fillId="0" borderId="6" xfId="0" applyFont="1" applyBorder="1" applyAlignment="1">
      <alignment horizontal="center"/>
    </xf>
    <xf numFmtId="0" fontId="44" fillId="0" borderId="12" xfId="0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4" fillId="0" borderId="6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49" fillId="0" borderId="33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47" fillId="0" borderId="17" xfId="0" applyFont="1" applyBorder="1" applyAlignment="1">
      <alignment horizontal="center"/>
    </xf>
    <xf numFmtId="0" fontId="23" fillId="0" borderId="34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/>
    </xf>
    <xf numFmtId="0" fontId="23" fillId="0" borderId="37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47" fillId="0" borderId="19" xfId="0" applyFont="1" applyBorder="1" applyAlignment="1">
      <alignment horizontal="center"/>
    </xf>
    <xf numFmtId="0" fontId="23" fillId="0" borderId="39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/>
    </xf>
    <xf numFmtId="0" fontId="47" fillId="0" borderId="0" xfId="0" applyFont="1"/>
    <xf numFmtId="0" fontId="51" fillId="0" borderId="0" xfId="0" applyFont="1" applyBorder="1" applyAlignment="1">
      <alignment horizontal="center"/>
    </xf>
    <xf numFmtId="0" fontId="40" fillId="0" borderId="0" xfId="0" applyFont="1" applyBorder="1" applyAlignment="1">
      <alignment horizontal="center"/>
    </xf>
    <xf numFmtId="167" fontId="40" fillId="3" borderId="5" xfId="0" applyNumberFormat="1" applyFont="1" applyFill="1" applyBorder="1" applyAlignment="1">
      <alignment horizontal="center"/>
    </xf>
    <xf numFmtId="0" fontId="40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167" fontId="23" fillId="0" borderId="24" xfId="0" applyNumberFormat="1" applyFont="1" applyBorder="1" applyAlignment="1">
      <alignment horizontal="center" vertical="center"/>
    </xf>
    <xf numFmtId="2" fontId="23" fillId="0" borderId="24" xfId="0" applyNumberFormat="1" applyFont="1" applyBorder="1" applyAlignment="1">
      <alignment horizontal="center" vertical="center"/>
    </xf>
    <xf numFmtId="165" fontId="0" fillId="0" borderId="0" xfId="0" applyNumberFormat="1" applyAlignment="1" applyProtection="1">
      <alignment horizontal="center"/>
      <protection locked="0" hidden="1"/>
    </xf>
    <xf numFmtId="0" fontId="39" fillId="2" borderId="5" xfId="0" applyFont="1" applyFill="1" applyBorder="1" applyAlignment="1">
      <alignment horizontal="center" vertical="center"/>
    </xf>
    <xf numFmtId="167" fontId="14" fillId="0" borderId="5" xfId="0" applyNumberFormat="1" applyFont="1" applyBorder="1" applyAlignment="1">
      <alignment horizontal="center" vertical="center" wrapText="1"/>
    </xf>
    <xf numFmtId="1" fontId="14" fillId="0" borderId="5" xfId="0" applyNumberFormat="1" applyFont="1" applyBorder="1" applyAlignment="1">
      <alignment horizontal="center" vertical="center" wrapText="1"/>
    </xf>
    <xf numFmtId="167" fontId="0" fillId="0" borderId="0" xfId="0" applyNumberFormat="1"/>
    <xf numFmtId="0" fontId="0" fillId="0" borderId="0" xfId="0" applyAlignment="1">
      <alignment horizontal="center"/>
    </xf>
    <xf numFmtId="167" fontId="11" fillId="0" borderId="37" xfId="0" applyNumberFormat="1" applyFont="1" applyBorder="1" applyAlignment="1">
      <alignment horizontal="left" wrapText="1"/>
    </xf>
    <xf numFmtId="167" fontId="11" fillId="0" borderId="39" xfId="0" applyNumberFormat="1" applyFont="1" applyBorder="1" applyAlignment="1">
      <alignment horizontal="left" wrapText="1"/>
    </xf>
    <xf numFmtId="168" fontId="10" fillId="0" borderId="5" xfId="0" applyNumberFormat="1" applyFont="1" applyBorder="1" applyAlignment="1">
      <alignment horizontal="left" wrapText="1"/>
    </xf>
    <xf numFmtId="167" fontId="11" fillId="0" borderId="34" xfId="0" applyNumberFormat="1" applyFont="1" applyFill="1" applyBorder="1" applyAlignment="1">
      <alignment horizontal="left" vertical="center" wrapText="1"/>
    </xf>
    <xf numFmtId="167" fontId="10" fillId="0" borderId="19" xfId="0" applyNumberFormat="1" applyFont="1" applyBorder="1" applyAlignment="1">
      <alignment horizontal="left" wrapText="1"/>
    </xf>
    <xf numFmtId="0" fontId="11" fillId="0" borderId="4" xfId="0" applyFont="1" applyBorder="1" applyAlignment="1">
      <alignment horizontal="center" vertical="center" wrapText="1"/>
    </xf>
    <xf numFmtId="167" fontId="14" fillId="0" borderId="5" xfId="0" applyNumberFormat="1" applyFont="1" applyFill="1" applyBorder="1" applyAlignment="1">
      <alignment horizontal="center" vertical="center" wrapText="1"/>
    </xf>
    <xf numFmtId="2" fontId="12" fillId="0" borderId="34" xfId="0" applyNumberFormat="1" applyFont="1" applyBorder="1" applyAlignment="1">
      <alignment horizontal="center" vertical="center"/>
    </xf>
    <xf numFmtId="2" fontId="12" fillId="0" borderId="37" xfId="0" applyNumberFormat="1" applyFont="1" applyBorder="1" applyAlignment="1">
      <alignment horizontal="center" vertical="center"/>
    </xf>
    <xf numFmtId="2" fontId="39" fillId="0" borderId="5" xfId="0" applyNumberFormat="1" applyFont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8" fillId="0" borderId="0" xfId="0" applyFont="1"/>
    <xf numFmtId="167" fontId="11" fillId="0" borderId="5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/>
    </xf>
    <xf numFmtId="2" fontId="11" fillId="0" borderId="4" xfId="0" applyNumberFormat="1" applyFont="1" applyBorder="1" applyAlignment="1">
      <alignment horizontal="center" vertical="center" wrapText="1"/>
    </xf>
    <xf numFmtId="0" fontId="14" fillId="0" borderId="0" xfId="0" applyFont="1"/>
    <xf numFmtId="0" fontId="65" fillId="0" borderId="2" xfId="30" quotePrefix="1" applyFont="1" applyBorder="1" applyAlignment="1">
      <alignment vertical="center" wrapText="1"/>
    </xf>
    <xf numFmtId="0" fontId="65" fillId="0" borderId="4" xfId="30" applyFont="1" applyBorder="1" applyAlignment="1">
      <alignment horizontal="center" vertical="center" wrapText="1"/>
    </xf>
    <xf numFmtId="0" fontId="39" fillId="0" borderId="4" xfId="0" applyFont="1" applyBorder="1" applyAlignment="1">
      <alignment horizontal="left" vertical="center" wrapText="1"/>
    </xf>
    <xf numFmtId="167" fontId="0" fillId="0" borderId="0" xfId="0" applyNumberFormat="1" applyProtection="1">
      <protection locked="0" hidden="1"/>
    </xf>
    <xf numFmtId="164" fontId="11" fillId="0" borderId="0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2" fontId="11" fillId="0" borderId="0" xfId="0" applyNumberFormat="1" applyFont="1" applyBorder="1" applyAlignment="1">
      <alignment horizontal="center" vertical="center" wrapText="1"/>
    </xf>
    <xf numFmtId="167" fontId="11" fillId="0" borderId="0" xfId="0" applyNumberFormat="1" applyFont="1" applyBorder="1" applyAlignment="1">
      <alignment horizontal="center" vertical="center" wrapText="1"/>
    </xf>
    <xf numFmtId="165" fontId="11" fillId="0" borderId="0" xfId="0" applyNumberFormat="1" applyFont="1" applyBorder="1" applyAlignment="1">
      <alignment horizontal="center" vertical="center" wrapText="1"/>
    </xf>
    <xf numFmtId="1" fontId="11" fillId="0" borderId="0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 shrinkToFit="1"/>
    </xf>
    <xf numFmtId="2" fontId="11" fillId="0" borderId="0" xfId="3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65" fillId="0" borderId="0" xfId="30" quotePrefix="1" applyFont="1" applyFill="1" applyBorder="1" applyAlignment="1">
      <alignment horizontal="left" vertical="center" shrinkToFit="1"/>
    </xf>
    <xf numFmtId="0" fontId="34" fillId="0" borderId="0" xfId="30"/>
    <xf numFmtId="1" fontId="14" fillId="0" borderId="5" xfId="0" applyNumberFormat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 shrinkToFit="1"/>
    </xf>
    <xf numFmtId="0" fontId="11" fillId="0" borderId="3" xfId="0" applyFont="1" applyBorder="1" applyAlignment="1">
      <alignment horizontal="center" vertical="center" wrapText="1"/>
    </xf>
    <xf numFmtId="0" fontId="34" fillId="0" borderId="0" xfId="30" quotePrefix="1" applyFill="1" applyBorder="1" applyAlignment="1">
      <alignment horizontal="left" vertical="center" shrinkToFit="1"/>
    </xf>
    <xf numFmtId="0" fontId="11" fillId="0" borderId="1" xfId="0" applyNumberFormat="1" applyFont="1" applyBorder="1" applyAlignment="1">
      <alignment horizontal="left" vertical="center" shrinkToFit="1"/>
    </xf>
    <xf numFmtId="167" fontId="11" fillId="0" borderId="3" xfId="0" applyNumberFormat="1" applyFont="1" applyBorder="1" applyAlignment="1">
      <alignment horizontal="center" vertical="center" wrapText="1"/>
    </xf>
    <xf numFmtId="2" fontId="41" fillId="0" borderId="5" xfId="30" applyNumberFormat="1" applyFont="1" applyBorder="1" applyAlignment="1">
      <alignment horizontal="center" vertical="center" wrapText="1"/>
    </xf>
    <xf numFmtId="167" fontId="41" fillId="0" borderId="3" xfId="3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shrinkToFit="1"/>
    </xf>
    <xf numFmtId="0" fontId="14" fillId="0" borderId="0" xfId="0" applyFont="1" applyBorder="1" applyAlignment="1">
      <alignment horizontal="center" vertical="center" shrinkToFit="1"/>
    </xf>
    <xf numFmtId="0" fontId="11" fillId="0" borderId="8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0" xfId="0"/>
    <xf numFmtId="0" fontId="10" fillId="0" borderId="5" xfId="0" applyFont="1" applyBorder="1" applyAlignment="1">
      <alignment horizontal="center" vertical="center" wrapText="1"/>
    </xf>
    <xf numFmtId="2" fontId="14" fillId="0" borderId="5" xfId="0" applyNumberFormat="1" applyFont="1" applyFill="1" applyBorder="1" applyAlignment="1">
      <alignment horizontal="center" vertical="center" wrapText="1"/>
    </xf>
    <xf numFmtId="165" fontId="14" fillId="0" borderId="5" xfId="0" applyNumberFormat="1" applyFont="1" applyBorder="1" applyAlignment="1">
      <alignment horizontal="center" vertical="center" wrapText="1"/>
    </xf>
    <xf numFmtId="1" fontId="34" fillId="0" borderId="5" xfId="30" applyNumberForma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167" fontId="14" fillId="0" borderId="34" xfId="0" applyNumberFormat="1" applyFont="1" applyFill="1" applyBorder="1" applyAlignment="1">
      <alignment horizontal="center" vertical="center" wrapText="1"/>
    </xf>
    <xf numFmtId="167" fontId="12" fillId="0" borderId="20" xfId="0" applyNumberFormat="1" applyFont="1" applyBorder="1" applyAlignment="1">
      <alignment horizontal="center" vertical="center"/>
    </xf>
    <xf numFmtId="165" fontId="12" fillId="0" borderId="35" xfId="0" applyNumberFormat="1" applyFont="1" applyBorder="1" applyAlignment="1">
      <alignment horizontal="center" vertical="center"/>
    </xf>
    <xf numFmtId="167" fontId="12" fillId="0" borderId="24" xfId="0" applyNumberFormat="1" applyFont="1" applyBorder="1" applyAlignment="1">
      <alignment horizontal="center" vertical="center"/>
    </xf>
    <xf numFmtId="165" fontId="12" fillId="0" borderId="38" xfId="0" applyNumberFormat="1" applyFont="1" applyBorder="1" applyAlignment="1">
      <alignment horizontal="center" vertical="center"/>
    </xf>
    <xf numFmtId="167" fontId="14" fillId="0" borderId="37" xfId="0" applyNumberFormat="1" applyFont="1" applyFill="1" applyBorder="1" applyAlignment="1">
      <alignment horizontal="center" vertical="center" wrapText="1"/>
    </xf>
    <xf numFmtId="165" fontId="12" fillId="0" borderId="24" xfId="0" applyNumberFormat="1" applyFont="1" applyBorder="1" applyAlignment="1">
      <alignment horizontal="center" vertical="center"/>
    </xf>
    <xf numFmtId="166" fontId="12" fillId="0" borderId="24" xfId="0" applyNumberFormat="1" applyFont="1" applyBorder="1" applyAlignment="1">
      <alignment horizontal="center" vertical="center"/>
    </xf>
    <xf numFmtId="167" fontId="14" fillId="0" borderId="39" xfId="0" applyNumberFormat="1" applyFont="1" applyFill="1" applyBorder="1" applyAlignment="1">
      <alignment horizontal="center" vertical="center" wrapText="1"/>
    </xf>
    <xf numFmtId="2" fontId="12" fillId="0" borderId="39" xfId="0" applyNumberFormat="1" applyFont="1" applyBorder="1" applyAlignment="1">
      <alignment horizontal="center" vertical="center"/>
    </xf>
    <xf numFmtId="166" fontId="12" fillId="0" borderId="28" xfId="0" applyNumberFormat="1" applyFont="1" applyBorder="1" applyAlignment="1">
      <alignment horizontal="center" vertical="center"/>
    </xf>
    <xf numFmtId="2" fontId="39" fillId="0" borderId="15" xfId="0" applyNumberFormat="1" applyFont="1" applyBorder="1" applyAlignment="1">
      <alignment horizontal="center" vertical="center"/>
    </xf>
    <xf numFmtId="165" fontId="39" fillId="0" borderId="32" xfId="0" applyNumberFormat="1" applyFont="1" applyBorder="1" applyAlignment="1">
      <alignment horizontal="center" vertical="center"/>
    </xf>
    <xf numFmtId="2" fontId="39" fillId="0" borderId="8" xfId="0" applyNumberFormat="1" applyFont="1" applyBorder="1" applyAlignment="1">
      <alignment horizontal="center" vertical="center"/>
    </xf>
    <xf numFmtId="2" fontId="78" fillId="0" borderId="5" xfId="30" applyNumberFormat="1" applyFont="1" applyBorder="1" applyAlignment="1">
      <alignment horizontal="center" vertical="center"/>
    </xf>
    <xf numFmtId="2" fontId="34" fillId="0" borderId="5" xfId="30" applyNumberFormat="1" applyBorder="1" applyAlignment="1">
      <alignment horizontal="center" vertical="center"/>
    </xf>
    <xf numFmtId="0" fontId="34" fillId="0" borderId="4" xfId="30" applyFill="1" applyBorder="1"/>
    <xf numFmtId="0" fontId="34" fillId="0" borderId="2" xfId="30" applyFill="1" applyBorder="1" applyAlignment="1">
      <alignment horizontal="left" vertical="center"/>
    </xf>
    <xf numFmtId="167" fontId="11" fillId="0" borderId="5" xfId="0" applyNumberFormat="1" applyFont="1" applyFill="1" applyBorder="1" applyAlignment="1">
      <alignment horizontal="center" vertical="center" wrapText="1"/>
    </xf>
    <xf numFmtId="2" fontId="11" fillId="0" borderId="5" xfId="0" applyNumberFormat="1" applyFont="1" applyFill="1" applyBorder="1" applyAlignment="1">
      <alignment horizontal="center" vertical="center" wrapText="1"/>
    </xf>
    <xf numFmtId="2" fontId="34" fillId="0" borderId="5" xfId="30" applyNumberFormat="1" applyBorder="1" applyAlignment="1">
      <alignment horizontal="center" vertical="center" wrapText="1"/>
    </xf>
    <xf numFmtId="164" fontId="11" fillId="5" borderId="5" xfId="0" applyNumberFormat="1" applyFont="1" applyFill="1" applyBorder="1" applyAlignment="1">
      <alignment horizontal="center" vertical="center" wrapText="1"/>
    </xf>
    <xf numFmtId="165" fontId="14" fillId="0" borderId="4" xfId="0" applyNumberFormat="1" applyFont="1" applyBorder="1" applyAlignment="1">
      <alignment horizontal="center" vertical="center" wrapText="1"/>
    </xf>
    <xf numFmtId="166" fontId="14" fillId="0" borderId="5" xfId="0" applyNumberFormat="1" applyFont="1" applyBorder="1" applyAlignment="1">
      <alignment horizontal="center" vertical="center" wrapText="1"/>
    </xf>
    <xf numFmtId="164" fontId="14" fillId="0" borderId="4" xfId="0" applyNumberFormat="1" applyFont="1" applyBorder="1" applyAlignment="1">
      <alignment horizontal="center" vertical="center" wrapText="1"/>
    </xf>
    <xf numFmtId="165" fontId="11" fillId="2" borderId="4" xfId="0" applyNumberFormat="1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34" fillId="0" borderId="4" xfId="30" applyBorder="1" applyAlignment="1">
      <alignment horizontal="center" vertical="center" wrapText="1"/>
    </xf>
    <xf numFmtId="167" fontId="14" fillId="0" borderId="37" xfId="0" applyNumberFormat="1" applyFont="1" applyFill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165" fontId="11" fillId="0" borderId="4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65" fillId="0" borderId="2" xfId="30" applyFont="1" applyBorder="1" applyAlignment="1">
      <alignment horizontal="left" vertical="center"/>
    </xf>
    <xf numFmtId="0" fontId="65" fillId="0" borderId="3" xfId="30" applyFont="1" applyBorder="1" applyAlignment="1">
      <alignment horizontal="left" vertical="center"/>
    </xf>
    <xf numFmtId="0" fontId="65" fillId="0" borderId="4" xfId="30" applyFont="1" applyBorder="1" applyAlignment="1">
      <alignment horizontal="left" vertical="center"/>
    </xf>
    <xf numFmtId="0" fontId="34" fillId="0" borderId="2" xfId="30" applyBorder="1" applyAlignment="1">
      <alignment horizontal="left" vertical="center" wrapText="1"/>
    </xf>
    <xf numFmtId="0" fontId="34" fillId="0" borderId="3" xfId="30" applyBorder="1" applyAlignment="1">
      <alignment horizontal="left" vertical="center" wrapText="1"/>
    </xf>
    <xf numFmtId="0" fontId="34" fillId="0" borderId="4" xfId="30" applyBorder="1" applyAlignment="1">
      <alignment horizontal="left" vertical="center" wrapText="1"/>
    </xf>
    <xf numFmtId="169" fontId="39" fillId="2" borderId="5" xfId="0" applyNumberFormat="1" applyFont="1" applyFill="1" applyBorder="1" applyAlignment="1">
      <alignment horizontal="center" vertical="center"/>
    </xf>
    <xf numFmtId="168" fontId="12" fillId="0" borderId="20" xfId="0" applyNumberFormat="1" applyFont="1" applyBorder="1" applyAlignment="1">
      <alignment horizontal="center" vertical="center"/>
    </xf>
    <xf numFmtId="167" fontId="12" fillId="0" borderId="34" xfId="0" applyNumberFormat="1" applyFont="1" applyBorder="1" applyAlignment="1">
      <alignment horizontal="center" vertical="center"/>
    </xf>
    <xf numFmtId="165" fontId="39" fillId="0" borderId="6" xfId="0" applyNumberFormat="1" applyFont="1" applyBorder="1" applyAlignment="1">
      <alignment horizontal="center" vertical="center"/>
    </xf>
    <xf numFmtId="165" fontId="12" fillId="0" borderId="40" xfId="0" applyNumberFormat="1" applyFont="1" applyBorder="1" applyAlignment="1">
      <alignment horizontal="center" vertical="center"/>
    </xf>
    <xf numFmtId="167" fontId="34" fillId="0" borderId="5" xfId="30" applyNumberForma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39" fillId="0" borderId="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8" fontId="11" fillId="2" borderId="4" xfId="0" applyNumberFormat="1" applyFont="1" applyFill="1" applyBorder="1" applyAlignment="1">
      <alignment horizontal="center" vertical="center" wrapText="1"/>
    </xf>
    <xf numFmtId="167" fontId="14" fillId="3" borderId="4" xfId="0" applyNumberFormat="1" applyFont="1" applyFill="1" applyBorder="1" applyAlignment="1">
      <alignment horizontal="center" vertical="center" wrapText="1"/>
    </xf>
    <xf numFmtId="0" fontId="34" fillId="0" borderId="5" xfId="30" applyBorder="1" applyAlignment="1">
      <alignment horizontal="center" vertical="center" wrapText="1"/>
    </xf>
    <xf numFmtId="166" fontId="34" fillId="0" borderId="5" xfId="30" applyNumberFormat="1" applyBorder="1" applyAlignment="1">
      <alignment horizontal="center" vertical="center" wrapText="1"/>
    </xf>
    <xf numFmtId="170" fontId="11" fillId="2" borderId="4" xfId="0" applyNumberFormat="1" applyFont="1" applyFill="1" applyBorder="1" applyAlignment="1">
      <alignment horizontal="center" vertical="center" wrapText="1"/>
    </xf>
    <xf numFmtId="2" fontId="10" fillId="2" borderId="0" xfId="0" applyNumberFormat="1" applyFont="1" applyFill="1" applyBorder="1" applyAlignment="1">
      <alignment horizontal="center" vertical="center"/>
    </xf>
    <xf numFmtId="168" fontId="10" fillId="2" borderId="5" xfId="0" applyNumberFormat="1" applyFont="1" applyFill="1" applyBorder="1" applyAlignment="1">
      <alignment horizontal="center" vertical="center"/>
    </xf>
    <xf numFmtId="173" fontId="11" fillId="0" borderId="3" xfId="0" applyNumberFormat="1" applyFont="1" applyBorder="1" applyAlignment="1">
      <alignment horizontal="center" vertical="center" wrapText="1"/>
    </xf>
    <xf numFmtId="168" fontId="12" fillId="0" borderId="24" xfId="0" applyNumberFormat="1" applyFont="1" applyBorder="1" applyAlignment="1">
      <alignment horizontal="center" vertical="center"/>
    </xf>
    <xf numFmtId="170" fontId="10" fillId="2" borderId="5" xfId="0" applyNumberFormat="1" applyFont="1" applyFill="1" applyBorder="1" applyAlignment="1">
      <alignment horizontal="center" vertical="center"/>
    </xf>
    <xf numFmtId="170" fontId="12" fillId="0" borderId="24" xfId="0" applyNumberFormat="1" applyFont="1" applyBorder="1" applyAlignment="1">
      <alignment horizontal="center" vertical="center"/>
    </xf>
    <xf numFmtId="165" fontId="12" fillId="0" borderId="37" xfId="0" applyNumberFormat="1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34" fillId="0" borderId="4" xfId="30" applyBorder="1" applyAlignment="1">
      <alignment vertical="center" wrapText="1"/>
    </xf>
    <xf numFmtId="171" fontId="11" fillId="2" borderId="4" xfId="0" applyNumberFormat="1" applyFont="1" applyFill="1" applyBorder="1" applyAlignment="1">
      <alignment horizontal="center" vertical="center" wrapText="1"/>
    </xf>
    <xf numFmtId="1" fontId="12" fillId="0" borderId="5" xfId="0" applyNumberFormat="1" applyFont="1" applyBorder="1" applyAlignment="1">
      <alignment horizontal="center" vertical="center"/>
    </xf>
    <xf numFmtId="171" fontId="12" fillId="0" borderId="28" xfId="0" applyNumberFormat="1" applyFont="1" applyBorder="1" applyAlignment="1">
      <alignment horizontal="center" vertical="center"/>
    </xf>
    <xf numFmtId="165" fontId="12" fillId="0" borderId="50" xfId="0" applyNumberFormat="1" applyFont="1" applyBorder="1" applyAlignment="1">
      <alignment horizontal="center" vertical="center"/>
    </xf>
    <xf numFmtId="172" fontId="11" fillId="2" borderId="4" xfId="0" applyNumberFormat="1" applyFont="1" applyFill="1" applyBorder="1" applyAlignment="1">
      <alignment horizontal="center" vertical="center" wrapText="1"/>
    </xf>
    <xf numFmtId="172" fontId="12" fillId="0" borderId="24" xfId="0" applyNumberFormat="1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165" fontId="11" fillId="0" borderId="5" xfId="0" applyNumberFormat="1" applyFont="1" applyFill="1" applyBorder="1" applyAlignment="1">
      <alignment horizontal="center" vertical="center" wrapText="1"/>
    </xf>
    <xf numFmtId="2" fontId="34" fillId="0" borderId="5" xfId="30" applyNumberFormat="1" applyFill="1" applyBorder="1" applyAlignment="1">
      <alignment horizontal="center" vertical="center" wrapText="1"/>
    </xf>
    <xf numFmtId="2" fontId="41" fillId="0" borderId="5" xfId="30" applyNumberFormat="1" applyFont="1" applyFill="1" applyBorder="1" applyAlignment="1">
      <alignment horizontal="center" vertical="center" wrapText="1"/>
    </xf>
    <xf numFmtId="164" fontId="11" fillId="0" borderId="5" xfId="0" applyNumberFormat="1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167" fontId="11" fillId="3" borderId="5" xfId="0" applyNumberFormat="1" applyFont="1" applyFill="1" applyBorder="1" applyAlignment="1">
      <alignment horizontal="center" vertical="center" wrapText="1"/>
    </xf>
    <xf numFmtId="2" fontId="41" fillId="3" borderId="5" xfId="30" applyNumberFormat="1" applyFont="1" applyFill="1" applyBorder="1" applyAlignment="1">
      <alignment horizontal="center" vertical="center" wrapText="1"/>
    </xf>
    <xf numFmtId="165" fontId="11" fillId="3" borderId="5" xfId="0" applyNumberFormat="1" applyFont="1" applyFill="1" applyBorder="1" applyAlignment="1">
      <alignment horizontal="center" vertical="center" wrapText="1"/>
    </xf>
    <xf numFmtId="2" fontId="11" fillId="3" borderId="5" xfId="0" applyNumberFormat="1" applyFont="1" applyFill="1" applyBorder="1" applyAlignment="1">
      <alignment horizontal="center" vertical="center" wrapText="1"/>
    </xf>
    <xf numFmtId="164" fontId="11" fillId="3" borderId="5" xfId="0" applyNumberFormat="1" applyFont="1" applyFill="1" applyBorder="1" applyAlignment="1">
      <alignment horizontal="center" vertical="center" wrapText="1"/>
    </xf>
    <xf numFmtId="1" fontId="11" fillId="3" borderId="5" xfId="0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0" fillId="3" borderId="0" xfId="0" applyFill="1"/>
    <xf numFmtId="0" fontId="0" fillId="6" borderId="0" xfId="0" applyFill="1"/>
    <xf numFmtId="0" fontId="79" fillId="0" borderId="0" xfId="0" applyFont="1" applyAlignment="1">
      <alignment vertical="center"/>
    </xf>
    <xf numFmtId="0" fontId="80" fillId="0" borderId="8" xfId="0" applyFont="1" applyBorder="1" applyAlignment="1">
      <alignment horizontal="center" vertical="center" wrapText="1"/>
    </xf>
    <xf numFmtId="0" fontId="80" fillId="0" borderId="55" xfId="0" applyFont="1" applyBorder="1" applyAlignment="1">
      <alignment horizontal="center" vertical="center" wrapText="1"/>
    </xf>
    <xf numFmtId="0" fontId="80" fillId="0" borderId="56" xfId="0" applyFont="1" applyBorder="1" applyAlignment="1">
      <alignment horizontal="justify" vertical="center" wrapText="1"/>
    </xf>
    <xf numFmtId="0" fontId="80" fillId="0" borderId="51" xfId="0" applyFont="1" applyBorder="1" applyAlignment="1">
      <alignment horizontal="center" vertical="center" wrapText="1"/>
    </xf>
    <xf numFmtId="0" fontId="80" fillId="0" borderId="12" xfId="0" applyFont="1" applyBorder="1" applyAlignment="1">
      <alignment horizontal="center" vertical="center" wrapText="1"/>
    </xf>
    <xf numFmtId="0" fontId="80" fillId="0" borderId="43" xfId="0" applyFont="1" applyBorder="1" applyAlignment="1">
      <alignment horizontal="center" vertical="center" wrapText="1"/>
    </xf>
    <xf numFmtId="0" fontId="80" fillId="0" borderId="42" xfId="0" applyFont="1" applyBorder="1" applyAlignment="1">
      <alignment horizontal="justify" vertical="center" wrapText="1"/>
    </xf>
    <xf numFmtId="0" fontId="80" fillId="0" borderId="54" xfId="0" applyFont="1" applyBorder="1" applyAlignment="1">
      <alignment horizontal="justify" vertical="center" wrapText="1"/>
    </xf>
    <xf numFmtId="0" fontId="80" fillId="0" borderId="59" xfId="0" applyFont="1" applyBorder="1" applyAlignment="1">
      <alignment horizontal="justify" vertical="center" wrapText="1"/>
    </xf>
    <xf numFmtId="169" fontId="34" fillId="0" borderId="5" xfId="30" applyNumberFormat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center" vertical="center" wrapText="1"/>
    </xf>
    <xf numFmtId="2" fontId="0" fillId="0" borderId="2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83" fillId="0" borderId="0" xfId="0" applyFont="1"/>
    <xf numFmtId="0" fontId="0" fillId="0" borderId="0" xfId="0" applyFill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39" fillId="0" borderId="5" xfId="0" applyNumberFormat="1" applyFont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167" fontId="12" fillId="3" borderId="5" xfId="0" applyNumberFormat="1" applyFont="1" applyFill="1" applyBorder="1" applyAlignment="1">
      <alignment horizontal="center" vertical="center"/>
    </xf>
    <xf numFmtId="1" fontId="34" fillId="3" borderId="5" xfId="30" applyNumberFormat="1" applyFill="1" applyBorder="1" applyAlignment="1">
      <alignment horizontal="center" vertical="center"/>
    </xf>
    <xf numFmtId="165" fontId="12" fillId="3" borderId="5" xfId="0" applyNumberFormat="1" applyFont="1" applyFill="1" applyBorder="1" applyAlignment="1">
      <alignment horizontal="center" vertical="center"/>
    </xf>
    <xf numFmtId="2" fontId="12" fillId="3" borderId="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167" fontId="10" fillId="0" borderId="8" xfId="0" applyNumberFormat="1" applyFont="1" applyBorder="1" applyAlignment="1">
      <alignment horizontal="center" vertical="center" wrapText="1"/>
    </xf>
    <xf numFmtId="167" fontId="10" fillId="0" borderId="6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167" fontId="14" fillId="0" borderId="37" xfId="0" applyNumberFormat="1" applyFont="1" applyFill="1" applyBorder="1" applyAlignment="1">
      <alignment horizontal="center" vertical="center" wrapText="1"/>
    </xf>
    <xf numFmtId="0" fontId="65" fillId="0" borderId="2" xfId="30" applyFont="1" applyBorder="1" applyAlignment="1">
      <alignment horizontal="left" vertical="center"/>
    </xf>
    <xf numFmtId="0" fontId="65" fillId="0" borderId="3" xfId="30" applyFont="1" applyBorder="1" applyAlignment="1">
      <alignment horizontal="left" vertical="center"/>
    </xf>
    <xf numFmtId="0" fontId="65" fillId="0" borderId="4" xfId="30" applyFont="1" applyBorder="1" applyAlignment="1">
      <alignment horizontal="left" vertical="center"/>
    </xf>
    <xf numFmtId="0" fontId="34" fillId="0" borderId="2" xfId="30" applyFill="1" applyBorder="1" applyAlignment="1">
      <alignment horizontal="left"/>
    </xf>
    <xf numFmtId="0" fontId="34" fillId="0" borderId="3" xfId="30" applyFill="1" applyBorder="1" applyAlignment="1">
      <alignment horizontal="left"/>
    </xf>
    <xf numFmtId="0" fontId="34" fillId="0" borderId="4" xfId="30" applyFill="1" applyBorder="1" applyAlignment="1">
      <alignment horizontal="left"/>
    </xf>
    <xf numFmtId="0" fontId="75" fillId="0" borderId="2" xfId="0" applyFont="1" applyFill="1" applyBorder="1"/>
    <xf numFmtId="0" fontId="75" fillId="0" borderId="3" xfId="0" applyFont="1" applyFill="1" applyBorder="1"/>
    <xf numFmtId="0" fontId="75" fillId="0" borderId="4" xfId="0" applyFont="1" applyFill="1" applyBorder="1"/>
    <xf numFmtId="0" fontId="14" fillId="0" borderId="2" xfId="0" applyFont="1" applyBorder="1" applyAlignment="1">
      <alignment horizontal="center" vertical="center" shrinkToFit="1"/>
    </xf>
    <xf numFmtId="0" fontId="14" fillId="0" borderId="3" xfId="0" applyFont="1" applyBorder="1" applyAlignment="1">
      <alignment horizontal="center" vertical="center" shrinkToFit="1"/>
    </xf>
    <xf numFmtId="0" fontId="14" fillId="0" borderId="4" xfId="0" applyFont="1" applyBorder="1" applyAlignment="1">
      <alignment horizontal="center" vertical="center" shrinkToFit="1"/>
    </xf>
    <xf numFmtId="0" fontId="11" fillId="0" borderId="2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 shrinkToFit="1"/>
    </xf>
    <xf numFmtId="0" fontId="10" fillId="0" borderId="3" xfId="0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 shrinkToFit="1"/>
    </xf>
    <xf numFmtId="0" fontId="34" fillId="0" borderId="2" xfId="30" applyBorder="1" applyAlignment="1">
      <alignment horizontal="left" vertical="center"/>
    </xf>
    <xf numFmtId="0" fontId="34" fillId="0" borderId="3" xfId="30" applyBorder="1" applyAlignment="1">
      <alignment horizontal="left" vertical="center"/>
    </xf>
    <xf numFmtId="0" fontId="34" fillId="0" borderId="4" xfId="30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right" vertical="center" wrapText="1"/>
    </xf>
    <xf numFmtId="0" fontId="10" fillId="0" borderId="4" xfId="0" applyFont="1" applyBorder="1" applyAlignment="1">
      <alignment horizontal="right" vertical="center" wrapText="1"/>
    </xf>
    <xf numFmtId="0" fontId="72" fillId="0" borderId="0" xfId="0" applyFont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34" fillId="0" borderId="2" xfId="30" quotePrefix="1" applyFill="1" applyBorder="1" applyAlignment="1">
      <alignment horizontal="left" vertical="center" wrapText="1" shrinkToFit="1"/>
    </xf>
    <xf numFmtId="0" fontId="34" fillId="0" borderId="3" xfId="30" quotePrefix="1" applyFill="1" applyBorder="1" applyAlignment="1">
      <alignment horizontal="left" vertical="center" wrapText="1" shrinkToFit="1"/>
    </xf>
    <xf numFmtId="0" fontId="34" fillId="0" borderId="4" xfId="30" quotePrefix="1" applyFill="1" applyBorder="1" applyAlignment="1">
      <alignment horizontal="left" vertical="center" wrapText="1" shrinkToFit="1"/>
    </xf>
    <xf numFmtId="0" fontId="14" fillId="0" borderId="2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39" fillId="0" borderId="2" xfId="0" applyFont="1" applyBorder="1" applyAlignment="1">
      <alignment horizontal="center" vertical="center" wrapText="1"/>
    </xf>
    <xf numFmtId="0" fontId="39" fillId="0" borderId="3" xfId="0" applyFont="1" applyBorder="1" applyAlignment="1">
      <alignment horizontal="center" vertical="center" wrapText="1"/>
    </xf>
    <xf numFmtId="0" fontId="72" fillId="0" borderId="19" xfId="0" applyFont="1" applyBorder="1" applyAlignment="1">
      <alignment horizontal="center" vertical="center" wrapText="1"/>
    </xf>
    <xf numFmtId="0" fontId="72" fillId="0" borderId="1" xfId="0" applyFont="1" applyBorder="1" applyAlignment="1">
      <alignment horizontal="center" vertical="center" wrapText="1"/>
    </xf>
    <xf numFmtId="0" fontId="11" fillId="3" borderId="8" xfId="0" applyNumberFormat="1" applyFont="1" applyFill="1" applyBorder="1" applyAlignment="1">
      <alignment horizontal="left" vertical="center" wrapText="1" shrinkToFit="1"/>
    </xf>
    <xf numFmtId="0" fontId="11" fillId="3" borderId="15" xfId="0" applyNumberFormat="1" applyFont="1" applyFill="1" applyBorder="1" applyAlignment="1">
      <alignment horizontal="left" vertical="center" wrapText="1" shrinkToFit="1"/>
    </xf>
    <xf numFmtId="0" fontId="11" fillId="3" borderId="6" xfId="0" applyNumberFormat="1" applyFont="1" applyFill="1" applyBorder="1" applyAlignment="1">
      <alignment horizontal="left" vertical="center" wrapText="1" shrinkToFit="1"/>
    </xf>
    <xf numFmtId="0" fontId="14" fillId="0" borderId="8" xfId="0" applyFont="1" applyFill="1" applyBorder="1" applyAlignment="1">
      <alignment horizontal="center" vertical="center" shrinkToFit="1"/>
    </xf>
    <xf numFmtId="0" fontId="14" fillId="0" borderId="15" xfId="0" applyFont="1" applyFill="1" applyBorder="1" applyAlignment="1">
      <alignment horizontal="center" vertical="center" shrinkToFit="1"/>
    </xf>
    <xf numFmtId="0" fontId="14" fillId="0" borderId="6" xfId="0" applyFont="1" applyFill="1" applyBorder="1" applyAlignment="1">
      <alignment horizontal="center" vertical="center" shrinkToFit="1"/>
    </xf>
    <xf numFmtId="0" fontId="11" fillId="0" borderId="8" xfId="0" applyNumberFormat="1" applyFont="1" applyFill="1" applyBorder="1" applyAlignment="1">
      <alignment horizontal="left" vertical="center" wrapText="1" shrinkToFit="1"/>
    </xf>
    <xf numFmtId="0" fontId="11" fillId="0" borderId="15" xfId="0" applyNumberFormat="1" applyFont="1" applyFill="1" applyBorder="1" applyAlignment="1">
      <alignment horizontal="left" vertical="center" wrapText="1" shrinkToFit="1"/>
    </xf>
    <xf numFmtId="0" fontId="11" fillId="0" borderId="6" xfId="0" applyNumberFormat="1" applyFont="1" applyFill="1" applyBorder="1" applyAlignment="1">
      <alignment horizontal="left" vertical="center" wrapText="1" shrinkToFit="1"/>
    </xf>
    <xf numFmtId="0" fontId="34" fillId="0" borderId="17" xfId="30" quotePrefix="1" applyFill="1" applyBorder="1" applyAlignment="1">
      <alignment horizontal="left" vertical="top" wrapText="1" shrinkToFit="1"/>
    </xf>
    <xf numFmtId="0" fontId="34" fillId="0" borderId="18" xfId="30" quotePrefix="1" applyFill="1" applyBorder="1" applyAlignment="1">
      <alignment horizontal="left" vertical="top" wrapText="1" shrinkToFit="1"/>
    </xf>
    <xf numFmtId="0" fontId="34" fillId="0" borderId="7" xfId="30" quotePrefix="1" applyFill="1" applyBorder="1" applyAlignment="1">
      <alignment horizontal="left" vertical="top" wrapText="1" shrinkToFit="1"/>
    </xf>
    <xf numFmtId="0" fontId="34" fillId="0" borderId="36" xfId="30" quotePrefix="1" applyFill="1" applyBorder="1" applyAlignment="1">
      <alignment horizontal="left" vertical="top" wrapText="1" shrinkToFit="1"/>
    </xf>
    <xf numFmtId="0" fontId="34" fillId="0" borderId="0" xfId="30" quotePrefix="1" applyFill="1" applyBorder="1" applyAlignment="1">
      <alignment horizontal="left" vertical="top" wrapText="1" shrinkToFit="1"/>
    </xf>
    <xf numFmtId="0" fontId="34" fillId="0" borderId="16" xfId="30" quotePrefix="1" applyFill="1" applyBorder="1" applyAlignment="1">
      <alignment horizontal="left" vertical="top" wrapText="1" shrinkToFit="1"/>
    </xf>
    <xf numFmtId="167" fontId="11" fillId="0" borderId="8" xfId="0" applyNumberFormat="1" applyFont="1" applyBorder="1" applyAlignment="1">
      <alignment horizontal="center" vertical="center" wrapText="1"/>
    </xf>
    <xf numFmtId="167" fontId="11" fillId="0" borderId="15" xfId="0" applyNumberFormat="1" applyFont="1" applyBorder="1" applyAlignment="1">
      <alignment horizontal="center" vertical="center" wrapText="1"/>
    </xf>
    <xf numFmtId="167" fontId="11" fillId="0" borderId="6" xfId="0" applyNumberFormat="1" applyFont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shrinkToFit="1"/>
    </xf>
    <xf numFmtId="0" fontId="14" fillId="3" borderId="15" xfId="0" applyFont="1" applyFill="1" applyBorder="1" applyAlignment="1">
      <alignment horizontal="center" vertical="center" shrinkToFit="1"/>
    </xf>
    <xf numFmtId="0" fontId="14" fillId="3" borderId="6" xfId="0" applyFont="1" applyFill="1" applyBorder="1" applyAlignment="1">
      <alignment horizontal="center" vertical="center" shrinkToFit="1"/>
    </xf>
    <xf numFmtId="0" fontId="34" fillId="0" borderId="17" xfId="30" applyBorder="1" applyAlignment="1">
      <alignment horizontal="left" vertical="center" wrapText="1"/>
    </xf>
    <xf numFmtId="0" fontId="34" fillId="0" borderId="18" xfId="30" applyBorder="1" applyAlignment="1">
      <alignment horizontal="left" vertical="center" wrapText="1"/>
    </xf>
    <xf numFmtId="0" fontId="34" fillId="0" borderId="7" xfId="30" applyBorder="1" applyAlignment="1">
      <alignment horizontal="left" vertical="center" wrapText="1"/>
    </xf>
    <xf numFmtId="0" fontId="34" fillId="0" borderId="19" xfId="30" applyBorder="1" applyAlignment="1">
      <alignment horizontal="left" vertical="center" wrapText="1"/>
    </xf>
    <xf numFmtId="0" fontId="34" fillId="0" borderId="1" xfId="30" applyBorder="1" applyAlignment="1">
      <alignment horizontal="left" vertical="center" wrapText="1"/>
    </xf>
    <xf numFmtId="0" fontId="34" fillId="0" borderId="12" xfId="30" applyBorder="1" applyAlignment="1">
      <alignment horizontal="left" vertical="center" wrapText="1"/>
    </xf>
    <xf numFmtId="0" fontId="34" fillId="0" borderId="2" xfId="30" applyBorder="1" applyAlignment="1">
      <alignment horizontal="left" vertical="center" wrapText="1"/>
    </xf>
    <xf numFmtId="0" fontId="34" fillId="0" borderId="3" xfId="30" applyBorder="1" applyAlignment="1">
      <alignment horizontal="left" vertical="center" wrapText="1"/>
    </xf>
    <xf numFmtId="0" fontId="34" fillId="0" borderId="4" xfId="30" applyBorder="1" applyAlignment="1">
      <alignment horizontal="left" vertical="center" wrapText="1"/>
    </xf>
    <xf numFmtId="0" fontId="14" fillId="0" borderId="2" xfId="30" quotePrefix="1" applyFont="1" applyFill="1" applyBorder="1" applyAlignment="1">
      <alignment horizontal="left" vertical="center" shrinkToFit="1"/>
    </xf>
    <xf numFmtId="0" fontId="14" fillId="0" borderId="3" xfId="30" quotePrefix="1" applyFont="1" applyFill="1" applyBorder="1" applyAlignment="1">
      <alignment horizontal="left" vertical="center" shrinkToFit="1"/>
    </xf>
    <xf numFmtId="0" fontId="14" fillId="0" borderId="4" xfId="30" quotePrefix="1" applyFont="1" applyFill="1" applyBorder="1" applyAlignment="1">
      <alignment horizontal="left" vertical="center" shrinkToFit="1"/>
    </xf>
    <xf numFmtId="0" fontId="11" fillId="0" borderId="8" xfId="0" applyFont="1" applyBorder="1" applyAlignment="1">
      <alignment horizontal="center" vertical="center" wrapText="1" shrinkToFit="1"/>
    </xf>
    <xf numFmtId="0" fontId="11" fillId="0" borderId="15" xfId="0" applyFont="1" applyBorder="1" applyAlignment="1">
      <alignment horizontal="center" vertical="center" wrapText="1" shrinkToFit="1"/>
    </xf>
    <xf numFmtId="0" fontId="11" fillId="0" borderId="6" xfId="0" applyFont="1" applyBorder="1" applyAlignment="1">
      <alignment horizontal="center" vertical="center" wrapText="1" shrinkToFit="1"/>
    </xf>
    <xf numFmtId="2" fontId="11" fillId="0" borderId="8" xfId="0" applyNumberFormat="1" applyFont="1" applyBorder="1" applyAlignment="1">
      <alignment horizontal="center" vertical="center" wrapText="1"/>
    </xf>
    <xf numFmtId="2" fontId="11" fillId="0" borderId="15" xfId="0" applyNumberFormat="1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shrinkToFit="1"/>
    </xf>
    <xf numFmtId="0" fontId="14" fillId="0" borderId="15" xfId="0" applyFont="1" applyBorder="1" applyAlignment="1">
      <alignment horizontal="center" vertical="center" shrinkToFit="1"/>
    </xf>
    <xf numFmtId="0" fontId="14" fillId="0" borderId="6" xfId="0" applyFont="1" applyBorder="1" applyAlignment="1">
      <alignment horizontal="center" vertical="center" shrinkToFit="1"/>
    </xf>
    <xf numFmtId="0" fontId="11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2" xfId="0" applyFont="1" applyFill="1" applyBorder="1"/>
    <xf numFmtId="0" fontId="14" fillId="0" borderId="3" xfId="0" applyFont="1" applyFill="1" applyBorder="1"/>
    <xf numFmtId="0" fontId="14" fillId="0" borderId="4" xfId="0" applyFont="1" applyFill="1" applyBorder="1"/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7" fillId="0" borderId="2" xfId="30" applyFont="1" applyBorder="1" applyAlignment="1">
      <alignment horizontal="left" vertical="center" wrapText="1"/>
    </xf>
    <xf numFmtId="0" fontId="77" fillId="0" borderId="3" xfId="30" applyFont="1" applyBorder="1" applyAlignment="1">
      <alignment horizontal="left" vertical="center" wrapText="1"/>
    </xf>
    <xf numFmtId="0" fontId="77" fillId="0" borderId="4" xfId="30" applyFont="1" applyBorder="1" applyAlignment="1">
      <alignment horizontal="left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65" fillId="0" borderId="2" xfId="30" applyFont="1" applyBorder="1" applyAlignment="1">
      <alignment horizontal="left" vertical="center" wrapText="1"/>
    </xf>
    <xf numFmtId="0" fontId="65" fillId="0" borderId="3" xfId="30" applyFont="1" applyBorder="1" applyAlignment="1">
      <alignment horizontal="left" vertical="center" wrapText="1"/>
    </xf>
    <xf numFmtId="0" fontId="65" fillId="0" borderId="4" xfId="30" applyFont="1" applyBorder="1" applyAlignment="1">
      <alignment horizontal="left" vertical="center" wrapText="1"/>
    </xf>
    <xf numFmtId="0" fontId="74" fillId="0" borderId="2" xfId="30" applyFont="1" applyBorder="1" applyAlignment="1">
      <alignment horizontal="left" vertical="center" wrapText="1"/>
    </xf>
    <xf numFmtId="0" fontId="74" fillId="0" borderId="3" xfId="30" applyFont="1" applyBorder="1" applyAlignment="1">
      <alignment horizontal="left" vertical="center" wrapText="1"/>
    </xf>
    <xf numFmtId="0" fontId="74" fillId="0" borderId="4" xfId="30" applyFont="1" applyBorder="1" applyAlignment="1">
      <alignment horizontal="left" vertical="center" wrapText="1"/>
    </xf>
    <xf numFmtId="0" fontId="74" fillId="0" borderId="2" xfId="30" quotePrefix="1" applyFont="1" applyFill="1" applyBorder="1" applyAlignment="1">
      <alignment horizontal="left" vertical="center" wrapText="1" shrinkToFit="1"/>
    </xf>
    <xf numFmtId="0" fontId="74" fillId="0" borderId="3" xfId="30" quotePrefix="1" applyFont="1" applyFill="1" applyBorder="1" applyAlignment="1">
      <alignment horizontal="left" vertical="center" wrapText="1" shrinkToFit="1"/>
    </xf>
    <xf numFmtId="0" fontId="74" fillId="0" borderId="4" xfId="30" quotePrefix="1" applyFont="1" applyFill="1" applyBorder="1" applyAlignment="1">
      <alignment horizontal="left" vertical="center" wrapText="1" shrinkToFit="1"/>
    </xf>
    <xf numFmtId="0" fontId="12" fillId="0" borderId="0" xfId="0" applyFont="1" applyAlignment="1">
      <alignment horizontal="left" vertical="center"/>
    </xf>
    <xf numFmtId="0" fontId="14" fillId="3" borderId="2" xfId="0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4" fillId="3" borderId="4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34" fillId="0" borderId="2" xfId="30" quotePrefix="1" applyBorder="1" applyAlignment="1">
      <alignment horizontal="center" vertical="center" wrapText="1"/>
    </xf>
    <xf numFmtId="0" fontId="34" fillId="0" borderId="3" xfId="30" quotePrefix="1" applyBorder="1" applyAlignment="1">
      <alignment horizontal="center" vertical="center" wrapText="1"/>
    </xf>
    <xf numFmtId="0" fontId="34" fillId="0" borderId="4" xfId="30" quotePrefix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left"/>
    </xf>
    <xf numFmtId="0" fontId="10" fillId="0" borderId="2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14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41" fillId="0" borderId="2" xfId="30" applyFont="1" applyBorder="1" applyAlignment="1">
      <alignment horizontal="left" vertical="center"/>
    </xf>
    <xf numFmtId="0" fontId="41" fillId="0" borderId="3" xfId="30" applyFont="1" applyBorder="1" applyAlignment="1">
      <alignment horizontal="left" vertical="center"/>
    </xf>
    <xf numFmtId="0" fontId="41" fillId="0" borderId="4" xfId="30" applyFont="1" applyBorder="1" applyAlignment="1">
      <alignment horizontal="left" vertical="center"/>
    </xf>
    <xf numFmtId="0" fontId="80" fillId="0" borderId="41" xfId="0" applyFont="1" applyBorder="1" applyAlignment="1">
      <alignment horizontal="center" vertical="center" wrapText="1"/>
    </xf>
    <xf numFmtId="0" fontId="80" fillId="0" borderId="54" xfId="0" applyFont="1" applyBorder="1" applyAlignment="1">
      <alignment horizontal="center" vertical="center" wrapText="1"/>
    </xf>
    <xf numFmtId="0" fontId="80" fillId="0" borderId="44" xfId="0" applyFont="1" applyBorder="1" applyAlignment="1">
      <alignment horizontal="center" vertical="center" wrapText="1"/>
    </xf>
    <xf numFmtId="0" fontId="80" fillId="0" borderId="46" xfId="0" applyFont="1" applyBorder="1" applyAlignment="1">
      <alignment horizontal="center" vertical="center" wrapText="1"/>
    </xf>
    <xf numFmtId="0" fontId="80" fillId="0" borderId="51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34" fillId="0" borderId="1" xfId="30" applyBorder="1" applyAlignment="1">
      <alignment horizontal="center" vertical="center"/>
    </xf>
    <xf numFmtId="0" fontId="34" fillId="0" borderId="0" xfId="30" applyBorder="1" applyAlignment="1">
      <alignment horizontal="center" vertical="center"/>
    </xf>
    <xf numFmtId="0" fontId="42" fillId="0" borderId="20" xfId="0" applyFont="1" applyBorder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42" fillId="0" borderId="28" xfId="0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 wrapText="1"/>
    </xf>
    <xf numFmtId="0" fontId="42" fillId="0" borderId="24" xfId="0" applyFont="1" applyBorder="1" applyAlignment="1">
      <alignment horizontal="center" vertical="center" wrapText="1"/>
    </xf>
    <xf numFmtId="0" fontId="42" fillId="0" borderId="21" xfId="0" applyFont="1" applyBorder="1" applyAlignment="1">
      <alignment horizontal="center" vertical="center" wrapText="1"/>
    </xf>
    <xf numFmtId="0" fontId="42" fillId="0" borderId="25" xfId="0" applyFont="1" applyBorder="1" applyAlignment="1">
      <alignment horizontal="center" vertical="center" wrapText="1"/>
    </xf>
    <xf numFmtId="0" fontId="42" fillId="0" borderId="22" xfId="0" applyFont="1" applyBorder="1" applyAlignment="1">
      <alignment horizontal="center" vertical="center" wrapText="1"/>
    </xf>
    <xf numFmtId="0" fontId="42" fillId="0" borderId="26" xfId="0" applyFont="1" applyBorder="1" applyAlignment="1">
      <alignment horizontal="center" vertical="center" wrapText="1"/>
    </xf>
    <xf numFmtId="0" fontId="42" fillId="0" borderId="23" xfId="0" applyFont="1" applyBorder="1" applyAlignment="1">
      <alignment horizontal="center" vertical="center" wrapText="1"/>
    </xf>
    <xf numFmtId="0" fontId="42" fillId="0" borderId="27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7" xfId="0" applyFont="1" applyBorder="1" applyAlignment="1">
      <alignment horizontal="center"/>
    </xf>
    <xf numFmtId="0" fontId="40" fillId="0" borderId="0" xfId="0" applyFont="1" applyAlignment="1">
      <alignment horizontal="left" vertical="center"/>
    </xf>
    <xf numFmtId="0" fontId="46" fillId="0" borderId="8" xfId="0" applyFont="1" applyBorder="1" applyAlignment="1">
      <alignment horizontal="center" vertical="center" wrapText="1"/>
    </xf>
    <xf numFmtId="0" fontId="46" fillId="0" borderId="15" xfId="0" applyFont="1" applyBorder="1" applyAlignment="1">
      <alignment horizontal="center" vertical="center" wrapText="1"/>
    </xf>
    <xf numFmtId="0" fontId="46" fillId="0" borderId="6" xfId="0" applyFont="1" applyBorder="1" applyAlignment="1">
      <alignment horizontal="center" vertical="center" wrapText="1"/>
    </xf>
    <xf numFmtId="0" fontId="42" fillId="0" borderId="15" xfId="0" applyFont="1" applyBorder="1"/>
    <xf numFmtId="0" fontId="42" fillId="0" borderId="32" xfId="0" applyFont="1" applyBorder="1"/>
    <xf numFmtId="0" fontId="46" fillId="0" borderId="32" xfId="0" applyFont="1" applyBorder="1" applyAlignment="1">
      <alignment horizontal="center" vertical="center" wrapText="1"/>
    </xf>
    <xf numFmtId="0" fontId="47" fillId="0" borderId="8" xfId="0" applyFont="1" applyBorder="1" applyAlignment="1">
      <alignment horizontal="center" vertical="center"/>
    </xf>
    <xf numFmtId="0" fontId="47" fillId="0" borderId="15" xfId="0" applyFont="1" applyBorder="1" applyAlignment="1">
      <alignment horizontal="center" vertical="center"/>
    </xf>
    <xf numFmtId="0" fontId="47" fillId="0" borderId="6" xfId="0" applyFont="1" applyBorder="1" applyAlignment="1">
      <alignment horizontal="center" vertical="center"/>
    </xf>
    <xf numFmtId="0" fontId="80" fillId="0" borderId="52" xfId="0" applyFont="1" applyBorder="1" applyAlignment="1">
      <alignment horizontal="center" vertical="center" wrapText="1"/>
    </xf>
    <xf numFmtId="0" fontId="80" fillId="0" borderId="53" xfId="0" applyFont="1" applyBorder="1" applyAlignment="1">
      <alignment horizontal="center" vertical="center" wrapText="1"/>
    </xf>
    <xf numFmtId="0" fontId="80" fillId="0" borderId="45" xfId="0" applyFont="1" applyBorder="1" applyAlignment="1">
      <alignment horizontal="center" vertical="center" wrapText="1"/>
    </xf>
    <xf numFmtId="0" fontId="80" fillId="0" borderId="47" xfId="0" applyFont="1" applyBorder="1" applyAlignment="1">
      <alignment horizontal="center" vertical="center" wrapText="1"/>
    </xf>
    <xf numFmtId="0" fontId="80" fillId="0" borderId="8" xfId="0" applyFont="1" applyBorder="1" applyAlignment="1">
      <alignment horizontal="center" vertical="center" wrapText="1"/>
    </xf>
    <xf numFmtId="0" fontId="80" fillId="0" borderId="15" xfId="0" applyFont="1" applyBorder="1" applyAlignment="1">
      <alignment horizontal="center" vertical="center" wrapText="1"/>
    </xf>
    <xf numFmtId="0" fontId="80" fillId="0" borderId="10" xfId="0" applyFont="1" applyBorder="1" applyAlignment="1">
      <alignment horizontal="center" vertical="center" wrapText="1"/>
    </xf>
    <xf numFmtId="0" fontId="80" fillId="0" borderId="17" xfId="0" applyFont="1" applyBorder="1" applyAlignment="1">
      <alignment horizontal="center" vertical="center" wrapText="1"/>
    </xf>
    <xf numFmtId="0" fontId="80" fillId="0" borderId="49" xfId="0" applyFont="1" applyBorder="1" applyAlignment="1">
      <alignment horizontal="center" vertical="center" wrapText="1"/>
    </xf>
    <xf numFmtId="0" fontId="80" fillId="0" borderId="36" xfId="0" applyFont="1" applyBorder="1" applyAlignment="1">
      <alignment horizontal="center" vertical="center" wrapText="1"/>
    </xf>
    <xf numFmtId="0" fontId="80" fillId="0" borderId="48" xfId="0" applyFont="1" applyBorder="1" applyAlignment="1">
      <alignment horizontal="center" vertical="center" wrapText="1"/>
    </xf>
    <xf numFmtId="0" fontId="80" fillId="0" borderId="19" xfId="0" applyFont="1" applyBorder="1" applyAlignment="1">
      <alignment horizontal="center" vertical="center" wrapText="1"/>
    </xf>
    <xf numFmtId="0" fontId="80" fillId="0" borderId="43" xfId="0" applyFont="1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 wrapText="1"/>
    </xf>
    <xf numFmtId="0" fontId="80" fillId="0" borderId="4" xfId="0" applyFont="1" applyBorder="1" applyAlignment="1">
      <alignment horizontal="center" vertical="center" wrapText="1"/>
    </xf>
    <xf numFmtId="0" fontId="80" fillId="0" borderId="3" xfId="0" applyFont="1" applyBorder="1" applyAlignment="1">
      <alignment horizontal="center" vertical="center" wrapText="1"/>
    </xf>
    <xf numFmtId="0" fontId="80" fillId="0" borderId="57" xfId="0" applyFont="1" applyBorder="1" applyAlignment="1">
      <alignment horizontal="center" vertical="center" wrapText="1"/>
    </xf>
    <xf numFmtId="0" fontId="80" fillId="0" borderId="58" xfId="0" applyFont="1" applyBorder="1" applyAlignment="1">
      <alignment horizontal="center" vertical="center" wrapText="1"/>
    </xf>
    <xf numFmtId="0" fontId="80" fillId="0" borderId="42" xfId="0" applyFont="1" applyBorder="1" applyAlignment="1">
      <alignment horizontal="center" vertical="center" wrapText="1"/>
    </xf>
    <xf numFmtId="0" fontId="80" fillId="0" borderId="18" xfId="0" applyFont="1" applyBorder="1" applyAlignment="1">
      <alignment horizontal="center" vertical="center" wrapText="1"/>
    </xf>
    <xf numFmtId="0" fontId="80" fillId="0" borderId="7" xfId="0" applyFont="1" applyBorder="1" applyAlignment="1">
      <alignment horizontal="center" vertical="center" wrapText="1"/>
    </xf>
    <xf numFmtId="0" fontId="80" fillId="0" borderId="17" xfId="0" applyFont="1" applyBorder="1" applyAlignment="1">
      <alignment horizontal="justify" vertical="center" wrapText="1"/>
    </xf>
    <xf numFmtId="0" fontId="80" fillId="0" borderId="18" xfId="0" applyFont="1" applyBorder="1" applyAlignment="1">
      <alignment horizontal="justify" vertical="center" wrapText="1"/>
    </xf>
    <xf numFmtId="0" fontId="80" fillId="0" borderId="49" xfId="0" applyFont="1" applyBorder="1" applyAlignment="1">
      <alignment horizontal="justify" vertical="center" wrapText="1"/>
    </xf>
    <xf numFmtId="0" fontId="80" fillId="0" borderId="36" xfId="0" applyFont="1" applyBorder="1" applyAlignment="1">
      <alignment horizontal="justify" vertical="center" wrapText="1"/>
    </xf>
    <xf numFmtId="0" fontId="80" fillId="0" borderId="0" xfId="0" applyFont="1" applyBorder="1" applyAlignment="1">
      <alignment horizontal="justify" vertical="center" wrapText="1"/>
    </xf>
    <xf numFmtId="0" fontId="80" fillId="0" borderId="48" xfId="0" applyFont="1" applyBorder="1" applyAlignment="1">
      <alignment horizontal="justify" vertical="center" wrapText="1"/>
    </xf>
    <xf numFmtId="0" fontId="80" fillId="0" borderId="1" xfId="0" applyFont="1" applyBorder="1" applyAlignment="1">
      <alignment horizontal="center" vertical="center" wrapText="1"/>
    </xf>
    <xf numFmtId="0" fontId="80" fillId="0" borderId="12" xfId="0" applyFont="1" applyBorder="1" applyAlignment="1">
      <alignment horizontal="center" vertical="center" wrapText="1"/>
    </xf>
    <xf numFmtId="0" fontId="80" fillId="0" borderId="0" xfId="0" applyFont="1" applyAlignment="1">
      <alignment horizontal="justify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justify" wrapText="1"/>
    </xf>
    <xf numFmtId="0" fontId="11" fillId="0" borderId="1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</cellXfs>
  <cellStyles count="31">
    <cellStyle name="1Normal" xfId="10" xr:uid="{00000000-0005-0000-0000-000000000000}"/>
    <cellStyle name="F2" xfId="11" xr:uid="{00000000-0005-0000-0000-000001000000}"/>
    <cellStyle name="F3" xfId="12" xr:uid="{00000000-0005-0000-0000-000002000000}"/>
    <cellStyle name="F4" xfId="13" xr:uid="{00000000-0005-0000-0000-000003000000}"/>
    <cellStyle name="F5" xfId="14" xr:uid="{00000000-0005-0000-0000-000004000000}"/>
    <cellStyle name="F6" xfId="15" xr:uid="{00000000-0005-0000-0000-000005000000}"/>
    <cellStyle name="F7" xfId="16" xr:uid="{00000000-0005-0000-0000-000006000000}"/>
    <cellStyle name="F8" xfId="17" xr:uid="{00000000-0005-0000-0000-000007000000}"/>
    <cellStyle name="Norma11l" xfId="18" xr:uid="{00000000-0005-0000-0000-000008000000}"/>
    <cellStyle name="normal" xfId="19" xr:uid="{00000000-0005-0000-0000-000009000000}"/>
    <cellStyle name="Гиперссылка" xfId="30" builtinId="8"/>
    <cellStyle name="Обычный" xfId="0" builtinId="0"/>
    <cellStyle name="Обычный 2" xfId="2" xr:uid="{00000000-0005-0000-0000-00000C000000}"/>
    <cellStyle name="Обычный 2 2" xfId="20" xr:uid="{00000000-0005-0000-0000-00000D000000}"/>
    <cellStyle name="Обычный 2 3" xfId="26" xr:uid="{00000000-0005-0000-0000-00000E000000}"/>
    <cellStyle name="Обычный 2 3 2" xfId="29" xr:uid="{00000000-0005-0000-0000-00000F000000}"/>
    <cellStyle name="Обычный 2 4" xfId="27" xr:uid="{00000000-0005-0000-0000-000010000000}"/>
    <cellStyle name="Обычный 2 5" xfId="9" xr:uid="{00000000-0005-0000-0000-000011000000}"/>
    <cellStyle name="Обычный 3" xfId="3" xr:uid="{00000000-0005-0000-0000-000012000000}"/>
    <cellStyle name="Обычный 3 2" xfId="28" xr:uid="{00000000-0005-0000-0000-000013000000}"/>
    <cellStyle name="Обычный 3 3" xfId="21" xr:uid="{00000000-0005-0000-0000-000014000000}"/>
    <cellStyle name="Обычный 4" xfId="22" xr:uid="{00000000-0005-0000-0000-000015000000}"/>
    <cellStyle name="Обычный 5" xfId="1" xr:uid="{00000000-0005-0000-0000-000016000000}"/>
    <cellStyle name="Процентный 2" xfId="5" xr:uid="{00000000-0005-0000-0000-000017000000}"/>
    <cellStyle name="Процентный 3" xfId="6" xr:uid="{00000000-0005-0000-0000-000018000000}"/>
    <cellStyle name="Процентный 4" xfId="7" xr:uid="{00000000-0005-0000-0000-000019000000}"/>
    <cellStyle name="Процентный 5" xfId="4" xr:uid="{00000000-0005-0000-0000-00001A000000}"/>
    <cellStyle name="Стиль 1" xfId="8" xr:uid="{00000000-0005-0000-0000-00001B000000}"/>
    <cellStyle name="ТЕКСТ" xfId="23" xr:uid="{00000000-0005-0000-0000-00001C000000}"/>
    <cellStyle name="Тысячи [0]_Capex" xfId="24" xr:uid="{00000000-0005-0000-0000-00001D000000}"/>
    <cellStyle name="Тысячи_Capex" xfId="25" xr:uid="{00000000-0005-0000-0000-00001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wmf"/><Relationship Id="rId1" Type="http://schemas.openxmlformats.org/officeDocument/2006/relationships/image" Target="../media/image5.w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790575</xdr:colOff>
          <xdr:row>11</xdr:row>
          <xdr:rowOff>161925</xdr:rowOff>
        </xdr:from>
        <xdr:to>
          <xdr:col>2</xdr:col>
          <xdr:colOff>914400</xdr:colOff>
          <xdr:row>15</xdr:row>
          <xdr:rowOff>57150</xdr:rowOff>
        </xdr:to>
        <xdr:sp macro="" textlink="">
          <xdr:nvSpPr>
            <xdr:cNvPr id="28673" name="Object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0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20</xdr:row>
          <xdr:rowOff>0</xdr:rowOff>
        </xdr:from>
        <xdr:to>
          <xdr:col>1</xdr:col>
          <xdr:colOff>466725</xdr:colOff>
          <xdr:row>20</xdr:row>
          <xdr:rowOff>266700</xdr:rowOff>
        </xdr:to>
        <xdr:sp macro="" textlink="">
          <xdr:nvSpPr>
            <xdr:cNvPr id="28674" name="Object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0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666750</xdr:colOff>
          <xdr:row>18</xdr:row>
          <xdr:rowOff>114300</xdr:rowOff>
        </xdr:from>
        <xdr:to>
          <xdr:col>4</xdr:col>
          <xdr:colOff>1009650</xdr:colOff>
          <xdr:row>23</xdr:row>
          <xdr:rowOff>171450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7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14</xdr:row>
          <xdr:rowOff>38100</xdr:rowOff>
        </xdr:from>
        <xdr:to>
          <xdr:col>4</xdr:col>
          <xdr:colOff>0</xdr:colOff>
          <xdr:row>16</xdr:row>
          <xdr:rowOff>180975</xdr:rowOff>
        </xdr:to>
        <xdr:sp macro="" textlink="">
          <xdr:nvSpPr>
            <xdr:cNvPr id="52236" name="Object 12" hidden="1">
              <a:extLst>
                <a:ext uri="{63B3BB69-23CF-44E3-9099-C40C66FF867C}">
                  <a14:compatExt spid="_x0000_s52236"/>
                </a:ext>
                <a:ext uri="{FF2B5EF4-FFF2-40B4-BE49-F238E27FC236}">
                  <a16:creationId xmlns:a16="http://schemas.microsoft.com/office/drawing/2014/main" id="{00000000-0008-0000-0800-00000C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457200</xdr:colOff>
          <xdr:row>14</xdr:row>
          <xdr:rowOff>9525</xdr:rowOff>
        </xdr:from>
        <xdr:to>
          <xdr:col>3</xdr:col>
          <xdr:colOff>628650</xdr:colOff>
          <xdr:row>17</xdr:row>
          <xdr:rowOff>0</xdr:rowOff>
        </xdr:to>
        <xdr:sp macro="" textlink="">
          <xdr:nvSpPr>
            <xdr:cNvPr id="26626" name="Object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09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24</xdr:row>
          <xdr:rowOff>0</xdr:rowOff>
        </xdr:from>
        <xdr:to>
          <xdr:col>1</xdr:col>
          <xdr:colOff>466725</xdr:colOff>
          <xdr:row>24</xdr:row>
          <xdr:rowOff>266700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09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1.%20&#1054;&#1041;&#1065;&#1048;&#1045;\3.%20&#1055;&#1088;&#1086;&#1090;&#1086;&#1082;&#1086;&#1083;%20&#1062;&#1050;&#1056;\&#1055;&#1088;&#1086;&#1090;&#1086;&#1082;&#1086;&#1083;_&#1062;&#1050;&#1056;_&#1056;&#1086;&#1089;&#1085;&#1077;&#1076;&#1088;%20&#1042;&#1086;&#1089;&#1090;&#1086;&#1095;&#1085;&#1086;-&#1055;&#1088;&#1080;&#1073;&#1088;&#1077;&#1078;&#1085;&#1086;&#1077;%20&#8470;332%20&#1086;&#1090;%2002.03.2020%204.pdf" TargetMode="External"/><Relationship Id="rId1" Type="http://schemas.openxmlformats.org/officeDocument/2006/relationships/hyperlink" Target="1.%20&#1054;&#1041;&#1065;&#1048;&#1045;\7.%20&#1055;&#1083;&#1072;&#1085;&#1099;%20&#1087;&#1086;%20&#1076;&#1086;&#1073;&#1099;&#1095;&#1077;\7.1%20&#1055;&#1083;&#1072;&#1085;%20&#1087;&#1086;%20&#1076;&#1086;&#1073;&#1099;&#1095;&#1077;\&#1055;&#1083;&#1072;&#1085;%20&#1087;&#1086;%20&#1076;&#1086;&#1073;&#1099;&#1095;&#1077;%20&#1085;&#1072;%202022%20&#1075;&#1086;&#1076;.xl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hyperlink" Target="..\&#1063;&#1045;&#1051;&#1041;&#1040;&#1057;&#1057;&#1050;&#1054;&#1045;%20(&#1050;)\&#1054;&#1041;&#1054;&#1057;&#1053;&#1054;&#1042;&#1067;&#1042;&#1040;&#1070;&#1065;&#1048;&#1045;%20&#1044;&#1054;&#1050;&#1059;&#1052;&#1045;&#1053;&#1058;&#1067;\7.%20&#1050;&#1051;&#1040;&#1055;&#1040;&#1053;&#1040;\7.2%20&#1055;&#1072;&#1089;&#1087;&#1086;&#1088;&#1090;&#1072;\&#1057;&#1055;&#1055;&#1050;%204%20100%20&#1093;%2064\&#1055;&#1072;&#1089;&#1087;&#1086;&#1088;&#1090;%20&#1057;&#1055;&#1055;&#1050;%204%20100-64%20&#8470;168%202.pdf" TargetMode="External"/><Relationship Id="rId7" Type="http://schemas.openxmlformats.org/officeDocument/2006/relationships/image" Target="../media/image5.wmf"/><Relationship Id="rId2" Type="http://schemas.openxmlformats.org/officeDocument/2006/relationships/hyperlink" Target="../&#1063;&#1045;&#1051;&#1041;&#1040;&#1057;&#1057;&#1050;&#1054;&#1045;%20(&#1050;)/&#1054;&#1041;&#1054;&#1057;&#1053;&#1054;&#1042;&#1067;&#1042;&#1040;&#1070;&#1065;&#1048;&#1045;%20&#1044;&#1054;&#1050;&#1059;&#1052;&#1045;&#1053;&#1058;&#1067;/7.%20&#1050;&#1051;&#1040;&#1055;&#1040;&#1053;&#1040;/7.2%20&#1055;&#1072;&#1089;&#1087;&#1086;&#1088;&#1090;&#1072;/&#1057;&#1055;&#1055;&#1050;%204%20100%20&#1093;%2064/&#1055;&#1072;&#1089;&#1087;&#1086;&#1088;&#1090;%20&#1057;&#1055;&#1055;&#1050;%204%20100-64%20&#8470;168%203.pdf" TargetMode="External"/><Relationship Id="rId1" Type="http://schemas.openxmlformats.org/officeDocument/2006/relationships/hyperlink" Target="..\&#1063;&#1045;&#1051;&#1041;&#1040;&#1057;&#1057;&#1050;&#1054;&#1045;%20(&#1050;)\&#1054;&#1041;&#1054;&#1057;&#1053;&#1054;&#1042;&#1067;&#1042;&#1040;&#1070;&#1065;&#1048;&#1045;%20&#1044;&#1054;&#1050;&#1059;&#1052;&#1045;&#1053;&#1058;&#1067;\7.%20&#1050;&#1051;&#1040;&#1055;&#1040;&#1053;&#1040;\7.1%20&#1043;&#1088;&#1072;&#1092;&#1080;&#1082;&#1080;\&#1055;&#1083;&#1072;&#1085;%20&#1087;&#1088;&#1086;&#1074;&#1077;&#1088;&#1082;&#1080;%20&#1082;&#1083;&#1072;&#1087;&#1072;&#1085;&#1086;&#1074;%202020%20&#1087;&#1086;%20&#1054;&#1073;&#1097;&#1077;&#1089;&#1090;&#1074;&#1091;.pdf" TargetMode="External"/><Relationship Id="rId6" Type="http://schemas.openxmlformats.org/officeDocument/2006/relationships/oleObject" Target="../embeddings/oleObject5.bin"/><Relationship Id="rId5" Type="http://schemas.openxmlformats.org/officeDocument/2006/relationships/vmlDrawing" Target="../drawings/vmlDrawing10.vml"/><Relationship Id="rId10" Type="http://schemas.openxmlformats.org/officeDocument/2006/relationships/comments" Target="../comments9.xml"/><Relationship Id="rId4" Type="http://schemas.openxmlformats.org/officeDocument/2006/relationships/drawing" Target="../drawings/drawing4.xml"/><Relationship Id="rId9" Type="http://schemas.openxmlformats.org/officeDocument/2006/relationships/image" Target="../media/image6.wmf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../&#1063;&#1045;&#1051;&#1041;&#1040;&#1057;&#1057;&#1050;&#1054;&#1045;%20(&#1050;)/&#1054;&#1041;&#1054;&#1057;&#1053;&#1054;&#1042;&#1067;&#1042;&#1040;&#1070;&#1065;&#1048;&#1045;%20&#1044;&#1054;&#1050;&#1059;&#1052;&#1045;&#1053;&#1058;&#1067;/&#1052;&#1056;_&#1087;&#1086;&#1090;&#1077;&#1088;&#1080;%20&#1075;&#1072;&#1079;&#1072;%20&#1082;&#1086;&#1085;&#1076;&#1077;&#1089;&#1072;&#1090;&#1072;%20&#1055;&#1053;&#1043;%20&#1087;&#1088;&#1080;%20&#1076;&#1086;&#1073;&#1099;&#1095;&#1077;%2010%2004%202018.doc" TargetMode="External"/><Relationship Id="rId1" Type="http://schemas.openxmlformats.org/officeDocument/2006/relationships/hyperlink" Target="../&#1063;&#1045;&#1051;&#1041;&#1040;&#1057;&#1057;&#1050;&#1054;&#1045;%20(&#1050;)/&#1054;&#1041;&#1054;&#1057;&#1053;&#1054;&#1042;&#1067;&#1042;&#1040;&#1070;&#1065;&#1048;&#1045;%20&#1044;&#1054;&#1050;&#1059;&#1052;&#1045;&#1053;&#1058;&#1067;/&#1052;&#1056;_&#1087;&#1086;&#1090;&#1077;&#1088;&#1080;%20&#1075;&#1072;&#1079;&#1072;%20&#1082;&#1086;&#1085;&#1076;&#1077;&#1089;&#1072;&#1090;&#1072;%20&#1055;&#1053;&#1043;%20&#1087;&#1088;&#1080;%20&#1076;&#1086;&#1073;&#1099;&#1095;&#1077;%2010%2004%202018.doc" TargetMode="External"/><Relationship Id="rId5" Type="http://schemas.openxmlformats.org/officeDocument/2006/relationships/comments" Target="../comments10.xml"/><Relationship Id="rId4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&#1054;&#1041;&#1054;&#1057;&#1053;&#1054;&#1042;&#1067;&#1042;&#1040;&#1070;&#1065;&#1048;&#1045;%20&#1044;&#1054;&#1050;&#1059;&#1052;&#1045;&#1053;&#1058;&#1067;\1.%20&#1054;&#1041;&#1065;&#1048;&#1045;\2.%20&#1055;&#1088;&#1086;&#1077;&#1082;&#1090;%20&#1088;&#1072;&#1079;&#1088;&#1072;&#1073;&#1086;&#1090;&#1082;&#1080;\&#1055;&#1086;&#1089;&#1083;&#1077;%20&#1062;&#1050;&#1056;\&#1058;&#1077;&#1082;&#1089;&#1090;\&#1050;&#1085;&#1080;&#1075;&#1072;%201_&#1042;_&#1055;&#1088;.docx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../&#1063;&#1045;&#1051;&#1041;&#1040;&#1057;&#1057;&#1050;&#1054;&#1045;%20(&#1050;)/&#1054;&#1041;&#1054;&#1057;&#1053;&#1054;&#1042;&#1067;&#1042;&#1040;&#1070;&#1065;&#1048;&#1045;%20&#1044;&#1054;&#1050;&#1059;&#1052;&#1045;&#1053;&#1058;&#1067;/1.%20&#1054;&#1041;&#1065;&#1048;&#1045;/2.%20&#1055;&#1088;&#1086;&#1077;&#1082;&#1090;%20&#1088;&#1072;&#1079;&#1088;&#1072;&#1073;&#1086;&#1090;&#1082;&#1080;/&#1043;&#1083;&#1072;&#1074;&#1072;%201-2.do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1.%20&#1054;&#1041;&#1065;&#1048;&#1045;\3.%20&#1055;&#1088;&#1086;&#1090;&#1086;&#1082;&#1086;&#1083;%20&#1062;&#1050;&#1056;\&#1055;&#1088;&#1086;&#1090;&#1086;&#1082;&#1086;&#1083;_&#1062;&#1050;&#1056;_&#1056;&#1086;&#1089;&#1085;&#1077;&#1076;&#1088;%20&#1042;&#1086;&#1089;&#1090;&#1086;&#1095;&#1085;&#1086;-&#1055;&#1088;&#1080;&#1073;&#1088;&#1077;&#1078;&#1085;&#1086;&#1077;%20&#8470;332%20&#1086;&#1090;%2002.03.2020%204.pdf" TargetMode="External"/><Relationship Id="rId1" Type="http://schemas.openxmlformats.org/officeDocument/2006/relationships/hyperlink" Target="1.%20&#1054;&#1041;&#1065;&#1048;&#1045;\7.%20&#1055;&#1083;&#1072;&#1085;&#1099;%20&#1087;&#1086;%20&#1076;&#1086;&#1073;&#1099;&#1095;&#1077;\7.1%20&#1055;&#1083;&#1072;&#1085;%20&#1087;&#1086;%20&#1076;&#1086;&#1073;&#1099;&#1095;&#1077;\&#1055;&#1083;&#1072;&#1085;%20&#1087;&#1086;%20&#1076;&#1086;&#1073;&#1099;&#1095;&#1077;%20&#1085;&#1072;%202022%20&#1075;&#1086;&#1076;.xls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2.%20&#1043;&#1044;&#1048;+&#1043;&#1050;&#1048;\1.%20&#1057;&#1087;&#1088;&#1072;&#1074;&#1082;&#1072;%20&#1087;&#1086;%20&#1092;&#1086;&#1085;&#1076;&#1091;\&#1057;&#1087;&#1088;&#1072;&#1074;&#1082;&#1072;%20&#1087;&#1086;%20&#1076;&#1077;&#1081;&#1089;&#1090;&#1074;&#1091;&#1102;&#1097;&#1080;&#1084;%20&#1101;&#1082;&#1089;&#1087;&#1083;.%20&#1089;&#1082;&#1074;&#1072;&#1078;&#1080;&#1085;&#1072;&#1084;.pdf" TargetMode="External"/><Relationship Id="rId7" Type="http://schemas.openxmlformats.org/officeDocument/2006/relationships/hyperlink" Target="1.%20&#1054;&#1041;&#1065;&#1048;&#1045;\3.%20&#1055;&#1088;&#1086;&#1090;&#1086;&#1082;&#1086;&#1083;%20&#1062;&#1050;&#1056;\&#1055;&#1088;&#1086;&#1090;&#1086;&#1082;&#1086;&#1083;_&#1062;&#1050;&#1056;_&#1056;&#1086;&#1089;&#1085;&#1077;&#1076;&#1088;%20&#1042;&#1086;&#1089;&#1090;&#1086;&#1095;&#1085;&#1086;-&#1055;&#1088;&#1080;&#1073;&#1088;&#1077;&#1078;&#1085;&#1086;&#1077;%20&#8470;332%20&#1086;&#1090;%2002.03.2020%204.pdf" TargetMode="External"/><Relationship Id="rId2" Type="http://schemas.openxmlformats.org/officeDocument/2006/relationships/hyperlink" Target="1.%20&#1054;&#1041;&#1065;&#1048;&#1045;\3.%20&#1055;&#1088;&#1086;&#1090;&#1086;&#1082;&#1086;&#1083;%20&#1062;&#1050;&#1056;\&#1055;&#1088;&#1086;&#1090;&#1086;&#1082;&#1086;&#1083;_&#1062;&#1050;&#1056;_&#1056;&#1086;&#1089;&#1085;&#1077;&#1076;&#1088;%20&#1042;&#1086;&#1089;&#1090;&#1086;&#1095;&#1085;&#1086;-&#1055;&#1088;&#1080;&#1073;&#1088;&#1077;&#1078;&#1085;&#1086;&#1077;%20&#8470;332%20&#1086;&#1090;%2002.03.2020%204.pdf" TargetMode="External"/><Relationship Id="rId1" Type="http://schemas.openxmlformats.org/officeDocument/2006/relationships/hyperlink" Target="1.%20&#1054;&#1041;&#1065;&#1048;&#1045;\3.%20&#1055;&#1088;&#1086;&#1090;&#1086;&#1082;&#1086;&#1083;%20&#1062;&#1050;&#1056;\&#1055;&#1088;&#1086;&#1090;&#1086;&#1082;&#1086;&#1083;_&#1062;&#1050;&#1056;_&#1056;&#1086;&#1089;&#1085;&#1077;&#1076;&#1088;%20&#1042;&#1086;&#1089;&#1090;&#1086;&#1095;&#1085;&#1086;-&#1055;&#1088;&#1080;&#1073;&#1088;&#1077;&#1078;&#1085;&#1086;&#1077;%20&#8470;332%20&#1086;&#1090;%2002.03.2020%204.pdf" TargetMode="External"/><Relationship Id="rId6" Type="http://schemas.openxmlformats.org/officeDocument/2006/relationships/hyperlink" Target="1.%20&#1054;&#1041;&#1065;&#1048;&#1045;\3.%20&#1055;&#1088;&#1086;&#1090;&#1086;&#1082;&#1086;&#1083;%20&#1062;&#1050;&#1056;\&#1055;&#1088;&#1086;&#1090;&#1086;&#1082;&#1086;&#1083;_&#1062;&#1050;&#1056;_&#1056;&#1086;&#1089;&#1085;&#1077;&#1076;&#1088;%20&#1042;&#1086;&#1089;&#1090;&#1086;&#1095;&#1085;&#1086;-&#1055;&#1088;&#1080;&#1073;&#1088;&#1077;&#1078;&#1085;&#1086;&#1077;%20&#8470;332%20&#1086;&#1090;%2002.03.2020%204.pdf" TargetMode="External"/><Relationship Id="rId5" Type="http://schemas.openxmlformats.org/officeDocument/2006/relationships/hyperlink" Target="1.%20&#1054;&#1041;&#1065;&#1048;&#1045;\3.%20&#1055;&#1088;&#1086;&#1090;&#1086;&#1082;&#1086;&#1083;%20&#1062;&#1050;&#1056;\&#1055;&#1088;&#1086;&#1090;&#1086;&#1082;&#1086;&#1083;_&#1062;&#1050;&#1056;_&#1056;&#1086;&#1089;&#1085;&#1077;&#1076;&#1088;%20&#1042;&#1086;&#1089;&#1090;&#1086;&#1095;&#1085;&#1086;-&#1055;&#1088;&#1080;&#1073;&#1088;&#1077;&#1078;&#1085;&#1086;&#1077;%20&#8470;332%20&#1086;&#1090;%2002.03.2020%204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&#1054;&#1041;&#1054;&#1057;&#1053;&#1054;&#1042;&#1067;&#1042;&#1040;&#1070;&#1065;&#1048;&#1045;%20&#1044;&#1054;&#1050;&#1059;&#1052;&#1045;&#1053;&#1058;&#1067;\I.%20&#1054;&#1073;&#1097;&#1080;&#1077;\3.%20&#1055;&#1088;&#1086;&#1090;&#1086;&#1082;&#1086;&#1083;%20&#1062;&#1050;&#1056;\&#1055;&#1056;&#1054;&#1058;&#1054;&#1050;&#1054;&#1051;.pdf" TargetMode="External"/><Relationship Id="rId9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&#1054;&#1041;&#1054;&#1057;&#1053;&#1054;&#1042;&#1067;&#1042;&#1040;&#1070;&#1065;&#1048;&#1045;%20&#1044;&#1054;&#1050;&#1059;&#1052;&#1045;&#1053;&#1058;&#1067;\1.%20&#1054;&#1041;&#1065;&#1048;&#1045;\5.%20&#1058;&#1077;&#1093;&#1085;&#1086;&#1083;&#1086;&#1075;&#1080;&#1095;&#1077;&#1089;&#1082;&#1080;&#1081;%20&#1088;&#1077;&#1075;&#1083;&#1072;&#1084;&#1077;&#1085;&#1090;\5.2%20&#1043;&#1072;&#1079;&#1086;&#1087;&#1088;&#1086;&#1074;&#1086;&#1076;&#1099;\&#1057;&#1080;&#1089;&#1090;&#1077;&#1084;&#1072;%20&#1089;&#1073;&#1086;&#1088;&#1072;\&#1058;&#1056;%20&#1057;&#1055;&#1058;%20&#1042;&#1086;&#1089;&#1090;&#1086;&#1095;&#1085;&#1086;-&#1055;&#1088;&#1080;&#1073;&#1088;&#1077;&#1078;&#1085;&#1086;&#1075;&#1086;%20&#1084;&#1088;.pdf" TargetMode="External"/><Relationship Id="rId2" Type="http://schemas.openxmlformats.org/officeDocument/2006/relationships/hyperlink" Target="&#1054;&#1041;&#1054;&#1057;&#1053;&#1054;&#1042;&#1067;&#1042;&#1040;&#1070;&#1065;&#1048;&#1045;%20&#1044;&#1054;&#1050;&#1059;&#1052;&#1045;&#1053;&#1058;&#1067;\1.%20&#1054;&#1041;&#1065;&#1048;&#1045;\2.%20&#1055;&#1088;&#1086;&#1077;&#1082;&#1090;%20&#1088;&#1072;&#1079;&#1088;&#1072;&#1073;&#1086;&#1090;&#1082;&#1080;\&#1055;&#1086;&#1089;&#1083;&#1077;%20&#1062;&#1050;&#1056;\&#1058;&#1077;&#1082;&#1089;&#1090;\&#1050;&#1085;&#1080;&#1075;&#1072;%201_&#1042;_&#1055;&#1088;.docx" TargetMode="External"/><Relationship Id="rId1" Type="http://schemas.openxmlformats.org/officeDocument/2006/relationships/hyperlink" Target="1.%20&#1054;&#1041;&#1065;&#1048;&#1045;\3.%20&#1055;&#1088;&#1086;&#1090;&#1086;&#1082;&#1086;&#1083;%20&#1062;&#1050;&#1056;\&#1055;&#1088;&#1086;&#1090;&#1086;&#1082;&#1086;&#1083;_&#1062;&#1050;&#1056;_&#1056;&#1086;&#1089;&#1085;&#1077;&#1076;&#1088;%20&#1042;&#1086;&#1089;&#1090;&#1086;&#1095;&#1085;&#1086;-&#1055;&#1088;&#1080;&#1073;&#1088;&#1077;&#1078;&#1085;&#1086;&#1077;%20&#8470;332%20&#1086;&#1090;%2002.03.2020%204.pdf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&#1054;&#1041;&#1054;&#1057;&#1053;&#1054;&#1042;&#1067;&#1042;&#1040;&#1070;&#1065;&#1048;&#1045;%20&#1044;&#1054;&#1050;&#1059;&#1052;&#1045;&#1053;&#1058;&#1067;\1.%20&#1054;&#1041;&#1065;&#1048;&#1045;\5.%20&#1058;&#1077;&#1093;&#1085;&#1086;&#1083;&#1086;&#1075;&#1080;&#1095;&#1077;&#1089;&#1082;&#1080;&#1081;%20&#1088;&#1077;&#1075;&#1083;&#1072;&#1084;&#1077;&#1085;&#1090;\5.3%20&#1059;&#1050;&#1055;&#1043;\&#1058;&#1056;%20&#1059;&#1055;&#1043;-500%20&#1042;&#1086;&#1089;&#1090;&#1086;&#1095;&#1085;&#1086;-&#1055;&#1088;&#1080;&#1073;&#1088;&#1077;&#1078;&#1085;&#1086;&#1075;&#1086;%20&#1084;&#1088;.pdf" TargetMode="External"/><Relationship Id="rId2" Type="http://schemas.openxmlformats.org/officeDocument/2006/relationships/hyperlink" Target="&#1054;&#1041;&#1054;&#1057;&#1053;&#1054;&#1042;&#1067;&#1042;&#1040;&#1070;&#1065;&#1048;&#1045;%20&#1044;&#1054;&#1050;&#1059;&#1052;&#1045;&#1053;&#1058;&#1067;\1.%20&#1054;&#1041;&#1065;&#1048;&#1045;\2.%20&#1055;&#1088;&#1086;&#1077;&#1082;&#1090;%20&#1088;&#1072;&#1079;&#1088;&#1072;&#1073;&#1086;&#1090;&#1082;&#1080;\&#1055;&#1086;&#1089;&#1083;&#1077;%20&#1062;&#1050;&#1056;\&#1058;&#1077;&#1082;&#1089;&#1090;\&#1050;&#1085;&#1080;&#1075;&#1072;%201_&#1042;_&#1055;&#1088;.docx" TargetMode="External"/><Relationship Id="rId1" Type="http://schemas.openxmlformats.org/officeDocument/2006/relationships/hyperlink" Target="&#1054;&#1041;&#1054;&#1057;&#1053;&#1054;&#1042;&#1067;&#1042;&#1040;&#1070;&#1065;&#1048;&#1045;%20&#1044;&#1054;&#1050;&#1059;&#1052;&#1045;&#1053;&#1058;&#1067;\1.%20&#1054;&#1041;&#1065;&#1048;&#1045;\5.%20&#1058;&#1077;&#1093;&#1085;&#1086;&#1083;&#1086;&#1075;&#1080;&#1095;&#1077;&#1089;&#1082;&#1080;&#1081;%20&#1088;&#1077;&#1075;&#1083;&#1072;&#1084;&#1077;&#1085;&#1090;\5.3%20&#1059;&#1050;&#1055;&#1043;\&#1058;&#1056;%20&#1059;&#1055;&#1043;-500%20&#1042;&#1086;&#1089;&#1090;&#1086;&#1095;&#1085;&#1086;-&#1055;&#1088;&#1080;&#1073;&#1088;&#1077;&#1078;&#1085;&#1086;&#1075;&#1086;%20&#1084;&#1088;.pdf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&#1054;&#1041;&#1054;&#1057;&#1053;&#1054;&#1042;&#1067;&#1042;&#1040;&#1070;&#1065;&#1048;&#1045;%20&#1044;&#1054;&#1050;&#1059;&#1052;&#1045;&#1053;&#1058;&#1067;\1.%20&#1054;&#1041;&#1065;&#1048;&#1045;\2.%20&#1055;&#1088;&#1086;&#1077;&#1082;&#1090;%20&#1088;&#1072;&#1079;&#1088;&#1072;&#1073;&#1086;&#1090;&#1082;&#1080;\&#1055;&#1086;&#1089;&#1083;&#1077;%20&#1062;&#1050;&#1056;\&#1058;&#1077;&#1082;&#1089;&#1090;\&#1050;&#1085;&#1080;&#1075;&#1072;%201_&#1042;_&#1055;&#1088;.docx" TargetMode="External"/><Relationship Id="rId3" Type="http://schemas.openxmlformats.org/officeDocument/2006/relationships/hyperlink" Target="../&#1063;&#1045;&#1051;&#1041;&#1040;&#1057;&#1057;&#1050;&#1054;&#1045;%20(&#1050;)/&#1054;&#1041;&#1054;&#1057;&#1053;&#1054;&#1042;&#1067;&#1042;&#1040;&#1070;&#1065;&#1048;&#1045;%20&#1044;&#1054;&#1050;&#1059;&#1052;&#1045;&#1053;&#1058;&#1067;/&#1052;&#1056;_&#1087;&#1086;&#1090;&#1077;&#1088;&#1080;%20&#1075;&#1072;&#1079;&#1072;%20&#1082;&#1086;&#1085;&#1076;&#1077;&#1089;&#1072;&#1090;&#1072;%20&#1055;&#1053;&#1043;%20&#1087;&#1088;&#1080;%20&#1076;&#1086;&#1073;&#1099;&#1095;&#1077;%2010%2004%202018.doc" TargetMode="External"/><Relationship Id="rId7" Type="http://schemas.openxmlformats.org/officeDocument/2006/relationships/hyperlink" Target="&#1054;&#1041;&#1054;&#1057;&#1053;&#1054;&#1042;&#1067;&#1042;&#1040;&#1070;&#1065;&#1048;&#1045;%20&#1044;&#1054;&#1050;&#1059;&#1052;&#1045;&#1053;&#1058;&#1067;\1.%20&#1054;&#1041;&#1065;&#1048;&#1045;\2.%20&#1055;&#1088;&#1086;&#1077;&#1082;&#1090;%20&#1088;&#1072;&#1079;&#1088;&#1072;&#1073;&#1086;&#1090;&#1082;&#1080;\&#1055;&#1088;&#1086;&#1077;&#1082;&#1090;\&#1095;&#1072;&#1089;&#1090;&#1100;%201\&#1075;&#1083;&#1072;&#1074;&#1072;%202.docx" TargetMode="External"/><Relationship Id="rId2" Type="http://schemas.openxmlformats.org/officeDocument/2006/relationships/hyperlink" Target="../&#1063;&#1045;&#1051;&#1041;&#1040;&#1057;&#1057;&#1050;&#1054;&#1045;%20(&#1050;)/&#1054;&#1041;&#1054;&#1057;&#1053;&#1054;&#1042;&#1067;&#1042;&#1040;&#1070;&#1065;&#1048;&#1045;%20&#1044;&#1054;&#1050;&#1059;&#1052;&#1045;&#1053;&#1058;&#1067;/&#1052;&#1056;_&#1087;&#1086;&#1090;&#1077;&#1088;&#1080;%20&#1075;&#1072;&#1079;&#1072;%20&#1082;&#1086;&#1085;&#1076;&#1077;&#1089;&#1072;&#1090;&#1072;%20&#1055;&#1053;&#1043;%20&#1087;&#1088;&#1080;%20&#1076;&#1086;&#1073;&#1099;&#1095;&#1077;%2010%2004%202018.doc" TargetMode="External"/><Relationship Id="rId1" Type="http://schemas.openxmlformats.org/officeDocument/2006/relationships/hyperlink" Target="../&#1063;&#1045;&#1051;&#1041;&#1040;&#1057;&#1057;&#1050;&#1054;&#1045;%20(&#1050;)/&#1054;&#1041;&#1054;&#1057;&#1053;&#1054;&#1042;&#1067;&#1042;&#1040;&#1070;&#1065;&#1048;&#1045;%20&#1044;&#1054;&#1050;&#1059;&#1052;&#1045;&#1053;&#1058;&#1067;/&#1052;&#1056;_&#1087;&#1086;&#1090;&#1077;&#1088;&#1080;%20&#1075;&#1072;&#1079;&#1072;%20&#1082;&#1086;&#1085;&#1076;&#1077;&#1089;&#1072;&#1090;&#1072;%20&#1055;&#1053;&#1043;%20&#1087;&#1088;&#1080;%20&#1076;&#1086;&#1073;&#1099;&#1095;&#1077;%2010%2004%202018.doc" TargetMode="External"/><Relationship Id="rId6" Type="http://schemas.openxmlformats.org/officeDocument/2006/relationships/hyperlink" Target="&#1054;&#1041;&#1054;&#1057;&#1053;&#1054;&#1042;&#1067;&#1042;&#1040;&#1070;&#1065;&#1048;&#1045;%20&#1044;&#1054;&#1050;&#1059;&#1052;&#1045;&#1053;&#1058;&#1067;\4.%20&#1044;&#1045;&#1043;&#1040;&#1047;&#1040;&#1062;&#1048;&#1071;\1.%20&#1042;&#1054;&#1044;&#1040;\&#1054;&#1073;&#1098;&#1077;&#1084;%20&#1076;&#1086;&#1073;&#1099;&#1095;&#1080;%20&#1074;&#1086;&#1076;&#1099;%20&#1050;&#1043;&#1055;&#1059;%202019.xlsx" TargetMode="External"/><Relationship Id="rId11" Type="http://schemas.openxmlformats.org/officeDocument/2006/relationships/comments" Target="../comments6.xml"/><Relationship Id="rId5" Type="http://schemas.openxmlformats.org/officeDocument/2006/relationships/hyperlink" Target="../&#1063;&#1045;&#1051;&#1041;&#1040;&#1057;&#1057;&#1050;&#1054;&#1045;%20(&#1050;)/&#1054;&#1041;&#1054;&#1057;&#1053;&#1054;&#1042;&#1067;&#1042;&#1040;&#1070;&#1065;&#1048;&#1045;%20&#1044;&#1054;&#1050;&#1059;&#1052;&#1045;&#1053;&#1058;&#1067;/&#1052;&#1056;_&#1087;&#1086;&#1090;&#1077;&#1088;&#1080;%20&#1075;&#1072;&#1079;&#1072;%20&#1082;&#1086;&#1085;&#1076;&#1077;&#1089;&#1072;&#1090;&#1072;%20&#1055;&#1053;&#1043;%20&#1087;&#1088;&#1080;%20&#1076;&#1086;&#1073;&#1099;&#1095;&#1077;%2010%2004%202018.doc" TargetMode="External"/><Relationship Id="rId10" Type="http://schemas.openxmlformats.org/officeDocument/2006/relationships/vmlDrawing" Target="../drawings/vmlDrawing6.vml"/><Relationship Id="rId4" Type="http://schemas.openxmlformats.org/officeDocument/2006/relationships/hyperlink" Target="../&#1063;&#1045;&#1051;&#1041;&#1040;&#1057;&#1057;&#1050;&#1054;&#1045;%20(&#1050;)/&#1054;&#1041;&#1054;&#1057;&#1053;&#1054;&#1042;&#1067;&#1042;&#1040;&#1070;&#1065;&#1048;&#1045;%20&#1044;&#1054;&#1050;&#1059;&#1052;&#1045;&#1053;&#1058;&#1067;/&#1052;&#1056;_&#1087;&#1086;&#1090;&#1077;&#1088;&#1080;%20&#1075;&#1072;&#1079;&#1072;%20&#1082;&#1086;&#1085;&#1076;&#1077;&#1089;&#1072;&#1090;&#1072;%20&#1055;&#1053;&#1043;%20&#1087;&#1088;&#1080;%20&#1076;&#1086;&#1073;&#1099;&#1095;&#1077;%2010%2004%202018.doc" TargetMode="External"/><Relationship Id="rId9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wmf"/><Relationship Id="rId3" Type="http://schemas.openxmlformats.org/officeDocument/2006/relationships/drawing" Target="../drawings/drawing1.xml"/><Relationship Id="rId7" Type="http://schemas.openxmlformats.org/officeDocument/2006/relationships/oleObject" Target="../embeddings/oleObject2.bin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&#1054;&#1041;&#1054;&#1057;&#1053;&#1054;&#1042;&#1067;&#1042;&#1040;&#1070;&#1065;&#1048;&#1045;%20&#1044;&#1054;&#1050;&#1059;&#1052;&#1045;&#1053;&#1058;&#1067;\5.%20&#1061;&#1048;&#1052;.&#1056;&#1045;&#1040;&#1043;&#1045;&#1053;&#1058;&#1067;\1.%20&#1043;&#1088;&#1072;&#1092;&#1080;&#1082;&#1080;\&#1055;&#1083;&#1072;&#1085;%20&#1079;&#1072;&#1087;&#1088;&#1072;&#1074;&#1086;&#1082;%20&#1093;&#1080;&#1084;&#1088;&#1077;&#1072;&#1075;&#1077;&#1085;&#1090;&#1072;&#1084;&#1080;%202020%20&#1087;&#1086;%20&#1054;&#1073;&#1097;&#1077;&#1089;&#1090;&#1074;&#1091;.pdf" TargetMode="External"/><Relationship Id="rId6" Type="http://schemas.openxmlformats.org/officeDocument/2006/relationships/image" Target="../media/image1.w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7.xml"/><Relationship Id="rId3" Type="http://schemas.openxmlformats.org/officeDocument/2006/relationships/printerSettings" Target="../printerSettings/printerSettings8.bin"/><Relationship Id="rId7" Type="http://schemas.openxmlformats.org/officeDocument/2006/relationships/image" Target="../media/image3.wmf"/><Relationship Id="rId2" Type="http://schemas.openxmlformats.org/officeDocument/2006/relationships/hyperlink" Target="..\&#1063;&#1045;&#1051;&#1041;&#1040;&#1057;&#1057;&#1050;&#1054;&#1045;%20(&#1050;)\&#1054;&#1041;&#1054;&#1057;&#1053;&#1054;&#1042;&#1067;&#1042;&#1040;&#1070;&#1065;&#1048;&#1045;%20&#1044;&#1054;&#1050;&#1059;&#1052;&#1045;&#1053;&#1058;&#1067;\6.%20&#1054;&#1058;&#1041;&#1054;&#1056;%20&#1055;&#1056;&#1054;&#1041;\6.1%20&#1055;&#1083;&#1072;&#1085;&#1099;%20&#1075;&#1088;&#1072;&#1092;&#1080;&#1082;&#1080;\&#1055;&#1083;&#1072;&#1085;%20&#1086;&#1090;&#1073;&#1086;&#1088;&#1072;%20&#1087;&#1088;&#1086;&#1073;%20&#1075;&#1072;&#1079;&#1072;%202020%20&#1087;&#1086;%20&#1054;&#1073;&#1097;&#1077;&#1089;&#1090;&#1074;&#1091;.pdf" TargetMode="External"/><Relationship Id="rId1" Type="http://schemas.openxmlformats.org/officeDocument/2006/relationships/hyperlink" Target="..\&#1063;&#1045;&#1051;&#1041;&#1040;&#1057;&#1057;&#1050;&#1054;&#1045;%20(&#1050;)\&#1054;&#1041;&#1054;&#1057;&#1053;&#1054;&#1042;&#1067;&#1042;&#1040;&#1070;&#1065;&#1048;&#1045;%20&#1044;&#1054;&#1050;&#1059;&#1052;&#1045;&#1053;&#1058;&#1067;\6.%20&#1054;&#1058;&#1041;&#1054;&#1056;%20&#1055;&#1056;&#1054;&#1041;\6.2%20&#1055;&#1072;&#1089;&#1087;&#1086;&#1088;&#1090;&#1072;\&#1055;&#1072;&#1089;&#1087;&#1086;&#1088;&#1090;%20-%20400%20&#1075;&#1072;&#1079;.pdf" TargetMode="External"/><Relationship Id="rId6" Type="http://schemas.openxmlformats.org/officeDocument/2006/relationships/oleObject" Target="../embeddings/oleObject3.bin"/><Relationship Id="rId5" Type="http://schemas.openxmlformats.org/officeDocument/2006/relationships/vmlDrawing" Target="../drawings/vmlDrawing8.vml"/><Relationship Id="rId4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mments" Target="../comments8.xml"/><Relationship Id="rId3" Type="http://schemas.openxmlformats.org/officeDocument/2006/relationships/hyperlink" Target="&#1054;&#1041;&#1054;&#1057;&#1053;&#1054;&#1042;&#1067;&#1042;&#1040;&#1070;&#1065;&#1048;&#1045;%20&#1044;&#1054;&#1050;&#1059;&#1052;&#1045;&#1053;&#1058;&#1067;\6.%20&#1054;&#1058;&#1041;&#1054;&#1056;%20&#1055;&#1056;&#1054;&#1041;\6.1%20&#1055;&#1083;&#1072;&#1085;&#1099;%20&#1075;&#1088;&#1072;&#1092;&#1080;&#1082;&#1080;\&#1055;&#1083;&#1072;&#1085;%20&#1086;&#1090;&#1073;&#1086;&#1088;&#1072;%20&#1087;&#1088;&#1086;&#1073;%20&#1082;&#1086;&#1085;&#1076;&#1077;&#1085;&#1089;&#1072;&#1090;&#1072;%202020%20&#1087;&#1086;%20&#1054;&#1073;&#1097;&#1077;&#1089;&#1090;&#1074;&#1091;.pdf" TargetMode="External"/><Relationship Id="rId7" Type="http://schemas.openxmlformats.org/officeDocument/2006/relationships/image" Target="../media/image4.wmf"/><Relationship Id="rId2" Type="http://schemas.openxmlformats.org/officeDocument/2006/relationships/hyperlink" Target="&#1054;&#1041;&#1054;&#1057;&#1053;&#1054;&#1042;&#1067;&#1042;&#1040;&#1070;&#1065;&#1048;&#1045;%20&#1044;&#1054;&#1050;&#1059;&#1052;&#1045;&#1053;&#1058;&#1067;\1.%20&#1054;&#1041;&#1065;&#1048;&#1045;\2.%20&#1055;&#1088;&#1086;&#1077;&#1082;&#1090;%20&#1088;&#1072;&#1079;&#1088;&#1072;&#1073;&#1086;&#1090;&#1082;&#1080;\&#1055;&#1086;&#1089;&#1083;&#1077;%20&#1062;&#1050;&#1056;\&#1058;&#1077;&#1082;&#1089;&#1090;\&#1050;&#1085;&#1080;&#1075;&#1072;%201_&#1042;_&#1055;&#1088;.docx" TargetMode="External"/><Relationship Id="rId1" Type="http://schemas.openxmlformats.org/officeDocument/2006/relationships/hyperlink" Target="..\&#1063;&#1045;&#1051;&#1041;&#1040;&#1057;&#1057;&#1050;&#1054;&#1045;%20(&#1050;)\&#1054;&#1041;&#1054;&#1057;&#1053;&#1054;&#1042;&#1067;&#1042;&#1040;&#1070;&#1065;&#1048;&#1045;%20&#1044;&#1054;&#1050;&#1059;&#1052;&#1045;&#1053;&#1058;&#1067;\6.%20&#1054;&#1058;&#1041;&#1054;&#1056;%20&#1055;&#1056;&#1054;&#1041;\6.2%20&#1055;&#1072;&#1089;&#1087;&#1086;&#1088;&#1090;&#1072;\&#1055;&#1072;&#1089;&#1087;&#1086;&#1088;&#1090;%20&#1055;&#1043;&#1054;-%20400%20&#1078;&#1091;&#1074;.pdf" TargetMode="External"/><Relationship Id="rId6" Type="http://schemas.openxmlformats.org/officeDocument/2006/relationships/oleObject" Target="../embeddings/oleObject4.bin"/><Relationship Id="rId5" Type="http://schemas.openxmlformats.org/officeDocument/2006/relationships/vmlDrawing" Target="../drawings/vmlDrawing9.v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4A9A-4E3F-4565-A4A5-A331459326D8}">
  <dimension ref="A1:G20"/>
  <sheetViews>
    <sheetView workbookViewId="0">
      <selection activeCell="C4" sqref="C4:E11"/>
    </sheetView>
  </sheetViews>
  <sheetFormatPr defaultRowHeight="15" x14ac:dyDescent="0.25"/>
  <cols>
    <col min="1" max="1" width="56.140625" customWidth="1"/>
    <col min="2" max="2" width="14.85546875" customWidth="1"/>
    <col min="3" max="3" width="18.85546875" customWidth="1"/>
    <col min="4" max="4" width="13" customWidth="1"/>
    <col min="5" max="5" width="16.5703125" customWidth="1"/>
  </cols>
  <sheetData>
    <row r="1" spans="1:7" ht="19.5" customHeight="1" thickBot="1" x14ac:dyDescent="0.3">
      <c r="A1" s="287" t="s">
        <v>390</v>
      </c>
      <c r="B1" s="287"/>
      <c r="C1" s="287"/>
      <c r="D1" s="287"/>
      <c r="E1" s="287"/>
      <c r="F1" s="115"/>
    </row>
    <row r="2" spans="1:7" ht="16.5" thickBot="1" x14ac:dyDescent="0.3">
      <c r="A2" s="288" t="s">
        <v>278</v>
      </c>
      <c r="B2" s="290" t="s">
        <v>2</v>
      </c>
      <c r="C2" s="292" t="s">
        <v>3</v>
      </c>
      <c r="D2" s="293"/>
      <c r="E2" s="294"/>
    </row>
    <row r="3" spans="1:7" ht="19.5" customHeight="1" thickBot="1" x14ac:dyDescent="0.3">
      <c r="A3" s="289"/>
      <c r="B3" s="291"/>
      <c r="C3" s="168" t="s">
        <v>322</v>
      </c>
      <c r="D3" s="167" t="s">
        <v>323</v>
      </c>
      <c r="E3" s="169" t="s">
        <v>225</v>
      </c>
    </row>
    <row r="4" spans="1:7" ht="20.25" customHeight="1" thickBot="1" x14ac:dyDescent="0.3">
      <c r="A4" s="120" t="s">
        <v>272</v>
      </c>
      <c r="B4" s="175" t="s">
        <v>281</v>
      </c>
      <c r="C4" s="124">
        <v>751.38802083333337</v>
      </c>
      <c r="D4" s="176">
        <v>0.75138802083333334</v>
      </c>
      <c r="E4" s="177">
        <v>1.0392642058552328</v>
      </c>
      <c r="G4" s="277">
        <f>D4/$D$12*100</f>
        <v>87.884270194055887</v>
      </c>
    </row>
    <row r="5" spans="1:7" ht="15.75" customHeight="1" thickBot="1" x14ac:dyDescent="0.3">
      <c r="A5" s="117" t="s">
        <v>273</v>
      </c>
      <c r="B5" s="295" t="s">
        <v>282</v>
      </c>
      <c r="C5" s="125">
        <v>61.141595783408818</v>
      </c>
      <c r="D5" s="178">
        <v>6.1141595783408817E-2</v>
      </c>
      <c r="E5" s="177">
        <v>8.4566522522003904E-2</v>
      </c>
      <c r="G5" s="277">
        <f t="shared" ref="G5:G11" si="0">D5/$D$12*100</f>
        <v>7.151277868344839</v>
      </c>
    </row>
    <row r="6" spans="1:7" ht="19.5" thickBot="1" x14ac:dyDescent="0.3">
      <c r="A6" s="117" t="s">
        <v>270</v>
      </c>
      <c r="B6" s="295"/>
      <c r="C6" s="125">
        <v>8.8332675565153558</v>
      </c>
      <c r="D6" s="178">
        <v>8.8332675565153552E-3</v>
      </c>
      <c r="E6" s="177">
        <v>1.2217520825055816E-2</v>
      </c>
      <c r="G6" s="277">
        <f t="shared" si="0"/>
        <v>1.0331616303547337</v>
      </c>
    </row>
    <row r="7" spans="1:7" ht="19.5" thickBot="1" x14ac:dyDescent="0.3">
      <c r="A7" s="117" t="s">
        <v>274</v>
      </c>
      <c r="B7" s="180" t="s">
        <v>284</v>
      </c>
      <c r="C7" s="125">
        <v>30.405693309284153</v>
      </c>
      <c r="D7" s="181">
        <v>3.0405693309284155E-2</v>
      </c>
      <c r="E7" s="177">
        <v>4.205490084271668E-2</v>
      </c>
      <c r="G7" s="277">
        <f t="shared" si="0"/>
        <v>3.5563278787265187</v>
      </c>
    </row>
    <row r="8" spans="1:7" ht="19.5" thickBot="1" x14ac:dyDescent="0.3">
      <c r="A8" s="117" t="s">
        <v>275</v>
      </c>
      <c r="B8" s="180" t="s">
        <v>285</v>
      </c>
      <c r="C8" s="125">
        <v>0.14138484726891382</v>
      </c>
      <c r="D8" s="182">
        <v>1.4138484726891381E-4</v>
      </c>
      <c r="E8" s="177">
        <v>1.9555303909946586E-4</v>
      </c>
      <c r="G8" s="277">
        <f t="shared" si="0"/>
        <v>1.6536734382517747E-2</v>
      </c>
    </row>
    <row r="9" spans="1:7" ht="19.5" thickBot="1" x14ac:dyDescent="0.3">
      <c r="A9" s="117" t="s">
        <v>271</v>
      </c>
      <c r="B9" s="180" t="s">
        <v>287</v>
      </c>
      <c r="C9" s="125">
        <v>0.14637348202338613</v>
      </c>
      <c r="D9" s="182">
        <v>1.4637348202338612E-4</v>
      </c>
      <c r="E9" s="177">
        <v>2.0245294885668896E-4</v>
      </c>
      <c r="G9" s="277">
        <f t="shared" si="0"/>
        <v>1.7120217899030649E-2</v>
      </c>
    </row>
    <row r="10" spans="1:7" ht="19.5" thickBot="1" x14ac:dyDescent="0.3">
      <c r="A10" s="117" t="s">
        <v>276</v>
      </c>
      <c r="B10" s="180" t="s">
        <v>289</v>
      </c>
      <c r="C10" s="125">
        <v>0.39785095959613342</v>
      </c>
      <c r="D10" s="182">
        <v>3.9785095959613345E-4</v>
      </c>
      <c r="E10" s="177">
        <v>5.502779524151223E-4</v>
      </c>
      <c r="G10" s="277">
        <f t="shared" si="0"/>
        <v>4.6533668704663328E-2</v>
      </c>
    </row>
    <row r="11" spans="1:7" ht="18.75" customHeight="1" thickBot="1" x14ac:dyDescent="0.3">
      <c r="A11" s="118" t="s">
        <v>277</v>
      </c>
      <c r="B11" s="183" t="s">
        <v>293</v>
      </c>
      <c r="C11" s="184">
        <v>2.5202235231599333</v>
      </c>
      <c r="D11" s="185">
        <v>2.5202235231599332E-3</v>
      </c>
      <c r="E11" s="280">
        <v>3.4857863390870443E-3</v>
      </c>
      <c r="G11" s="277">
        <f t="shared" si="0"/>
        <v>0.29477180753182602</v>
      </c>
    </row>
    <row r="12" spans="1:7" ht="22.5" thickBot="1" x14ac:dyDescent="0.35">
      <c r="A12" s="121" t="s">
        <v>279</v>
      </c>
      <c r="B12" s="166" t="s">
        <v>294</v>
      </c>
      <c r="C12" s="186">
        <f>SUM(C4:C11)</f>
        <v>854.97441029459003</v>
      </c>
      <c r="D12" s="187">
        <f>C12/1000</f>
        <v>0.85497441029458998</v>
      </c>
      <c r="E12" s="281">
        <f>D12/D14*100</f>
        <v>1.1825372203244675</v>
      </c>
      <c r="G12" s="277">
        <f>SUM(G4:G11)</f>
        <v>100.00000000000003</v>
      </c>
    </row>
    <row r="13" spans="1:7" ht="24.75" customHeight="1" thickBot="1" x14ac:dyDescent="0.35">
      <c r="A13" s="119" t="s">
        <v>280</v>
      </c>
      <c r="B13" s="126" t="s">
        <v>300</v>
      </c>
      <c r="C13" s="188">
        <f>D13*1000</f>
        <v>47100</v>
      </c>
      <c r="D13" s="190">
        <v>47.1</v>
      </c>
      <c r="E13" s="189"/>
    </row>
    <row r="14" spans="1:7" ht="42" customHeight="1" thickBot="1" x14ac:dyDescent="0.35">
      <c r="A14" s="119" t="s">
        <v>312</v>
      </c>
      <c r="B14" s="126" t="s">
        <v>300</v>
      </c>
      <c r="C14" s="126">
        <f>D14*1000</f>
        <v>72300</v>
      </c>
      <c r="D14" s="190">
        <v>72.3</v>
      </c>
      <c r="E14" s="189"/>
    </row>
    <row r="16" spans="1:7" x14ac:dyDescent="0.25">
      <c r="A16" s="116"/>
    </row>
    <row r="20" spans="5:5" x14ac:dyDescent="0.25">
      <c r="E20" s="278" t="s">
        <v>445</v>
      </c>
    </row>
  </sheetData>
  <mergeCells count="5">
    <mergeCell ref="A1:E1"/>
    <mergeCell ref="A2:A3"/>
    <mergeCell ref="B2:B3"/>
    <mergeCell ref="C2:E2"/>
    <mergeCell ref="B5:B6"/>
  </mergeCells>
  <hyperlinks>
    <hyperlink ref="D13" r:id="rId1" display="1. ОБЩИЕ\7. Планы по добыче\7.1 План по добыче\План по добыче на 2022 год.xls" xr:uid="{2DCF7077-7693-4EF6-8238-BE1794FEFC10}"/>
    <hyperlink ref="D14" r:id="rId2" display="1. ОБЩИЕ\3. Протокол ЦКР\Протокол_ЦКР_Роснедр Восточно-Прибрежное №332 от 02.03.2020 4.pdf" xr:uid="{B24135BA-B763-470A-ABC1-7A52028338DC}"/>
  </hyperlinks>
  <pageMargins left="0.7" right="0.7" top="0.75" bottom="0.75" header="0.3" footer="0.3"/>
  <pageSetup paperSize="9" orientation="portrait" verticalDpi="0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6"/>
  <sheetViews>
    <sheetView workbookViewId="0">
      <selection activeCell="D14" sqref="D4:D14"/>
    </sheetView>
  </sheetViews>
  <sheetFormatPr defaultRowHeight="15" x14ac:dyDescent="0.25"/>
  <cols>
    <col min="1" max="1" width="5.5703125" customWidth="1"/>
    <col min="2" max="2" width="41" customWidth="1"/>
    <col min="3" max="3" width="19.7109375" customWidth="1"/>
    <col min="4" max="4" width="18.28515625" customWidth="1"/>
    <col min="5" max="5" width="16" customWidth="1"/>
    <col min="6" max="6" width="23.5703125" customWidth="1"/>
    <col min="7" max="7" width="13.28515625" customWidth="1"/>
    <col min="8" max="8" width="26.42578125" customWidth="1"/>
  </cols>
  <sheetData>
    <row r="1" spans="1:8" ht="49.5" customHeight="1" x14ac:dyDescent="0.25">
      <c r="A1" s="318" t="s">
        <v>292</v>
      </c>
      <c r="B1" s="318"/>
      <c r="C1" s="318"/>
      <c r="D1" s="318"/>
      <c r="E1" s="318"/>
      <c r="F1" s="318"/>
      <c r="G1" s="318"/>
      <c r="H1" s="318"/>
    </row>
    <row r="2" spans="1:8" ht="15.75" thickBot="1" x14ac:dyDescent="0.3"/>
    <row r="3" spans="1:8" ht="50.25" customHeight="1" thickBot="1" x14ac:dyDescent="0.3">
      <c r="A3" s="7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F3" s="411" t="s">
        <v>5</v>
      </c>
      <c r="G3" s="412"/>
      <c r="H3" s="413"/>
    </row>
    <row r="4" spans="1:8" ht="19.5" thickBot="1" x14ac:dyDescent="0.3">
      <c r="A4" s="4">
        <v>1</v>
      </c>
      <c r="B4" s="14" t="s">
        <v>72</v>
      </c>
      <c r="C4" s="15" t="s">
        <v>73</v>
      </c>
      <c r="D4" s="231">
        <v>7.8539816339744835E-3</v>
      </c>
      <c r="E4" s="16" t="s">
        <v>74</v>
      </c>
      <c r="F4" s="328"/>
      <c r="G4" s="329"/>
      <c r="H4" s="330"/>
    </row>
    <row r="5" spans="1:8" ht="32.25" thickBot="1" x14ac:dyDescent="0.3">
      <c r="A5" s="5">
        <v>2</v>
      </c>
      <c r="B5" s="8" t="s">
        <v>75</v>
      </c>
      <c r="C5" s="15" t="s">
        <v>77</v>
      </c>
      <c r="D5" s="202">
        <v>0.8</v>
      </c>
      <c r="E5" s="16"/>
      <c r="F5" s="328" t="s">
        <v>76</v>
      </c>
      <c r="G5" s="329"/>
      <c r="H5" s="330"/>
    </row>
    <row r="6" spans="1:8" ht="19.5" thickBot="1" x14ac:dyDescent="0.3">
      <c r="A6" s="5">
        <v>3</v>
      </c>
      <c r="B6" s="8" t="s">
        <v>78</v>
      </c>
      <c r="C6" s="17" t="s">
        <v>79</v>
      </c>
      <c r="D6" s="199">
        <v>11</v>
      </c>
      <c r="E6" s="16" t="s">
        <v>19</v>
      </c>
      <c r="F6" s="328"/>
      <c r="G6" s="329"/>
      <c r="H6" s="330"/>
    </row>
    <row r="7" spans="1:8" ht="32.25" thickBot="1" x14ac:dyDescent="0.3">
      <c r="A7" s="5">
        <v>4</v>
      </c>
      <c r="B7" s="8" t="s">
        <v>80</v>
      </c>
      <c r="C7" s="15" t="s">
        <v>81</v>
      </c>
      <c r="D7" s="199">
        <v>278.14999999999998</v>
      </c>
      <c r="E7" s="16" t="s">
        <v>20</v>
      </c>
      <c r="F7" s="328"/>
      <c r="G7" s="329"/>
      <c r="H7" s="330"/>
    </row>
    <row r="8" spans="1:8" ht="32.25" thickBot="1" x14ac:dyDescent="0.3">
      <c r="A8" s="4">
        <v>5</v>
      </c>
      <c r="B8" s="8" t="s">
        <v>82</v>
      </c>
      <c r="C8" s="10" t="s">
        <v>83</v>
      </c>
      <c r="D8" s="198">
        <v>0.48826921800728046</v>
      </c>
      <c r="E8" s="16"/>
      <c r="F8" s="328"/>
      <c r="G8" s="329"/>
      <c r="H8" s="330"/>
    </row>
    <row r="9" spans="1:8" ht="32.25" thickBot="1" x14ac:dyDescent="0.3">
      <c r="A9" s="5">
        <v>6</v>
      </c>
      <c r="B9" s="8" t="s">
        <v>84</v>
      </c>
      <c r="C9" s="15" t="s">
        <v>85</v>
      </c>
      <c r="D9" s="197">
        <v>0.05</v>
      </c>
      <c r="E9" s="16" t="s">
        <v>86</v>
      </c>
      <c r="F9" s="328"/>
      <c r="G9" s="329"/>
      <c r="H9" s="330"/>
    </row>
    <row r="10" spans="1:8" ht="32.25" thickBot="1" x14ac:dyDescent="0.3">
      <c r="A10" s="5">
        <v>7</v>
      </c>
      <c r="B10" s="8" t="s">
        <v>87</v>
      </c>
      <c r="C10" s="17" t="s">
        <v>88</v>
      </c>
      <c r="D10" s="199">
        <v>0.877</v>
      </c>
      <c r="E10" s="16"/>
      <c r="F10" s="328"/>
      <c r="G10" s="329"/>
      <c r="H10" s="330"/>
    </row>
    <row r="11" spans="1:8" ht="48" thickBot="1" x14ac:dyDescent="0.3">
      <c r="A11" s="4">
        <v>8</v>
      </c>
      <c r="B11" s="14" t="s">
        <v>89</v>
      </c>
      <c r="C11" s="15" t="s">
        <v>9</v>
      </c>
      <c r="D11" s="230">
        <v>84</v>
      </c>
      <c r="E11" s="16"/>
      <c r="F11" s="328"/>
      <c r="G11" s="329"/>
      <c r="H11" s="330"/>
    </row>
    <row r="12" spans="1:8" s="161" customFormat="1" ht="32.25" thickBot="1" x14ac:dyDescent="0.3">
      <c r="A12" s="5">
        <v>9</v>
      </c>
      <c r="B12" s="8" t="s">
        <v>384</v>
      </c>
      <c r="C12" s="19" t="s">
        <v>356</v>
      </c>
      <c r="D12" s="21">
        <v>1.67</v>
      </c>
      <c r="E12" s="16"/>
      <c r="F12" s="222"/>
      <c r="G12" s="223"/>
      <c r="H12" s="224"/>
    </row>
    <row r="13" spans="1:8" ht="32.25" thickBot="1" x14ac:dyDescent="0.3">
      <c r="A13" s="5">
        <v>10</v>
      </c>
      <c r="B13" s="8" t="s">
        <v>290</v>
      </c>
      <c r="C13" s="123" t="s">
        <v>289</v>
      </c>
      <c r="D13" s="200">
        <v>0.39785095959613342</v>
      </c>
      <c r="E13" s="16" t="s">
        <v>101</v>
      </c>
      <c r="F13" s="427"/>
      <c r="G13" s="428"/>
      <c r="H13" s="429"/>
    </row>
    <row r="14" spans="1:8" ht="48" thickBot="1" x14ac:dyDescent="0.3">
      <c r="A14" s="5">
        <v>11</v>
      </c>
      <c r="B14" s="8" t="s">
        <v>383</v>
      </c>
      <c r="C14" s="123" t="s">
        <v>289</v>
      </c>
      <c r="D14" s="247">
        <v>6.644111025255427E-10</v>
      </c>
      <c r="E14" s="16" t="s">
        <v>354</v>
      </c>
      <c r="F14" s="427"/>
      <c r="G14" s="428"/>
      <c r="H14" s="429"/>
    </row>
    <row r="17" spans="2:8" ht="18.75" x14ac:dyDescent="0.25">
      <c r="C17" s="130"/>
    </row>
    <row r="18" spans="2:8" ht="18.75" x14ac:dyDescent="0.25">
      <c r="B18" s="130" t="s">
        <v>304</v>
      </c>
    </row>
    <row r="19" spans="2:8" ht="22.5" x14ac:dyDescent="0.25">
      <c r="B19" s="404" t="s">
        <v>334</v>
      </c>
      <c r="C19" s="404"/>
      <c r="D19" s="404"/>
      <c r="E19" s="404"/>
      <c r="F19" s="404"/>
      <c r="G19" s="404"/>
      <c r="H19" s="404"/>
    </row>
    <row r="20" spans="2:8" ht="20.25" x14ac:dyDescent="0.25">
      <c r="B20" s="404" t="s">
        <v>335</v>
      </c>
      <c r="C20" s="404"/>
      <c r="D20" s="404"/>
      <c r="E20" s="404"/>
      <c r="F20" s="404"/>
      <c r="G20" s="404"/>
      <c r="H20" s="404"/>
    </row>
    <row r="21" spans="2:8" ht="18.75" x14ac:dyDescent="0.25">
      <c r="B21" s="404" t="s">
        <v>336</v>
      </c>
      <c r="C21" s="404"/>
      <c r="D21" s="404"/>
      <c r="E21" s="404"/>
      <c r="F21" s="404"/>
      <c r="G21" s="404"/>
      <c r="H21" s="404"/>
    </row>
    <row r="22" spans="2:8" ht="18.75" x14ac:dyDescent="0.25">
      <c r="B22" s="404" t="s">
        <v>337</v>
      </c>
      <c r="C22" s="404"/>
      <c r="D22" s="404"/>
      <c r="E22" s="404"/>
      <c r="F22" s="404"/>
      <c r="G22" s="404"/>
      <c r="H22" s="404"/>
    </row>
    <row r="23" spans="2:8" ht="18.75" x14ac:dyDescent="0.25">
      <c r="B23" s="404" t="s">
        <v>338</v>
      </c>
      <c r="C23" s="404"/>
      <c r="D23" s="404"/>
      <c r="E23" s="404"/>
      <c r="F23" s="404"/>
      <c r="G23" s="404"/>
      <c r="H23" s="404"/>
    </row>
    <row r="24" spans="2:8" ht="20.25" x14ac:dyDescent="0.25">
      <c r="B24" s="404" t="s">
        <v>339</v>
      </c>
      <c r="C24" s="404"/>
      <c r="D24" s="404"/>
      <c r="E24" s="404"/>
      <c r="F24" s="404"/>
      <c r="G24" s="404"/>
      <c r="H24" s="404"/>
    </row>
    <row r="25" spans="2:8" ht="18.75" x14ac:dyDescent="0.25">
      <c r="B25" s="404" t="s">
        <v>341</v>
      </c>
      <c r="C25" s="404"/>
      <c r="D25" s="404"/>
      <c r="E25" s="404"/>
      <c r="F25" s="404"/>
      <c r="G25" s="404"/>
      <c r="H25" s="404"/>
    </row>
    <row r="26" spans="2:8" ht="18.75" x14ac:dyDescent="0.25">
      <c r="B26" s="404" t="s">
        <v>340</v>
      </c>
      <c r="C26" s="404"/>
      <c r="D26" s="404"/>
      <c r="E26" s="404"/>
      <c r="F26" s="404"/>
      <c r="G26" s="404"/>
      <c r="H26" s="404"/>
    </row>
  </sheetData>
  <mergeCells count="20">
    <mergeCell ref="F14:H14"/>
    <mergeCell ref="F13:H13"/>
    <mergeCell ref="F7:H7"/>
    <mergeCell ref="F8:H8"/>
    <mergeCell ref="F9:H9"/>
    <mergeCell ref="F10:H10"/>
    <mergeCell ref="F11:H11"/>
    <mergeCell ref="A1:H1"/>
    <mergeCell ref="F3:H3"/>
    <mergeCell ref="F4:H4"/>
    <mergeCell ref="F5:H5"/>
    <mergeCell ref="F6:H6"/>
    <mergeCell ref="B24:H24"/>
    <mergeCell ref="B25:H25"/>
    <mergeCell ref="B26:H26"/>
    <mergeCell ref="B19:H19"/>
    <mergeCell ref="B20:H20"/>
    <mergeCell ref="B21:H21"/>
    <mergeCell ref="B22:H22"/>
    <mergeCell ref="B23:H23"/>
  </mergeCells>
  <hyperlinks>
    <hyperlink ref="D11" r:id="rId1" display="ОБОСНОВЫВАЮЩИЕ ДОКУМЕНТЫ\7. КЛАПАНА\7.1 Графики\План проверки клапанов 2020 по Обществу.pdf" xr:uid="{F9226386-1E59-4FBA-9A53-7D853BB4F0D8}"/>
    <hyperlink ref="D5" r:id="rId2" display="ОБОСНОВЫВАЮЩИЕ ДОКУМЕНТЫ\7. КЛАПАНА\7.2 Паспорта\СППК 4 100 х 64\Паспорт СППК 4 100-64 №168 3.pdf" xr:uid="{24B588DB-EE56-426C-A2F5-32C9FC075529}"/>
    <hyperlink ref="D4" r:id="rId3" display="ОБОСНОВЫВАЮЩИЕ ДОКУМЕНТЫ\7. КЛАПАНА\7.2 Паспорта\СППК 4 100 х 64\Паспорт СППК 4 100-64 №168 2.pdf" xr:uid="{F1162772-7AE2-4CCF-8540-821695E223F3}"/>
  </hyperlinks>
  <pageMargins left="0.7" right="0.7" top="0.75" bottom="0.75" header="0.3" footer="0.3"/>
  <drawing r:id="rId4"/>
  <legacyDrawing r:id="rId5"/>
  <oleObjects>
    <mc:AlternateContent xmlns:mc="http://schemas.openxmlformats.org/markup-compatibility/2006">
      <mc:Choice Requires="x14">
        <oleObject progId="Equation.DSMT4" shapeId="26626" r:id="rId6">
          <objectPr defaultSize="0" autoPict="0" r:id="rId7">
            <anchor moveWithCells="1" sizeWithCells="1">
              <from>
                <xdr:col>1</xdr:col>
                <xdr:colOff>457200</xdr:colOff>
                <xdr:row>14</xdr:row>
                <xdr:rowOff>9525</xdr:rowOff>
              </from>
              <to>
                <xdr:col>3</xdr:col>
                <xdr:colOff>628650</xdr:colOff>
                <xdr:row>17</xdr:row>
                <xdr:rowOff>0</xdr:rowOff>
              </to>
            </anchor>
          </objectPr>
        </oleObject>
      </mc:Choice>
      <mc:Fallback>
        <oleObject progId="Equation.DSMT4" shapeId="26626" r:id="rId6"/>
      </mc:Fallback>
    </mc:AlternateContent>
    <mc:AlternateContent xmlns:mc="http://schemas.openxmlformats.org/markup-compatibility/2006">
      <mc:Choice Requires="x14">
        <oleObject progId="Equation.DSMT4" shapeId="26625" r:id="rId8">
          <objectPr defaultSize="0" autoPict="0" r:id="rId9">
            <anchor moveWithCells="1" sizeWithCells="1">
              <from>
                <xdr:col>1</xdr:col>
                <xdr:colOff>0</xdr:colOff>
                <xdr:row>24</xdr:row>
                <xdr:rowOff>0</xdr:rowOff>
              </from>
              <to>
                <xdr:col>1</xdr:col>
                <xdr:colOff>466725</xdr:colOff>
                <xdr:row>24</xdr:row>
                <xdr:rowOff>266700</xdr:rowOff>
              </to>
            </anchor>
          </objectPr>
        </oleObject>
      </mc:Choice>
      <mc:Fallback>
        <oleObject progId="Equation.DSMT4" shapeId="26625" r:id="rId8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"/>
  <sheetViews>
    <sheetView workbookViewId="0">
      <selection activeCell="D4" sqref="D4:D11"/>
    </sheetView>
  </sheetViews>
  <sheetFormatPr defaultRowHeight="15" x14ac:dyDescent="0.25"/>
  <cols>
    <col min="1" max="1" width="5.85546875" customWidth="1"/>
    <col min="2" max="2" width="44.5703125" customWidth="1"/>
    <col min="3" max="3" width="18.42578125" customWidth="1"/>
    <col min="4" max="4" width="14.85546875" customWidth="1"/>
    <col min="5" max="5" width="15.5703125" customWidth="1"/>
    <col min="6" max="6" width="47" customWidth="1"/>
    <col min="7" max="7" width="10.85546875" customWidth="1"/>
    <col min="8" max="8" width="35.42578125" customWidth="1"/>
  </cols>
  <sheetData>
    <row r="1" spans="1:9" ht="18.75" x14ac:dyDescent="0.25">
      <c r="A1" s="318" t="s">
        <v>317</v>
      </c>
      <c r="B1" s="318"/>
      <c r="C1" s="318"/>
      <c r="D1" s="318"/>
      <c r="E1" s="318"/>
      <c r="F1" s="318"/>
      <c r="G1" s="318"/>
      <c r="H1" s="318"/>
    </row>
    <row r="2" spans="1:9" ht="15.75" thickBot="1" x14ac:dyDescent="0.3"/>
    <row r="3" spans="1:9" ht="51.75" customHeight="1" thickBot="1" x14ac:dyDescent="0.3">
      <c r="A3" s="7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F3" s="411" t="s">
        <v>5</v>
      </c>
      <c r="G3" s="412"/>
      <c r="H3" s="413"/>
    </row>
    <row r="4" spans="1:9" ht="32.25" customHeight="1" thickBot="1" x14ac:dyDescent="0.3">
      <c r="A4" s="4">
        <v>1</v>
      </c>
      <c r="B4" s="14" t="s">
        <v>90</v>
      </c>
      <c r="C4" s="15" t="s">
        <v>318</v>
      </c>
      <c r="D4" s="47">
        <v>26820</v>
      </c>
      <c r="E4" s="16" t="s">
        <v>212</v>
      </c>
      <c r="F4" s="433"/>
      <c r="G4" s="434"/>
      <c r="H4" s="435"/>
      <c r="I4" s="128"/>
    </row>
    <row r="5" spans="1:9" ht="48" thickBot="1" x14ac:dyDescent="0.3">
      <c r="A5" s="5">
        <v>2</v>
      </c>
      <c r="B5" s="8" t="s">
        <v>91</v>
      </c>
      <c r="C5" s="15" t="s">
        <v>25</v>
      </c>
      <c r="D5" s="52">
        <v>0.12286331199999999</v>
      </c>
      <c r="E5" s="16" t="s">
        <v>92</v>
      </c>
      <c r="F5" s="133" t="s">
        <v>208</v>
      </c>
      <c r="G5" s="60" t="s">
        <v>209</v>
      </c>
      <c r="H5" s="134" t="s">
        <v>210</v>
      </c>
      <c r="I5" s="132"/>
    </row>
    <row r="6" spans="1:9" ht="49.5" customHeight="1" thickBot="1" x14ac:dyDescent="0.3">
      <c r="A6" s="5">
        <v>3</v>
      </c>
      <c r="B6" s="8" t="s">
        <v>93</v>
      </c>
      <c r="C6" s="15" t="s">
        <v>29</v>
      </c>
      <c r="D6" s="52">
        <v>0.14860381089340283</v>
      </c>
      <c r="E6" s="16"/>
      <c r="F6" s="133" t="s">
        <v>204</v>
      </c>
      <c r="G6" s="60" t="s">
        <v>209</v>
      </c>
      <c r="H6" s="134" t="s">
        <v>210</v>
      </c>
      <c r="I6" s="132"/>
    </row>
    <row r="7" spans="1:9" ht="51" customHeight="1" thickBot="1" x14ac:dyDescent="0.3">
      <c r="A7" s="5">
        <v>4</v>
      </c>
      <c r="B7" s="8" t="s">
        <v>30</v>
      </c>
      <c r="C7" s="15" t="s">
        <v>31</v>
      </c>
      <c r="D7" s="48">
        <v>0.4</v>
      </c>
      <c r="E7" s="16" t="s">
        <v>32</v>
      </c>
      <c r="F7" s="362"/>
      <c r="G7" s="363"/>
      <c r="H7" s="364"/>
      <c r="I7" s="132"/>
    </row>
    <row r="8" spans="1:9" ht="31.5" customHeight="1" thickBot="1" x14ac:dyDescent="0.3">
      <c r="A8" s="4">
        <v>5</v>
      </c>
      <c r="B8" s="8" t="s">
        <v>94</v>
      </c>
      <c r="C8" s="15" t="s">
        <v>35</v>
      </c>
      <c r="D8" s="16">
        <v>0.877</v>
      </c>
      <c r="E8" s="16"/>
      <c r="F8" s="296"/>
      <c r="G8" s="297"/>
      <c r="H8" s="298"/>
      <c r="I8" s="128"/>
    </row>
    <row r="9" spans="1:9" s="161" customFormat="1" ht="31.5" customHeight="1" thickBot="1" x14ac:dyDescent="0.3">
      <c r="A9" s="4">
        <v>6</v>
      </c>
      <c r="B9" s="8" t="s">
        <v>381</v>
      </c>
      <c r="C9" s="19" t="s">
        <v>356</v>
      </c>
      <c r="D9" s="244">
        <v>25</v>
      </c>
      <c r="E9" s="19" t="s">
        <v>382</v>
      </c>
      <c r="F9" s="436" t="s">
        <v>302</v>
      </c>
      <c r="G9" s="437"/>
      <c r="H9" s="438"/>
      <c r="I9" s="128"/>
    </row>
    <row r="10" spans="1:9" ht="32.25" thickBot="1" x14ac:dyDescent="0.3">
      <c r="A10" s="4">
        <v>7</v>
      </c>
      <c r="B10" s="8" t="s">
        <v>291</v>
      </c>
      <c r="C10" s="15" t="s">
        <v>213</v>
      </c>
      <c r="D10" s="232">
        <v>2.5202235231599333</v>
      </c>
      <c r="E10" s="16" t="s">
        <v>101</v>
      </c>
      <c r="F10" s="430"/>
      <c r="G10" s="431"/>
      <c r="H10" s="432"/>
    </row>
    <row r="11" spans="1:9" ht="32.25" thickBot="1" x14ac:dyDescent="0.3">
      <c r="A11" s="4">
        <v>8</v>
      </c>
      <c r="B11" s="8" t="s">
        <v>379</v>
      </c>
      <c r="C11" s="15" t="s">
        <v>380</v>
      </c>
      <c r="D11" s="243">
        <v>6.7049999999999998E-4</v>
      </c>
      <c r="E11" s="16" t="s">
        <v>354</v>
      </c>
    </row>
  </sheetData>
  <mergeCells count="7">
    <mergeCell ref="F10:H10"/>
    <mergeCell ref="A1:H1"/>
    <mergeCell ref="F3:H3"/>
    <mergeCell ref="F4:H4"/>
    <mergeCell ref="F8:H8"/>
    <mergeCell ref="F7:H7"/>
    <mergeCell ref="F9:H9"/>
  </mergeCells>
  <hyperlinks>
    <hyperlink ref="F5" location="'РАСТВОРИМОСТЬ ГАЗА'!A1" display="Растворимость газа в дистиллированной воде" xr:uid="{44170860-2C61-489D-AE0E-5CE6A359125C}"/>
    <hyperlink ref="H6" r:id="rId1" location="Коэффициент_Сеченова" xr:uid="{00000000-0004-0000-0600-000003000000}"/>
    <hyperlink ref="F6" location="'РАСТВОРИМОСТЬ ГАЗА'!B19" display="Коэффициент Сеченова" xr:uid="{00000000-0004-0000-0600-000002000000}"/>
    <hyperlink ref="H5" r:id="rId2" location="Коэффициент_Сеченова" xr:uid="{E05FBC97-E5E9-4CA6-8043-7A86AEB53502}"/>
  </hyperlinks>
  <pageMargins left="0.7" right="0.7" top="0.75" bottom="0.75" header="0.3" footer="0.3"/>
  <pageSetup paperSize="9" orientation="portrait" verticalDpi="0"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87"/>
  <sheetViews>
    <sheetView workbookViewId="0">
      <selection activeCell="G10" sqref="G10"/>
    </sheetView>
  </sheetViews>
  <sheetFormatPr defaultColWidth="9.140625" defaultRowHeight="15" x14ac:dyDescent="0.25"/>
  <cols>
    <col min="1" max="1" width="12.28515625" style="30" customWidth="1"/>
    <col min="2" max="2" width="14.85546875" style="30" customWidth="1"/>
    <col min="3" max="3" width="17" style="30" customWidth="1"/>
    <col min="4" max="4" width="13.42578125" style="30" customWidth="1"/>
    <col min="5" max="5" width="14.5703125" style="30" customWidth="1"/>
    <col min="6" max="6" width="17.7109375" style="30" customWidth="1"/>
    <col min="7" max="7" width="13.85546875" style="30" customWidth="1"/>
    <col min="8" max="8" width="10.42578125" style="30" customWidth="1"/>
    <col min="9" max="9" width="16.140625" style="30" customWidth="1"/>
    <col min="10" max="10" width="25" style="30" customWidth="1"/>
    <col min="11" max="11" width="18.28515625" style="30" customWidth="1"/>
    <col min="12" max="12" width="15.42578125" style="30" customWidth="1"/>
    <col min="13" max="16384" width="9.140625" style="30"/>
  </cols>
  <sheetData>
    <row r="1" spans="1:24" ht="18.75" x14ac:dyDescent="0.25">
      <c r="A1" s="444" t="s">
        <v>214</v>
      </c>
      <c r="B1" s="444"/>
      <c r="C1" s="444"/>
      <c r="D1" s="444"/>
      <c r="E1" s="444"/>
      <c r="F1" s="444"/>
      <c r="G1" s="63"/>
      <c r="H1" s="63"/>
    </row>
    <row r="2" spans="1:24" ht="15.75" x14ac:dyDescent="0.25">
      <c r="A2" s="64"/>
      <c r="B2" s="64"/>
      <c r="C2" s="64"/>
      <c r="D2" s="64"/>
      <c r="E2" s="64"/>
      <c r="F2" s="64"/>
      <c r="G2" s="64"/>
      <c r="H2" s="64"/>
    </row>
    <row r="3" spans="1:24" ht="19.5" thickBot="1" x14ac:dyDescent="0.3">
      <c r="A3" s="445" t="s">
        <v>215</v>
      </c>
      <c r="B3" s="445"/>
      <c r="C3" s="445"/>
      <c r="D3" s="445"/>
      <c r="E3" s="445"/>
      <c r="F3" s="446"/>
      <c r="G3" s="65"/>
      <c r="H3" s="65"/>
    </row>
    <row r="4" spans="1:24" ht="15" customHeight="1" thickBot="1" x14ac:dyDescent="0.3">
      <c r="A4" s="447" t="s">
        <v>216</v>
      </c>
      <c r="B4" s="450" t="s">
        <v>217</v>
      </c>
      <c r="C4" s="452" t="s">
        <v>218</v>
      </c>
      <c r="D4" s="454" t="s">
        <v>219</v>
      </c>
      <c r="E4" s="456" t="s">
        <v>220</v>
      </c>
      <c r="F4" s="458"/>
      <c r="G4" s="458"/>
      <c r="H4" s="458"/>
      <c r="I4" s="264" t="s">
        <v>406</v>
      </c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</row>
    <row r="5" spans="1:24" ht="17.25" customHeight="1" thickTop="1" thickBot="1" x14ac:dyDescent="0.3">
      <c r="A5" s="448"/>
      <c r="B5" s="451"/>
      <c r="C5" s="453"/>
      <c r="D5" s="455"/>
      <c r="E5" s="457"/>
      <c r="F5" s="458"/>
      <c r="G5" s="458"/>
      <c r="H5" s="458"/>
      <c r="I5" s="439" t="s">
        <v>216</v>
      </c>
      <c r="J5" s="442" t="s">
        <v>407</v>
      </c>
      <c r="K5" s="443"/>
      <c r="L5" s="442" t="s">
        <v>408</v>
      </c>
      <c r="M5" s="443"/>
      <c r="N5" s="442" t="s">
        <v>409</v>
      </c>
      <c r="O5" s="443"/>
      <c r="P5" s="471" t="s">
        <v>410</v>
      </c>
      <c r="Q5" s="472"/>
      <c r="R5" s="442" t="s">
        <v>411</v>
      </c>
      <c r="S5" s="473"/>
      <c r="T5" s="473"/>
      <c r="U5" s="473"/>
      <c r="V5" s="474"/>
      <c r="W5" s="161"/>
      <c r="X5" s="161"/>
    </row>
    <row r="6" spans="1:24" ht="62.25" customHeight="1" x14ac:dyDescent="0.25">
      <c r="A6" s="448"/>
      <c r="B6" s="451"/>
      <c r="C6" s="453"/>
      <c r="D6" s="455"/>
      <c r="E6" s="457"/>
      <c r="F6" s="458"/>
      <c r="G6" s="458"/>
      <c r="H6" s="458"/>
      <c r="I6" s="440"/>
      <c r="J6" s="475" t="s">
        <v>412</v>
      </c>
      <c r="K6" s="475" t="s">
        <v>360</v>
      </c>
      <c r="L6" s="475" t="s">
        <v>412</v>
      </c>
      <c r="M6" s="475" t="s">
        <v>360</v>
      </c>
      <c r="N6" s="475" t="s">
        <v>412</v>
      </c>
      <c r="O6" s="475" t="s">
        <v>360</v>
      </c>
      <c r="P6" s="475" t="s">
        <v>412</v>
      </c>
      <c r="Q6" s="476" t="s">
        <v>360</v>
      </c>
      <c r="R6" s="475" t="s">
        <v>412</v>
      </c>
      <c r="S6" s="475" t="s">
        <v>360</v>
      </c>
      <c r="T6" s="475" t="s">
        <v>413</v>
      </c>
      <c r="U6" s="478" t="s">
        <v>414</v>
      </c>
      <c r="V6" s="479"/>
      <c r="W6" s="161"/>
      <c r="X6" s="161"/>
    </row>
    <row r="7" spans="1:24" x14ac:dyDescent="0.25">
      <c r="A7" s="448"/>
      <c r="B7" s="66" t="s">
        <v>221</v>
      </c>
      <c r="C7" s="67" t="s">
        <v>222</v>
      </c>
      <c r="D7" s="68" t="s">
        <v>223</v>
      </c>
      <c r="E7" s="69" t="s">
        <v>224</v>
      </c>
      <c r="F7" s="70"/>
      <c r="G7" s="70"/>
      <c r="H7" s="70"/>
      <c r="I7" s="440"/>
      <c r="J7" s="476"/>
      <c r="K7" s="476"/>
      <c r="L7" s="476"/>
      <c r="M7" s="476"/>
      <c r="N7" s="476"/>
      <c r="O7" s="476"/>
      <c r="P7" s="476"/>
      <c r="Q7" s="476"/>
      <c r="R7" s="476"/>
      <c r="S7" s="476"/>
      <c r="T7" s="476"/>
      <c r="U7" s="480" t="s">
        <v>415</v>
      </c>
      <c r="V7" s="481"/>
      <c r="W7" s="161"/>
      <c r="X7" s="161"/>
    </row>
    <row r="8" spans="1:24" ht="15.75" thickBot="1" x14ac:dyDescent="0.3">
      <c r="A8" s="449"/>
      <c r="B8" s="71" t="s">
        <v>225</v>
      </c>
      <c r="C8" s="72" t="s">
        <v>226</v>
      </c>
      <c r="D8" s="73" t="s">
        <v>19</v>
      </c>
      <c r="E8" s="74" t="s">
        <v>227</v>
      </c>
      <c r="F8" s="70"/>
      <c r="G8" s="70"/>
      <c r="H8" s="70"/>
      <c r="I8" s="440"/>
      <c r="J8" s="476"/>
      <c r="K8" s="476"/>
      <c r="L8" s="476"/>
      <c r="M8" s="476"/>
      <c r="N8" s="476"/>
      <c r="O8" s="476"/>
      <c r="P8" s="476"/>
      <c r="Q8" s="476"/>
      <c r="R8" s="476"/>
      <c r="S8" s="476"/>
      <c r="T8" s="476"/>
      <c r="U8" s="480" t="s">
        <v>416</v>
      </c>
      <c r="V8" s="481"/>
      <c r="W8" s="161"/>
      <c r="X8" s="161"/>
    </row>
    <row r="9" spans="1:24" ht="19.5" thickBot="1" x14ac:dyDescent="0.35">
      <c r="A9" s="75" t="s">
        <v>228</v>
      </c>
      <c r="B9" s="76">
        <v>73.959999999999994</v>
      </c>
      <c r="C9" s="77">
        <v>16.042999999999999</v>
      </c>
      <c r="D9" s="78">
        <v>4.6950000000000003</v>
      </c>
      <c r="E9" s="79">
        <v>190.55</v>
      </c>
      <c r="F9" s="78"/>
      <c r="G9" s="78"/>
      <c r="I9" s="440"/>
      <c r="J9" s="476"/>
      <c r="K9" s="476"/>
      <c r="L9" s="476"/>
      <c r="M9" s="476"/>
      <c r="N9" s="476"/>
      <c r="O9" s="476"/>
      <c r="P9" s="476"/>
      <c r="Q9" s="476"/>
      <c r="R9" s="476"/>
      <c r="S9" s="476"/>
      <c r="T9" s="476"/>
      <c r="U9" s="482" t="s">
        <v>417</v>
      </c>
      <c r="V9" s="483"/>
      <c r="W9" s="161"/>
      <c r="X9" s="161"/>
    </row>
    <row r="10" spans="1:24" ht="27.75" thickBot="1" x14ac:dyDescent="0.35">
      <c r="A10" s="75" t="s">
        <v>229</v>
      </c>
      <c r="B10" s="80">
        <v>6.63</v>
      </c>
      <c r="C10" s="77">
        <v>30.068000000000001</v>
      </c>
      <c r="D10" s="78">
        <v>4.976</v>
      </c>
      <c r="E10" s="79">
        <v>305.43</v>
      </c>
      <c r="F10" s="78"/>
      <c r="G10" s="78"/>
      <c r="I10" s="441"/>
      <c r="J10" s="477"/>
      <c r="K10" s="477"/>
      <c r="L10" s="477"/>
      <c r="M10" s="477"/>
      <c r="N10" s="477"/>
      <c r="O10" s="477"/>
      <c r="P10" s="477"/>
      <c r="Q10" s="477"/>
      <c r="R10" s="477"/>
      <c r="S10" s="477"/>
      <c r="T10" s="477"/>
      <c r="U10" s="265" t="s">
        <v>418</v>
      </c>
      <c r="V10" s="266" t="s">
        <v>419</v>
      </c>
      <c r="W10" s="161"/>
      <c r="X10" s="161"/>
    </row>
    <row r="11" spans="1:24" ht="20.25" thickTop="1" thickBot="1" x14ac:dyDescent="0.35">
      <c r="A11" s="75" t="s">
        <v>230</v>
      </c>
      <c r="B11" s="80">
        <v>4.2300000000000004</v>
      </c>
      <c r="C11" s="77">
        <v>44.094000000000001</v>
      </c>
      <c r="D11" s="78">
        <v>4.3330000000000002</v>
      </c>
      <c r="E11" s="79">
        <v>369.82</v>
      </c>
      <c r="F11" s="78"/>
      <c r="G11" s="78"/>
      <c r="I11" s="267" t="s">
        <v>420</v>
      </c>
      <c r="J11" s="268">
        <v>87.25</v>
      </c>
      <c r="K11" s="269">
        <v>872.5</v>
      </c>
      <c r="L11" s="268">
        <v>54.95</v>
      </c>
      <c r="M11" s="269">
        <v>98.33</v>
      </c>
      <c r="N11" s="268">
        <v>0</v>
      </c>
      <c r="O11" s="268">
        <v>0</v>
      </c>
      <c r="P11" s="268">
        <v>31.39</v>
      </c>
      <c r="Q11" s="269">
        <v>98.33</v>
      </c>
      <c r="R11" s="268">
        <v>73.930000000000007</v>
      </c>
      <c r="S11" s="268">
        <v>970.83</v>
      </c>
      <c r="T11" s="268">
        <v>36.4</v>
      </c>
      <c r="U11" s="268">
        <v>491.5</v>
      </c>
      <c r="V11" s="270">
        <v>548.1</v>
      </c>
      <c r="W11" s="161"/>
      <c r="X11" s="161"/>
    </row>
    <row r="12" spans="1:24" ht="19.5" thickBot="1" x14ac:dyDescent="0.35">
      <c r="A12" s="75" t="s">
        <v>231</v>
      </c>
      <c r="B12" s="80">
        <f>1.26+1.64</f>
        <v>2.9</v>
      </c>
      <c r="C12" s="77">
        <v>58.12</v>
      </c>
      <c r="D12" s="78">
        <v>3.871</v>
      </c>
      <c r="E12" s="79">
        <v>408.13</v>
      </c>
      <c r="F12" s="78"/>
      <c r="G12" s="78"/>
      <c r="I12" s="271" t="s">
        <v>421</v>
      </c>
      <c r="J12" s="269">
        <v>5.78</v>
      </c>
      <c r="K12" s="269">
        <v>57.8</v>
      </c>
      <c r="L12" s="269">
        <v>16.34</v>
      </c>
      <c r="M12" s="269">
        <v>29.24</v>
      </c>
      <c r="N12" s="269">
        <v>0</v>
      </c>
      <c r="O12" s="269">
        <v>0</v>
      </c>
      <c r="P12" s="269">
        <v>9.33</v>
      </c>
      <c r="Q12" s="269">
        <v>29.24</v>
      </c>
      <c r="R12" s="269">
        <v>6.63</v>
      </c>
      <c r="S12" s="269">
        <v>87.04</v>
      </c>
      <c r="T12" s="269">
        <v>6.13</v>
      </c>
      <c r="U12" s="269">
        <v>82.9</v>
      </c>
      <c r="V12" s="270">
        <v>92.4</v>
      </c>
      <c r="W12" s="161"/>
      <c r="X12" s="161"/>
    </row>
    <row r="13" spans="1:24" ht="19.5" thickBot="1" x14ac:dyDescent="0.35">
      <c r="A13" s="75" t="s">
        <v>232</v>
      </c>
      <c r="B13" s="80">
        <v>10.32</v>
      </c>
      <c r="C13" s="77">
        <v>72.150999999999996</v>
      </c>
      <c r="D13" s="78">
        <v>3.4350000000000001</v>
      </c>
      <c r="E13" s="79">
        <v>469.65</v>
      </c>
      <c r="F13" s="78"/>
      <c r="G13" s="78"/>
      <c r="I13" s="271" t="s">
        <v>422</v>
      </c>
      <c r="J13" s="269">
        <v>2.73</v>
      </c>
      <c r="K13" s="269">
        <v>27.3</v>
      </c>
      <c r="L13" s="269">
        <v>15.15</v>
      </c>
      <c r="M13" s="269">
        <v>27.11</v>
      </c>
      <c r="N13" s="269">
        <v>0.83</v>
      </c>
      <c r="O13" s="269">
        <v>1.1100000000000001</v>
      </c>
      <c r="P13" s="269">
        <v>9.01</v>
      </c>
      <c r="Q13" s="269">
        <v>28.22</v>
      </c>
      <c r="R13" s="269">
        <v>4.2300000000000004</v>
      </c>
      <c r="S13" s="269">
        <v>55.52</v>
      </c>
      <c r="T13" s="269">
        <v>5.73</v>
      </c>
      <c r="U13" s="269">
        <v>77.5</v>
      </c>
      <c r="V13" s="270">
        <v>86.5</v>
      </c>
      <c r="W13" s="161"/>
      <c r="X13" s="161"/>
    </row>
    <row r="14" spans="1:24" ht="19.5" thickBot="1" x14ac:dyDescent="0.35">
      <c r="A14" s="75" t="s">
        <v>233</v>
      </c>
      <c r="B14" s="80">
        <v>0.12</v>
      </c>
      <c r="C14" s="77">
        <v>28.015999999999998</v>
      </c>
      <c r="D14" s="78">
        <v>3.4649999999999999</v>
      </c>
      <c r="E14" s="79">
        <v>126.26</v>
      </c>
      <c r="F14" s="78"/>
      <c r="G14" s="78"/>
      <c r="I14" s="271" t="s">
        <v>423</v>
      </c>
      <c r="J14" s="269">
        <v>0.62</v>
      </c>
      <c r="K14" s="269">
        <v>6.2</v>
      </c>
      <c r="L14" s="269">
        <v>3.92</v>
      </c>
      <c r="M14" s="269">
        <v>7.01</v>
      </c>
      <c r="N14" s="269">
        <v>2.5</v>
      </c>
      <c r="O14" s="269">
        <v>3.36</v>
      </c>
      <c r="P14" s="269">
        <v>3.31</v>
      </c>
      <c r="Q14" s="269">
        <v>10.37</v>
      </c>
      <c r="R14" s="269">
        <v>1.26</v>
      </c>
      <c r="S14" s="269">
        <v>16.57</v>
      </c>
      <c r="T14" s="269">
        <v>2.25</v>
      </c>
      <c r="U14" s="269">
        <v>30.5</v>
      </c>
      <c r="V14" s="270">
        <v>34</v>
      </c>
      <c r="W14" s="161"/>
      <c r="X14" s="161"/>
    </row>
    <row r="15" spans="1:24" ht="19.5" thickBot="1" x14ac:dyDescent="0.35">
      <c r="A15" s="75" t="s">
        <v>234</v>
      </c>
      <c r="B15" s="80">
        <v>1.84</v>
      </c>
      <c r="C15" s="77">
        <v>44.011000000000003</v>
      </c>
      <c r="D15" s="78">
        <v>7.5270000000000001</v>
      </c>
      <c r="E15" s="79">
        <v>304.2</v>
      </c>
      <c r="F15" s="78"/>
      <c r="G15" s="78"/>
      <c r="I15" s="271" t="s">
        <v>424</v>
      </c>
      <c r="J15" s="269">
        <v>0.81</v>
      </c>
      <c r="K15" s="269">
        <v>8.1</v>
      </c>
      <c r="L15" s="269">
        <v>3.37</v>
      </c>
      <c r="M15" s="269">
        <v>6.03</v>
      </c>
      <c r="N15" s="269">
        <v>5.56</v>
      </c>
      <c r="O15" s="269">
        <v>7.47</v>
      </c>
      <c r="P15" s="269">
        <v>4.3099999999999996</v>
      </c>
      <c r="Q15" s="269">
        <v>13.5</v>
      </c>
      <c r="R15" s="269">
        <v>1.64</v>
      </c>
      <c r="S15" s="269">
        <v>21.6</v>
      </c>
      <c r="T15" s="269">
        <v>2.94</v>
      </c>
      <c r="U15" s="269">
        <v>39.799999999999997</v>
      </c>
      <c r="V15" s="270">
        <v>44.3</v>
      </c>
      <c r="W15" s="161"/>
      <c r="X15" s="161"/>
    </row>
    <row r="16" spans="1:24" ht="19.5" customHeight="1" thickBot="1" x14ac:dyDescent="0.35">
      <c r="A16" s="75" t="s">
        <v>235</v>
      </c>
      <c r="B16" s="81">
        <v>0</v>
      </c>
      <c r="C16" s="82">
        <f>15.999*2</f>
        <v>31.998000000000001</v>
      </c>
      <c r="D16" s="83">
        <v>9.1850000000000005</v>
      </c>
      <c r="E16" s="84">
        <v>373.6</v>
      </c>
      <c r="F16" s="78"/>
      <c r="G16" s="78"/>
      <c r="I16" s="271" t="s">
        <v>425</v>
      </c>
      <c r="J16" s="269">
        <v>0.62</v>
      </c>
      <c r="K16" s="269">
        <v>6.2</v>
      </c>
      <c r="L16" s="269">
        <v>3.88</v>
      </c>
      <c r="M16" s="269">
        <v>6.94</v>
      </c>
      <c r="N16" s="269">
        <v>91.11</v>
      </c>
      <c r="O16" s="269">
        <v>122.39</v>
      </c>
      <c r="P16" s="269">
        <v>41.28</v>
      </c>
      <c r="Q16" s="269">
        <v>129.34</v>
      </c>
      <c r="R16" s="269">
        <v>10.32</v>
      </c>
      <c r="S16" s="269">
        <v>135.54</v>
      </c>
      <c r="T16" s="269">
        <v>43.83</v>
      </c>
      <c r="U16" s="269">
        <v>594</v>
      </c>
      <c r="V16" s="270">
        <v>662.4</v>
      </c>
      <c r="W16" s="161"/>
      <c r="X16" s="161"/>
    </row>
    <row r="17" spans="1:24" ht="18.75" customHeight="1" thickBot="1" x14ac:dyDescent="0.3">
      <c r="A17" s="75" t="s">
        <v>252</v>
      </c>
      <c r="B17" s="75">
        <f>SUM(B9:B16)</f>
        <v>100</v>
      </c>
      <c r="D17" s="85"/>
      <c r="E17" s="85"/>
      <c r="F17" s="85"/>
      <c r="G17" s="85"/>
      <c r="H17" s="85"/>
      <c r="I17" s="271" t="s">
        <v>426</v>
      </c>
      <c r="J17" s="269">
        <v>0.16</v>
      </c>
      <c r="K17" s="269">
        <v>1.6</v>
      </c>
      <c r="L17" s="269">
        <v>0</v>
      </c>
      <c r="M17" s="269">
        <v>0</v>
      </c>
      <c r="N17" s="269">
        <v>0</v>
      </c>
      <c r="O17" s="269">
        <v>0</v>
      </c>
      <c r="P17" s="269">
        <v>0</v>
      </c>
      <c r="Q17" s="269">
        <v>0</v>
      </c>
      <c r="R17" s="269">
        <v>0.12</v>
      </c>
      <c r="S17" s="269">
        <v>1.6</v>
      </c>
      <c r="T17" s="269">
        <v>0.1</v>
      </c>
      <c r="U17" s="269">
        <v>1.4</v>
      </c>
      <c r="V17" s="270">
        <v>1.6</v>
      </c>
      <c r="W17" s="161"/>
      <c r="X17" s="161"/>
    </row>
    <row r="18" spans="1:24" ht="18.75" customHeight="1" thickBot="1" x14ac:dyDescent="0.3">
      <c r="D18" s="85"/>
      <c r="E18" s="85"/>
      <c r="F18" s="85"/>
      <c r="G18" s="85"/>
      <c r="H18" s="85"/>
      <c r="I18" s="271" t="s">
        <v>427</v>
      </c>
      <c r="J18" s="269">
        <v>1.99</v>
      </c>
      <c r="K18" s="269">
        <v>19.899999999999999</v>
      </c>
      <c r="L18" s="269">
        <v>2.39</v>
      </c>
      <c r="M18" s="269">
        <v>4.28</v>
      </c>
      <c r="N18" s="269">
        <v>0</v>
      </c>
      <c r="O18" s="269">
        <v>0</v>
      </c>
      <c r="P18" s="269">
        <v>1.37</v>
      </c>
      <c r="Q18" s="269">
        <v>4.28</v>
      </c>
      <c r="R18" s="269">
        <v>1.84</v>
      </c>
      <c r="S18" s="269">
        <v>24.18</v>
      </c>
      <c r="T18" s="269">
        <v>2.4900000000000002</v>
      </c>
      <c r="U18" s="269">
        <v>33.700000000000003</v>
      </c>
      <c r="V18" s="270">
        <v>37.6</v>
      </c>
      <c r="W18" s="161"/>
      <c r="X18" s="161"/>
    </row>
    <row r="19" spans="1:24" ht="19.5" customHeight="1" thickBot="1" x14ac:dyDescent="0.3">
      <c r="A19" s="461" t="s">
        <v>236</v>
      </c>
      <c r="B19" s="461"/>
      <c r="C19" s="461"/>
      <c r="D19" s="461"/>
      <c r="E19" s="461"/>
      <c r="F19" s="461"/>
      <c r="G19" s="63"/>
      <c r="H19" s="63"/>
      <c r="I19" s="271" t="s">
        <v>428</v>
      </c>
      <c r="J19" s="269">
        <v>0.04</v>
      </c>
      <c r="K19" s="269">
        <v>0.4</v>
      </c>
      <c r="L19" s="269">
        <v>0</v>
      </c>
      <c r="M19" s="269">
        <v>0</v>
      </c>
      <c r="N19" s="269">
        <v>0</v>
      </c>
      <c r="O19" s="269">
        <v>0</v>
      </c>
      <c r="P19" s="269">
        <v>0</v>
      </c>
      <c r="Q19" s="269">
        <v>0</v>
      </c>
      <c r="R19" s="269">
        <v>0.03</v>
      </c>
      <c r="S19" s="269">
        <v>0.4</v>
      </c>
      <c r="T19" s="269">
        <v>0.13</v>
      </c>
      <c r="U19" s="269">
        <v>1.8</v>
      </c>
      <c r="V19" s="270">
        <v>2</v>
      </c>
      <c r="W19" s="161"/>
      <c r="X19" s="161"/>
    </row>
    <row r="20" spans="1:24" ht="15.75" customHeight="1" thickBot="1" x14ac:dyDescent="0.3">
      <c r="A20" s="462" t="s">
        <v>237</v>
      </c>
      <c r="B20" s="462" t="s">
        <v>216</v>
      </c>
      <c r="C20" s="462" t="s">
        <v>238</v>
      </c>
      <c r="D20" s="462" t="s">
        <v>218</v>
      </c>
      <c r="E20" s="468" t="s">
        <v>239</v>
      </c>
      <c r="I20" s="271" t="s">
        <v>252</v>
      </c>
      <c r="J20" s="269">
        <v>100</v>
      </c>
      <c r="K20" s="269">
        <v>1000</v>
      </c>
      <c r="L20" s="269">
        <v>100</v>
      </c>
      <c r="M20" s="269">
        <v>178.94</v>
      </c>
      <c r="N20" s="269">
        <v>100</v>
      </c>
      <c r="O20" s="269">
        <v>134.33000000000001</v>
      </c>
      <c r="P20" s="269">
        <v>100</v>
      </c>
      <c r="Q20" s="269">
        <v>313.27999999999997</v>
      </c>
      <c r="R20" s="269">
        <v>100</v>
      </c>
      <c r="S20" s="269">
        <v>1313.28</v>
      </c>
      <c r="T20" s="269">
        <v>100</v>
      </c>
      <c r="U20" s="269" t="s">
        <v>429</v>
      </c>
      <c r="V20" s="270" t="s">
        <v>429</v>
      </c>
      <c r="W20" s="161"/>
      <c r="X20" s="161"/>
    </row>
    <row r="21" spans="1:24" ht="15.75" customHeight="1" thickBot="1" x14ac:dyDescent="0.3">
      <c r="A21" s="463"/>
      <c r="B21" s="463"/>
      <c r="C21" s="465"/>
      <c r="D21" s="463"/>
      <c r="E21" s="469"/>
      <c r="I21" s="271" t="s">
        <v>430</v>
      </c>
      <c r="J21" s="484">
        <v>19</v>
      </c>
      <c r="K21" s="485"/>
      <c r="L21" s="484">
        <v>29</v>
      </c>
      <c r="M21" s="485"/>
      <c r="N21" s="484">
        <v>137</v>
      </c>
      <c r="O21" s="485"/>
      <c r="P21" s="484">
        <v>75</v>
      </c>
      <c r="Q21" s="485"/>
      <c r="R21" s="484">
        <v>33</v>
      </c>
      <c r="S21" s="486"/>
      <c r="T21" s="486"/>
      <c r="U21" s="486"/>
      <c r="V21" s="487"/>
      <c r="W21" s="161"/>
      <c r="X21" s="161"/>
    </row>
    <row r="22" spans="1:24" ht="37.5" customHeight="1" thickBot="1" x14ac:dyDescent="0.3">
      <c r="A22" s="463"/>
      <c r="B22" s="463"/>
      <c r="C22" s="466"/>
      <c r="D22" s="467"/>
      <c r="E22" s="469"/>
      <c r="I22" s="271" t="s">
        <v>431</v>
      </c>
      <c r="J22" s="484">
        <v>0.79700000000000004</v>
      </c>
      <c r="K22" s="485"/>
      <c r="L22" s="484">
        <v>1.1970000000000001</v>
      </c>
      <c r="M22" s="485"/>
      <c r="N22" s="484">
        <v>768</v>
      </c>
      <c r="O22" s="485"/>
      <c r="P22" s="484" t="s">
        <v>429</v>
      </c>
      <c r="Q22" s="485"/>
      <c r="R22" s="484">
        <v>1.353</v>
      </c>
      <c r="S22" s="486"/>
      <c r="T22" s="486"/>
      <c r="U22" s="486"/>
      <c r="V22" s="487"/>
      <c r="W22" s="161"/>
      <c r="X22" s="161"/>
    </row>
    <row r="23" spans="1:24" x14ac:dyDescent="0.25">
      <c r="A23" s="463"/>
      <c r="B23" s="463"/>
      <c r="C23" s="86" t="s">
        <v>221</v>
      </c>
      <c r="D23" s="87" t="s">
        <v>222</v>
      </c>
      <c r="E23" s="469"/>
      <c r="I23" s="488" t="s">
        <v>432</v>
      </c>
      <c r="J23" s="478" t="s">
        <v>433</v>
      </c>
      <c r="K23" s="490"/>
      <c r="L23" s="490"/>
      <c r="M23" s="490"/>
      <c r="N23" s="490"/>
      <c r="O23" s="491"/>
      <c r="P23" s="492" t="s">
        <v>434</v>
      </c>
      <c r="Q23" s="493"/>
      <c r="R23" s="493"/>
      <c r="S23" s="493"/>
      <c r="T23" s="493"/>
      <c r="U23" s="493"/>
      <c r="V23" s="494"/>
      <c r="W23" s="161"/>
      <c r="X23" s="161"/>
    </row>
    <row r="24" spans="1:24" ht="15.75" thickBot="1" x14ac:dyDescent="0.3">
      <c r="A24" s="464"/>
      <c r="B24" s="464"/>
      <c r="C24" s="88" t="s">
        <v>240</v>
      </c>
      <c r="D24" s="89" t="s">
        <v>226</v>
      </c>
      <c r="E24" s="470"/>
      <c r="I24" s="440"/>
      <c r="J24" s="482" t="s">
        <v>435</v>
      </c>
      <c r="K24" s="498"/>
      <c r="L24" s="498"/>
      <c r="M24" s="498"/>
      <c r="N24" s="498"/>
      <c r="O24" s="499"/>
      <c r="P24" s="495"/>
      <c r="Q24" s="496"/>
      <c r="R24" s="496"/>
      <c r="S24" s="496"/>
      <c r="T24" s="496"/>
      <c r="U24" s="496"/>
      <c r="V24" s="497"/>
      <c r="W24" s="161"/>
      <c r="X24" s="161"/>
    </row>
    <row r="25" spans="1:24" ht="15.75" x14ac:dyDescent="0.25">
      <c r="A25" s="90">
        <v>1</v>
      </c>
      <c r="B25" s="90" t="s">
        <v>241</v>
      </c>
      <c r="C25" s="91">
        <f>B9/100</f>
        <v>0.73959999999999992</v>
      </c>
      <c r="D25" s="92">
        <f t="shared" ref="D25:D32" si="0">C9</f>
        <v>16.042999999999999</v>
      </c>
      <c r="E25" s="93">
        <f>C25*D25</f>
        <v>11.865402799999998</v>
      </c>
      <c r="I25" s="440"/>
      <c r="J25" s="478" t="s">
        <v>436</v>
      </c>
      <c r="K25" s="491"/>
      <c r="L25" s="478" t="s">
        <v>418</v>
      </c>
      <c r="M25" s="491"/>
      <c r="N25" s="478" t="s">
        <v>419</v>
      </c>
      <c r="O25" s="491"/>
      <c r="P25" s="495" t="s">
        <v>437</v>
      </c>
      <c r="Q25" s="500"/>
      <c r="R25" s="500"/>
      <c r="S25" s="500"/>
      <c r="T25" s="500"/>
      <c r="U25" s="500"/>
      <c r="V25" s="497"/>
      <c r="W25" s="161"/>
      <c r="X25" s="161"/>
    </row>
    <row r="26" spans="1:24" ht="16.5" thickBot="1" x14ac:dyDescent="0.3">
      <c r="A26" s="94">
        <v>2</v>
      </c>
      <c r="B26" s="94" t="s">
        <v>242</v>
      </c>
      <c r="C26" s="95">
        <f>B10/100</f>
        <v>6.6299999999999998E-2</v>
      </c>
      <c r="D26" s="96">
        <f t="shared" si="0"/>
        <v>30.068000000000001</v>
      </c>
      <c r="E26" s="97">
        <f t="shared" ref="E26:E32" si="1">C26*D26</f>
        <v>1.9935084000000001</v>
      </c>
      <c r="I26" s="489"/>
      <c r="J26" s="482"/>
      <c r="K26" s="499"/>
      <c r="L26" s="482"/>
      <c r="M26" s="499"/>
      <c r="N26" s="482"/>
      <c r="O26" s="499"/>
      <c r="P26" s="495" t="s">
        <v>438</v>
      </c>
      <c r="Q26" s="500"/>
      <c r="R26" s="500"/>
      <c r="S26" s="500"/>
      <c r="T26" s="500"/>
      <c r="U26" s="500"/>
      <c r="V26" s="497"/>
      <c r="W26" s="161"/>
      <c r="X26" s="161"/>
    </row>
    <row r="27" spans="1:24" ht="16.5" thickBot="1" x14ac:dyDescent="0.3">
      <c r="A27" s="94">
        <v>3</v>
      </c>
      <c r="B27" s="94" t="s">
        <v>243</v>
      </c>
      <c r="C27" s="95">
        <f>B11/100</f>
        <v>4.2300000000000004E-2</v>
      </c>
      <c r="D27" s="96">
        <f t="shared" si="0"/>
        <v>44.094000000000001</v>
      </c>
      <c r="E27" s="97">
        <f t="shared" si="1"/>
        <v>1.8651762000000003</v>
      </c>
      <c r="I27" s="271" t="s">
        <v>407</v>
      </c>
      <c r="J27" s="484">
        <v>19.399999999999999</v>
      </c>
      <c r="K27" s="485"/>
      <c r="L27" s="484">
        <v>14.7</v>
      </c>
      <c r="M27" s="485"/>
      <c r="N27" s="484">
        <v>16.399999999999999</v>
      </c>
      <c r="O27" s="485"/>
      <c r="P27" s="495" t="s">
        <v>439</v>
      </c>
      <c r="Q27" s="500"/>
      <c r="R27" s="500"/>
      <c r="S27" s="500"/>
      <c r="T27" s="500"/>
      <c r="U27" s="500"/>
      <c r="V27" s="497"/>
      <c r="W27" s="161"/>
      <c r="X27" s="161"/>
    </row>
    <row r="28" spans="1:24" ht="16.5" thickBot="1" x14ac:dyDescent="0.3">
      <c r="A28" s="94">
        <v>4</v>
      </c>
      <c r="B28" s="94" t="s">
        <v>244</v>
      </c>
      <c r="C28" s="95">
        <f>B12/100</f>
        <v>2.8999999999999998E-2</v>
      </c>
      <c r="D28" s="96">
        <f t="shared" si="0"/>
        <v>58.12</v>
      </c>
      <c r="E28" s="97">
        <f t="shared" si="1"/>
        <v>1.6854799999999999</v>
      </c>
      <c r="I28" s="272" t="s">
        <v>408</v>
      </c>
      <c r="J28" s="484">
        <v>22.8</v>
      </c>
      <c r="K28" s="485"/>
      <c r="L28" s="484">
        <v>17.399999999999999</v>
      </c>
      <c r="M28" s="485"/>
      <c r="N28" s="484">
        <v>19.399999999999999</v>
      </c>
      <c r="O28" s="485"/>
      <c r="P28" s="495" t="s">
        <v>440</v>
      </c>
      <c r="Q28" s="500"/>
      <c r="R28" s="500"/>
      <c r="S28" s="500"/>
      <c r="T28" s="500"/>
      <c r="U28" s="500"/>
      <c r="V28" s="497"/>
      <c r="W28" s="161"/>
      <c r="X28" s="161"/>
    </row>
    <row r="29" spans="1:24" ht="16.5" thickBot="1" x14ac:dyDescent="0.3">
      <c r="A29" s="94">
        <v>5</v>
      </c>
      <c r="B29" s="94" t="s">
        <v>245</v>
      </c>
      <c r="C29" s="95">
        <f>(B13)/100</f>
        <v>0.1032</v>
      </c>
      <c r="D29" s="110">
        <f t="shared" si="0"/>
        <v>72.150999999999996</v>
      </c>
      <c r="E29" s="97">
        <f t="shared" si="1"/>
        <v>7.4459831999999997</v>
      </c>
      <c r="I29" s="273" t="s">
        <v>409</v>
      </c>
      <c r="J29" s="484">
        <v>737.9</v>
      </c>
      <c r="K29" s="485"/>
      <c r="L29" s="484">
        <v>561.9</v>
      </c>
      <c r="M29" s="485"/>
      <c r="N29" s="484">
        <v>626.6</v>
      </c>
      <c r="O29" s="485"/>
      <c r="P29" s="495" t="s">
        <v>441</v>
      </c>
      <c r="Q29" s="500"/>
      <c r="R29" s="500"/>
      <c r="S29" s="500"/>
      <c r="T29" s="500"/>
      <c r="U29" s="500"/>
      <c r="V29" s="497"/>
      <c r="W29" s="161"/>
      <c r="X29" s="161"/>
    </row>
    <row r="30" spans="1:24" ht="15.75" x14ac:dyDescent="0.25">
      <c r="A30" s="94">
        <v>6</v>
      </c>
      <c r="B30" s="94" t="s">
        <v>246</v>
      </c>
      <c r="C30" s="95">
        <f>B14/100</f>
        <v>1.1999999999999999E-3</v>
      </c>
      <c r="D30" s="109">
        <f t="shared" si="0"/>
        <v>28.015999999999998</v>
      </c>
      <c r="E30" s="97">
        <f t="shared" si="1"/>
        <v>3.3619199999999995E-2</v>
      </c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</row>
    <row r="31" spans="1:24" ht="15.75" x14ac:dyDescent="0.25">
      <c r="A31" s="94">
        <v>7</v>
      </c>
      <c r="B31" s="94" t="s">
        <v>247</v>
      </c>
      <c r="C31" s="95">
        <f>B15/100</f>
        <v>1.84E-2</v>
      </c>
      <c r="D31" s="96">
        <f t="shared" si="0"/>
        <v>44.011000000000003</v>
      </c>
      <c r="E31" s="97">
        <f t="shared" si="1"/>
        <v>0.80980240000000003</v>
      </c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</row>
    <row r="32" spans="1:24" ht="16.5" thickBot="1" x14ac:dyDescent="0.3">
      <c r="A32" s="98">
        <v>8</v>
      </c>
      <c r="B32" s="94" t="s">
        <v>253</v>
      </c>
      <c r="C32" s="99">
        <f>B16/100</f>
        <v>0</v>
      </c>
      <c r="D32" s="100">
        <f t="shared" si="0"/>
        <v>31.998000000000001</v>
      </c>
      <c r="E32" s="101">
        <f t="shared" si="1"/>
        <v>0</v>
      </c>
    </row>
    <row r="33" spans="1:8" ht="16.5" thickBot="1" x14ac:dyDescent="0.3">
      <c r="A33" s="459" t="s">
        <v>248</v>
      </c>
      <c r="B33" s="460"/>
      <c r="C33" s="81">
        <f>SUM(C25:C32)</f>
        <v>0.99999999999999989</v>
      </c>
      <c r="D33" s="102"/>
      <c r="E33" s="81">
        <f>SUM(E25:E32)</f>
        <v>25.698972199999996</v>
      </c>
      <c r="F33" s="103"/>
    </row>
    <row r="34" spans="1:8" x14ac:dyDescent="0.25">
      <c r="A34" s="62"/>
      <c r="B34" s="62"/>
      <c r="C34" s="104"/>
    </row>
    <row r="35" spans="1:8" ht="19.5" thickBot="1" x14ac:dyDescent="0.3">
      <c r="A35" s="444" t="s">
        <v>249</v>
      </c>
      <c r="B35" s="444"/>
      <c r="C35" s="444"/>
      <c r="D35" s="444"/>
      <c r="E35" s="444"/>
      <c r="F35" s="444"/>
      <c r="G35" s="63"/>
      <c r="H35" s="63"/>
    </row>
    <row r="36" spans="1:8" ht="23.25" thickBot="1" x14ac:dyDescent="0.4">
      <c r="A36" s="105" t="s">
        <v>250</v>
      </c>
      <c r="B36" s="106">
        <f>E33/24.04</f>
        <v>1.0690088269550748</v>
      </c>
      <c r="C36" s="107" t="s">
        <v>251</v>
      </c>
      <c r="D36" s="103"/>
      <c r="E36" s="85"/>
      <c r="F36" s="108"/>
      <c r="G36" s="103"/>
    </row>
    <row r="47" spans="1:8" ht="16.5" customHeight="1" x14ac:dyDescent="0.25"/>
    <row r="87" ht="38.25" customHeight="1" x14ac:dyDescent="0.25"/>
  </sheetData>
  <mergeCells count="70">
    <mergeCell ref="J29:K29"/>
    <mergeCell ref="L29:M29"/>
    <mergeCell ref="N29:O29"/>
    <mergeCell ref="P29:V29"/>
    <mergeCell ref="J27:K27"/>
    <mergeCell ref="L27:M27"/>
    <mergeCell ref="N27:O27"/>
    <mergeCell ref="P27:V27"/>
    <mergeCell ref="J28:K28"/>
    <mergeCell ref="L28:M28"/>
    <mergeCell ref="N28:O28"/>
    <mergeCell ref="P28:V28"/>
    <mergeCell ref="I23:I26"/>
    <mergeCell ref="J23:O23"/>
    <mergeCell ref="P23:V24"/>
    <mergeCell ref="J24:O24"/>
    <mergeCell ref="J25:K26"/>
    <mergeCell ref="L25:M26"/>
    <mergeCell ref="N25:O26"/>
    <mergeCell ref="P25:V25"/>
    <mergeCell ref="P26:V26"/>
    <mergeCell ref="J22:K22"/>
    <mergeCell ref="L22:M22"/>
    <mergeCell ref="N22:O22"/>
    <mergeCell ref="P22:Q22"/>
    <mergeCell ref="R22:V22"/>
    <mergeCell ref="U8:V8"/>
    <mergeCell ref="U9:V9"/>
    <mergeCell ref="J21:K21"/>
    <mergeCell ref="L21:M21"/>
    <mergeCell ref="N21:O21"/>
    <mergeCell ref="P21:Q21"/>
    <mergeCell ref="R21:V21"/>
    <mergeCell ref="N5:O5"/>
    <mergeCell ref="P5:Q5"/>
    <mergeCell ref="R5:V5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S6:S10"/>
    <mergeCell ref="T6:T10"/>
    <mergeCell ref="U6:V6"/>
    <mergeCell ref="U7:V7"/>
    <mergeCell ref="A33:B33"/>
    <mergeCell ref="A35:F35"/>
    <mergeCell ref="G4:G6"/>
    <mergeCell ref="H4:H6"/>
    <mergeCell ref="A19:F19"/>
    <mergeCell ref="A20:A24"/>
    <mergeCell ref="B20:B24"/>
    <mergeCell ref="C20:C22"/>
    <mergeCell ref="D20:D22"/>
    <mergeCell ref="E20:E24"/>
    <mergeCell ref="I5:I10"/>
    <mergeCell ref="J5:K5"/>
    <mergeCell ref="L5:M5"/>
    <mergeCell ref="A1:F1"/>
    <mergeCell ref="A3:F3"/>
    <mergeCell ref="A4:A8"/>
    <mergeCell ref="B4:B6"/>
    <mergeCell ref="C4:C6"/>
    <mergeCell ref="D4:D6"/>
    <mergeCell ref="E4:E6"/>
    <mergeCell ref="F4:F6"/>
  </mergeCells>
  <hyperlinks>
    <hyperlink ref="A3:F3" r:id="rId1" display="Таблица 1 - Исходные данные о составе природного газа" xr:uid="{1ED67E02-39EE-43ED-ACCC-591B8FF9238C}"/>
  </hyperlinks>
  <pageMargins left="0.7" right="0.7" top="0.75" bottom="0.75" header="0.3" footer="0.3"/>
  <pageSetup paperSize="9" orientation="portrait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9"/>
  <sheetViews>
    <sheetView tabSelected="1" zoomScale="90" zoomScaleNormal="90" workbookViewId="0">
      <selection activeCell="B39" sqref="B39"/>
    </sheetView>
  </sheetViews>
  <sheetFormatPr defaultColWidth="42.5703125" defaultRowHeight="15" x14ac:dyDescent="0.25"/>
  <cols>
    <col min="1" max="1" width="42.5703125" style="32"/>
    <col min="2" max="2" width="14.140625" style="32" customWidth="1"/>
    <col min="3" max="3" width="11.85546875" style="32" customWidth="1"/>
    <col min="4" max="4" width="16.42578125" style="32" customWidth="1"/>
    <col min="5" max="16384" width="42.5703125" style="32"/>
  </cols>
  <sheetData>
    <row r="1" spans="1:6" x14ac:dyDescent="0.25">
      <c r="A1" s="34" t="s">
        <v>123</v>
      </c>
      <c r="B1" s="33">
        <f>1-B2-B3</f>
        <v>0.98040000000000005</v>
      </c>
      <c r="C1" s="33"/>
      <c r="D1" s="33" t="s">
        <v>124</v>
      </c>
      <c r="E1" s="33"/>
    </row>
    <row r="2" spans="1:6" x14ac:dyDescent="0.25">
      <c r="A2" s="34" t="s">
        <v>125</v>
      </c>
      <c r="B2" s="33">
        <f>'РАСЧЕТ ПЛОТНОСТИ'!C30</f>
        <v>1.1999999999999999E-3</v>
      </c>
      <c r="C2" s="33"/>
      <c r="D2" s="33"/>
      <c r="E2" s="33"/>
    </row>
    <row r="3" spans="1:6" x14ac:dyDescent="0.25">
      <c r="A3" s="34" t="s">
        <v>126</v>
      </c>
      <c r="B3" s="33">
        <f>'РАСЧЕТ ПЛОТНОСТИ'!C31</f>
        <v>1.84E-2</v>
      </c>
      <c r="C3" s="33"/>
      <c r="D3" s="33"/>
      <c r="F3" s="136"/>
    </row>
    <row r="4" spans="1:6" x14ac:dyDescent="0.25">
      <c r="A4" s="34" t="s">
        <v>127</v>
      </c>
      <c r="B4" s="33">
        <v>283.14999999999998</v>
      </c>
      <c r="C4" s="33" t="s">
        <v>20</v>
      </c>
      <c r="D4" s="33"/>
      <c r="F4" s="136"/>
    </row>
    <row r="5" spans="1:6" x14ac:dyDescent="0.25">
      <c r="A5" s="34" t="s">
        <v>128</v>
      </c>
      <c r="B5" s="33">
        <v>1.82</v>
      </c>
      <c r="C5" s="33" t="s">
        <v>19</v>
      </c>
      <c r="D5" s="33"/>
      <c r="F5" s="136"/>
    </row>
    <row r="6" spans="1:6" x14ac:dyDescent="0.25">
      <c r="A6" s="34" t="s">
        <v>129</v>
      </c>
      <c r="B6" s="111">
        <f>B7/1.205</f>
        <v>0.88714425473450187</v>
      </c>
      <c r="C6" s="33"/>
      <c r="D6" s="33"/>
      <c r="F6" s="136"/>
    </row>
    <row r="7" spans="1:6" x14ac:dyDescent="0.25">
      <c r="A7" s="34" t="s">
        <v>130</v>
      </c>
      <c r="B7" s="111">
        <f>'РАСЧЕТ ПЛОТНОСТИ'!B36</f>
        <v>1.0690088269550748</v>
      </c>
      <c r="C7" s="33" t="s">
        <v>131</v>
      </c>
      <c r="D7" s="33"/>
      <c r="F7" s="136"/>
    </row>
    <row r="8" spans="1:6" x14ac:dyDescent="0.25">
      <c r="F8" s="136"/>
    </row>
    <row r="9" spans="1:6" x14ac:dyDescent="0.25">
      <c r="F9" s="136"/>
    </row>
    <row r="10" spans="1:6" x14ac:dyDescent="0.25">
      <c r="A10" s="32" t="s">
        <v>132</v>
      </c>
      <c r="B10" s="28">
        <f>1-(0.0741*B7-0.006-0.063*B2-0.0575*B3)^2</f>
        <v>0.99480448022020407</v>
      </c>
      <c r="D10" s="32" t="s">
        <v>133</v>
      </c>
      <c r="F10" s="136"/>
    </row>
    <row r="11" spans="1:6" x14ac:dyDescent="0.25">
      <c r="A11" s="32" t="s">
        <v>134</v>
      </c>
      <c r="B11" s="28">
        <f>(24.05525*B10*B7-28.0135*B2-44.01*B3)/B1</f>
        <v>25.232833707531448</v>
      </c>
      <c r="D11" s="32" t="s">
        <v>135</v>
      </c>
      <c r="F11" s="136"/>
    </row>
    <row r="12" spans="1:6" x14ac:dyDescent="0.25">
      <c r="A12" s="32" t="s">
        <v>136</v>
      </c>
      <c r="B12" s="28">
        <f>128.64+47.479*B11</f>
        <v>1326.6697115998854</v>
      </c>
      <c r="D12" s="32" t="s">
        <v>137</v>
      </c>
      <c r="F12" s="136"/>
    </row>
    <row r="13" spans="1:6" x14ac:dyDescent="0.25">
      <c r="A13" s="32" t="s">
        <v>138</v>
      </c>
      <c r="B13" s="28">
        <f>0.92+0.0013*(B4-270)</f>
        <v>0.93709500000000001</v>
      </c>
      <c r="D13" s="32" t="s">
        <v>139</v>
      </c>
      <c r="F13" s="136"/>
    </row>
    <row r="14" spans="1:6" x14ac:dyDescent="0.25">
      <c r="A14" s="32" t="s">
        <v>140</v>
      </c>
      <c r="B14" s="28">
        <f>0.72+1.872*10^(-5)*(320-B4)^2</f>
        <v>0.74542030920000002</v>
      </c>
      <c r="D14" s="32" t="s">
        <v>141</v>
      </c>
      <c r="F14" s="136"/>
    </row>
    <row r="15" spans="1:6" x14ac:dyDescent="0.25">
      <c r="A15" s="32" t="s">
        <v>142</v>
      </c>
      <c r="B15" s="28">
        <f>3.58783*10^(-3)+8.06674*10^(-6)*B4-3.25798*10^(-8)*B4^2</f>
        <v>3.2598770707344999E-3</v>
      </c>
      <c r="D15" s="32" t="s">
        <v>143</v>
      </c>
      <c r="F15" s="136"/>
    </row>
    <row r="16" spans="1:6" x14ac:dyDescent="0.25">
      <c r="A16" s="32" t="s">
        <v>144</v>
      </c>
      <c r="B16" s="28">
        <f>5.52066*10^(-3)-1.68609*10^(-5)*B4+1.57169*10^(-8)*B4^2</f>
        <v>2.0065816875402499E-3</v>
      </c>
      <c r="D16" s="32" t="s">
        <v>145</v>
      </c>
    </row>
    <row r="17" spans="1:4" x14ac:dyDescent="0.25">
      <c r="A17" s="32" t="s">
        <v>146</v>
      </c>
      <c r="B17" s="28">
        <f>2.0513*10^(-3)+3.4888*10^(-5)*B4-8.3703*10^(-8)*B4^2</f>
        <v>5.2190393649824991E-3</v>
      </c>
      <c r="D17" s="32" t="s">
        <v>147</v>
      </c>
    </row>
    <row r="18" spans="1:4" x14ac:dyDescent="0.25">
      <c r="A18" s="32" t="s">
        <v>148</v>
      </c>
      <c r="B18" s="28">
        <f>7.8498*10^(-3)-3.9895*10^(-5)*B4+6.1187*10^(-8)*B4^2</f>
        <v>1.4591325460074998E-3</v>
      </c>
      <c r="D18" s="32" t="s">
        <v>149</v>
      </c>
    </row>
    <row r="19" spans="1:4" x14ac:dyDescent="0.25">
      <c r="A19" s="32" t="s">
        <v>150</v>
      </c>
      <c r="B19" s="28">
        <f>-0.302488+1.95861*10^(-3)*B4-3.16302*10^(-6)*B4^2+(6.46422*10^(-4)-4.22876*10^(-6)*B4+6.88157*10^(-9)*B4^2)*B12+(-3.32805*10^(-7)+2.2316*10^(-9)*B4-3.67713*10^(-12)*B4^2)*B12^2</f>
        <v>7.0260584309233482E-3</v>
      </c>
      <c r="D19" s="32" t="s">
        <v>151</v>
      </c>
    </row>
    <row r="20" spans="1:4" x14ac:dyDescent="0.25">
      <c r="A20" s="32" t="s">
        <v>152</v>
      </c>
      <c r="B20" s="28">
        <f>-0.86834+4.0376*10^(-3)*B4-5.1657*10^(-6)*B4^2</f>
        <v>-0.13924799145825001</v>
      </c>
      <c r="D20" s="32" t="s">
        <v>153</v>
      </c>
    </row>
    <row r="21" spans="1:4" x14ac:dyDescent="0.25">
      <c r="A21" s="32" t="s">
        <v>154</v>
      </c>
      <c r="B21" s="28">
        <f>-0.339693+1.61176*10^(-3)*B4-2.04429*10^(-6)*B4^2</f>
        <v>-4.7221904027525047E-2</v>
      </c>
      <c r="D21" s="32" t="s">
        <v>155</v>
      </c>
    </row>
    <row r="22" spans="1:4" x14ac:dyDescent="0.25">
      <c r="A22" s="32" t="s">
        <v>156</v>
      </c>
      <c r="B22" s="28">
        <f>-0.1446+7.4091*10^(-4)*B4-9.1195*10^(-7)*B4^2</f>
        <v>-7.9259421238749989E-3</v>
      </c>
      <c r="D22" s="32" t="s">
        <v>157</v>
      </c>
    </row>
    <row r="23" spans="1:4" x14ac:dyDescent="0.25">
      <c r="A23" s="32" t="s">
        <v>158</v>
      </c>
      <c r="B23" s="28">
        <f>-0.425468+2.865*10^(-3)*B4-4.62073*10^(-6)*B4^2+(8.77118*10^(-4)-5.56281*10^(-6)*B4+8.81514*10^(-9)*B4^2)*B12+(-8.24747*10^(-7)+4.31436*10^(-9)*B4-6.08319*10^(-12)*B4^2)*B12^2</f>
        <v>-0.13299266759529699</v>
      </c>
      <c r="D23" s="32" t="s">
        <v>159</v>
      </c>
    </row>
    <row r="24" spans="1:4" x14ac:dyDescent="0.25">
      <c r="B24" s="28"/>
    </row>
    <row r="25" spans="1:4" x14ac:dyDescent="0.25">
      <c r="A25" s="32" t="s">
        <v>160</v>
      </c>
      <c r="B25" s="28">
        <f>B1^3*B19+3*B1^2*B2*B13*(B19^2*B18)^(1/3)+2.76*B1^2*B3*(B19^2*B17)^(1/3)+3*B1*B2^2*B13*(B19*B18^2)^(1/3)+6.6*B1*B2*B3*(B19*B18*B17)^(1/3)+2.76*B1*B3^2*(B19*B17^2)^(1/3)+B2^3*B18+3*B2^2*B3*B16+3*B2*B3^2*B15+B3^3*B17</f>
        <v>6.9509289196971365E-3</v>
      </c>
      <c r="D25" s="32" t="s">
        <v>161</v>
      </c>
    </row>
    <row r="26" spans="1:4" x14ac:dyDescent="0.25">
      <c r="A26" s="32" t="s">
        <v>162</v>
      </c>
      <c r="B26" s="28">
        <f>B1^2*B23+B1*B2*B14*(B23+B22)-1.73*B1*B3*(B23*B20)^0.5+B2^2*B22+2*B2*B3*B21+B3^2*B20</f>
        <v>-0.13225020205350016</v>
      </c>
      <c r="D26" s="32" t="s">
        <v>163</v>
      </c>
    </row>
    <row r="27" spans="1:4" x14ac:dyDescent="0.25">
      <c r="B27" s="28"/>
    </row>
    <row r="28" spans="1:4" x14ac:dyDescent="0.25">
      <c r="A28" s="32" t="s">
        <v>164</v>
      </c>
      <c r="B28" s="28">
        <f>1+B26*B6+B25*B6^2</f>
        <v>0.88814554739824236</v>
      </c>
      <c r="D28" s="32" t="s">
        <v>165</v>
      </c>
    </row>
    <row r="29" spans="1:4" x14ac:dyDescent="0.25">
      <c r="B29" s="28"/>
    </row>
    <row r="30" spans="1:4" x14ac:dyDescent="0.25">
      <c r="A30" s="32" t="s">
        <v>166</v>
      </c>
      <c r="B30" s="28">
        <f>24.05525*B10*B7</f>
        <v>25.581670366863833</v>
      </c>
      <c r="D30" s="32" t="s">
        <v>167</v>
      </c>
    </row>
    <row r="31" spans="1:4" x14ac:dyDescent="0.25">
      <c r="A31" s="32" t="s">
        <v>168</v>
      </c>
      <c r="B31" s="28">
        <f>10^3*B30*B5/(8.314*B4*B28)</f>
        <v>22.26842787910433</v>
      </c>
      <c r="D31" s="32" t="s">
        <v>169</v>
      </c>
    </row>
    <row r="32" spans="1:4" x14ac:dyDescent="0.25">
      <c r="A32" s="32" t="s">
        <v>170</v>
      </c>
      <c r="B32" s="28">
        <f>10^3*B5/(2.7715*B4)</f>
        <v>2.3192092745178887</v>
      </c>
      <c r="D32" s="32" t="s">
        <v>171</v>
      </c>
    </row>
    <row r="33" spans="1:5" x14ac:dyDescent="0.25">
      <c r="A33" s="32" t="s">
        <v>172</v>
      </c>
      <c r="B33" s="28">
        <f>B32^2*B25</f>
        <v>3.7387181439901718E-2</v>
      </c>
      <c r="D33" s="32" t="s">
        <v>173</v>
      </c>
    </row>
    <row r="34" spans="1:5" x14ac:dyDescent="0.25">
      <c r="A34" s="32" t="s">
        <v>174</v>
      </c>
      <c r="B34" s="28">
        <f>B32*B26</f>
        <v>-0.30671589515934228</v>
      </c>
      <c r="D34" s="32" t="s">
        <v>175</v>
      </c>
    </row>
    <row r="35" spans="1:5" x14ac:dyDescent="0.25">
      <c r="A35" s="32" t="s">
        <v>176</v>
      </c>
      <c r="B35" s="28">
        <f>1+1.5*(B34+B33)</f>
        <v>0.59600692942083922</v>
      </c>
      <c r="D35" s="32" t="s">
        <v>177</v>
      </c>
    </row>
    <row r="36" spans="1:5" x14ac:dyDescent="0.25">
      <c r="A36" s="32" t="s">
        <v>178</v>
      </c>
      <c r="B36" s="28">
        <f>1+B34</f>
        <v>0.69328410484065772</v>
      </c>
      <c r="D36" s="32" t="s">
        <v>179</v>
      </c>
    </row>
    <row r="37" spans="1:5" x14ac:dyDescent="0.25">
      <c r="A37" s="32" t="s">
        <v>180</v>
      </c>
      <c r="B37" s="28">
        <f>(B35-(B35^2-B36^3)^0.5)^(1/3)</f>
        <v>0.7649876846442939</v>
      </c>
      <c r="D37" s="32" t="s">
        <v>181</v>
      </c>
    </row>
    <row r="38" spans="1:5" x14ac:dyDescent="0.25">
      <c r="B38" s="31"/>
    </row>
    <row r="39" spans="1:5" ht="18.75" x14ac:dyDescent="0.25">
      <c r="A39" s="35" t="s">
        <v>182</v>
      </c>
      <c r="B39" s="36">
        <f>(1+B37+B36/B37)/3</f>
        <v>0.89041866867550556</v>
      </c>
      <c r="C39" s="35"/>
      <c r="D39" s="35" t="s">
        <v>183</v>
      </c>
      <c r="E39" s="3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4"/>
  <sheetViews>
    <sheetView topLeftCell="A4" workbookViewId="0">
      <selection activeCell="B19" sqref="B19"/>
    </sheetView>
  </sheetViews>
  <sheetFormatPr defaultColWidth="9.140625" defaultRowHeight="15" x14ac:dyDescent="0.25"/>
  <cols>
    <col min="1" max="1" width="16" style="30" customWidth="1"/>
    <col min="2" max="2" width="16.42578125" style="30" customWidth="1"/>
    <col min="3" max="3" width="13" style="30" customWidth="1"/>
    <col min="4" max="4" width="13.42578125" style="30" customWidth="1"/>
    <col min="5" max="5" width="15.140625" style="30" customWidth="1"/>
    <col min="6" max="9" width="9.140625" style="30"/>
    <col min="10" max="10" width="17.7109375" style="30" customWidth="1"/>
    <col min="11" max="11" width="18.85546875" style="30" customWidth="1"/>
    <col min="12" max="16384" width="9.140625" style="30"/>
  </cols>
  <sheetData>
    <row r="1" spans="1:15" ht="42.75" customHeight="1" thickBot="1" x14ac:dyDescent="0.3">
      <c r="A1" s="502" t="s">
        <v>188</v>
      </c>
      <c r="B1" s="502"/>
      <c r="C1" s="502"/>
      <c r="D1" s="502"/>
      <c r="E1" s="502"/>
      <c r="J1" s="445" t="s">
        <v>215</v>
      </c>
      <c r="K1" s="445"/>
      <c r="L1" s="445"/>
      <c r="M1" s="445"/>
      <c r="N1" s="445"/>
      <c r="O1" s="446"/>
    </row>
    <row r="2" spans="1:15" ht="36" customHeight="1" thickBot="1" x14ac:dyDescent="0.3">
      <c r="A2" s="290" t="s">
        <v>189</v>
      </c>
      <c r="B2" s="292" t="s">
        <v>190</v>
      </c>
      <c r="C2" s="293"/>
      <c r="D2" s="293"/>
      <c r="E2" s="294"/>
      <c r="J2" s="19" t="s">
        <v>199</v>
      </c>
      <c r="K2" s="49">
        <f>'РАСЧЕТ ПЛОТНОСТИ'!B9</f>
        <v>73.959999999999994</v>
      </c>
    </row>
    <row r="3" spans="1:15" ht="19.5" thickBot="1" x14ac:dyDescent="0.3">
      <c r="A3" s="503"/>
      <c r="B3" s="39">
        <v>0</v>
      </c>
      <c r="C3" s="39">
        <v>20</v>
      </c>
      <c r="D3" s="39">
        <v>40</v>
      </c>
      <c r="E3" s="39">
        <v>60</v>
      </c>
      <c r="J3" s="50" t="s">
        <v>200</v>
      </c>
      <c r="K3" s="51">
        <f>'РАСЧЕТ ПЛОТНОСТИ'!B10</f>
        <v>6.63</v>
      </c>
    </row>
    <row r="4" spans="1:15" ht="20.25" thickTop="1" thickBot="1" x14ac:dyDescent="0.3">
      <c r="A4" s="40" t="s">
        <v>191</v>
      </c>
      <c r="B4" s="41">
        <v>5.5629999999999999E-2</v>
      </c>
      <c r="C4" s="41">
        <v>3.3759999999999998E-2</v>
      </c>
      <c r="D4" s="41">
        <v>2.3689999999999999E-2</v>
      </c>
      <c r="E4" s="41">
        <v>1.9539999999999998E-2</v>
      </c>
      <c r="J4" s="50" t="s">
        <v>201</v>
      </c>
      <c r="K4" s="51">
        <f>'РАСЧЕТ ПЛОТНОСТИ'!B11</f>
        <v>4.2300000000000004</v>
      </c>
    </row>
    <row r="5" spans="1:15" ht="19.5" thickBot="1" x14ac:dyDescent="0.3">
      <c r="A5" s="40" t="s">
        <v>192</v>
      </c>
      <c r="B5" s="41">
        <v>9.8739999999999994E-2</v>
      </c>
      <c r="C5" s="41">
        <v>4.7239999999999997E-2</v>
      </c>
      <c r="D5" s="41">
        <v>2.9149999999999999E-2</v>
      </c>
      <c r="E5" s="41">
        <v>2.1770000000000001E-2</v>
      </c>
      <c r="J5" s="50" t="s">
        <v>320</v>
      </c>
      <c r="K5" s="51">
        <f>'РАСЧЕТ ПЛОТНОСТИ'!B12</f>
        <v>2.9</v>
      </c>
    </row>
    <row r="6" spans="1:15" ht="16.5" thickBot="1" x14ac:dyDescent="0.3">
      <c r="A6" s="44" t="s">
        <v>194</v>
      </c>
      <c r="B6" s="45" t="s">
        <v>195</v>
      </c>
      <c r="C6" s="45">
        <v>3.9399999999999998E-2</v>
      </c>
      <c r="D6" s="45" t="s">
        <v>195</v>
      </c>
      <c r="E6" s="45" t="s">
        <v>195</v>
      </c>
    </row>
    <row r="7" spans="1:15" ht="16.5" thickBot="1" x14ac:dyDescent="0.3">
      <c r="A7" s="46" t="s">
        <v>196</v>
      </c>
      <c r="B7" s="16" t="s">
        <v>195</v>
      </c>
      <c r="C7" s="16">
        <v>3.27E-2</v>
      </c>
      <c r="D7" s="16" t="s">
        <v>195</v>
      </c>
      <c r="E7" s="16" t="s">
        <v>195</v>
      </c>
    </row>
    <row r="8" spans="1:15" ht="15.75" x14ac:dyDescent="0.25">
      <c r="A8" s="42"/>
      <c r="B8" s="43"/>
      <c r="C8" s="43"/>
      <c r="D8" s="43"/>
      <c r="E8" s="43"/>
    </row>
    <row r="9" spans="1:15" ht="36" customHeight="1" thickBot="1" x14ac:dyDescent="0.3">
      <c r="A9" s="504" t="s">
        <v>205</v>
      </c>
      <c r="B9" s="504"/>
      <c r="C9" s="504"/>
      <c r="D9" s="504"/>
      <c r="E9" s="504"/>
    </row>
    <row r="10" spans="1:15" ht="41.25" customHeight="1" thickBot="1" x14ac:dyDescent="0.3">
      <c r="A10" s="290" t="s">
        <v>189</v>
      </c>
      <c r="B10" s="292" t="s">
        <v>193</v>
      </c>
      <c r="C10" s="293"/>
      <c r="D10" s="293"/>
      <c r="E10" s="294"/>
    </row>
    <row r="11" spans="1:15" ht="16.5" thickBot="1" x14ac:dyDescent="0.3">
      <c r="A11" s="503"/>
      <c r="B11" s="39">
        <v>2.5</v>
      </c>
      <c r="C11" s="39">
        <v>5</v>
      </c>
      <c r="D11" s="39">
        <v>7.5</v>
      </c>
      <c r="E11" s="39">
        <v>10</v>
      </c>
    </row>
    <row r="12" spans="1:15" ht="17.25" thickTop="1" thickBot="1" x14ac:dyDescent="0.3">
      <c r="A12" s="40" t="s">
        <v>191</v>
      </c>
      <c r="B12" s="41">
        <v>0.6</v>
      </c>
      <c r="C12" s="41">
        <v>1.1000000000000001</v>
      </c>
      <c r="D12" s="41">
        <v>1.52</v>
      </c>
      <c r="E12" s="41">
        <v>1.95</v>
      </c>
    </row>
    <row r="13" spans="1:15" ht="16.5" thickBot="1" x14ac:dyDescent="0.3">
      <c r="A13" s="40" t="s">
        <v>192</v>
      </c>
      <c r="B13" s="41">
        <v>0.56999999999999995</v>
      </c>
      <c r="C13" s="41">
        <v>0.87</v>
      </c>
      <c r="D13" s="41">
        <v>0.97</v>
      </c>
      <c r="E13" s="41">
        <v>1</v>
      </c>
    </row>
    <row r="17" spans="1:5" ht="65.25" customHeight="1" thickBot="1" x14ac:dyDescent="0.3">
      <c r="A17" s="501" t="s">
        <v>202</v>
      </c>
      <c r="B17" s="501"/>
      <c r="C17" s="59"/>
      <c r="D17" s="59"/>
      <c r="E17" s="59"/>
    </row>
    <row r="18" spans="1:5" ht="32.25" thickBot="1" x14ac:dyDescent="0.3">
      <c r="A18" s="53" t="s">
        <v>203</v>
      </c>
      <c r="B18" s="54" t="s">
        <v>204</v>
      </c>
    </row>
    <row r="19" spans="1:5" ht="17.25" thickTop="1" thickBot="1" x14ac:dyDescent="0.3">
      <c r="A19" s="55">
        <v>0</v>
      </c>
      <c r="B19" s="56">
        <v>0.16500000000000001</v>
      </c>
    </row>
    <row r="20" spans="1:5" ht="16.5" thickBot="1" x14ac:dyDescent="0.3">
      <c r="A20" s="57">
        <v>20</v>
      </c>
      <c r="B20" s="45">
        <v>0.14099999999999999</v>
      </c>
    </row>
    <row r="21" spans="1:5" ht="16.5" thickBot="1" x14ac:dyDescent="0.3">
      <c r="A21" s="57">
        <v>40</v>
      </c>
      <c r="B21" s="45">
        <v>0.127</v>
      </c>
    </row>
    <row r="22" spans="1:5" ht="16.5" thickBot="1" x14ac:dyDescent="0.3">
      <c r="A22" s="15">
        <v>60</v>
      </c>
      <c r="B22" s="16">
        <v>0.11899999999999999</v>
      </c>
    </row>
    <row r="23" spans="1:5" ht="16.5" thickBot="1" x14ac:dyDescent="0.3">
      <c r="A23" s="58">
        <v>80</v>
      </c>
      <c r="B23" s="41">
        <v>0.11600000000000001</v>
      </c>
    </row>
    <row r="24" spans="1:5" ht="16.5" thickBot="1" x14ac:dyDescent="0.3">
      <c r="A24" s="58">
        <v>100</v>
      </c>
      <c r="B24" s="41">
        <v>0.11600000000000001</v>
      </c>
    </row>
  </sheetData>
  <mergeCells count="8">
    <mergeCell ref="J1:O1"/>
    <mergeCell ref="A17:B17"/>
    <mergeCell ref="A1:E1"/>
    <mergeCell ref="A2:A3"/>
    <mergeCell ref="B2:E2"/>
    <mergeCell ref="A9:E9"/>
    <mergeCell ref="A10:A11"/>
    <mergeCell ref="B10:E10"/>
  </mergeCells>
  <hyperlinks>
    <hyperlink ref="J1:O1" r:id="rId1" location="Состав" display="Таблица 1 - Исходные данные о составе природного газа" xr:uid="{23FF3D5A-9116-48BB-9670-B51C3B069A5A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2091-F645-45C7-BDCA-8BB540B853ED}">
  <dimension ref="A1:G20"/>
  <sheetViews>
    <sheetView workbookViewId="0">
      <selection activeCell="C4" sqref="C4:E9"/>
    </sheetView>
  </sheetViews>
  <sheetFormatPr defaultRowHeight="15" x14ac:dyDescent="0.25"/>
  <cols>
    <col min="1" max="1" width="70.7109375" style="161" customWidth="1"/>
    <col min="2" max="2" width="14.85546875" style="161" customWidth="1"/>
    <col min="3" max="3" width="18.85546875" style="161" customWidth="1"/>
    <col min="4" max="4" width="18.7109375" style="161" customWidth="1"/>
    <col min="5" max="5" width="16.5703125" style="161" customWidth="1"/>
    <col min="6" max="16384" width="9.140625" style="161"/>
  </cols>
  <sheetData>
    <row r="1" spans="1:7" ht="19.5" customHeight="1" thickBot="1" x14ac:dyDescent="0.3">
      <c r="A1" s="287" t="str">
        <f>'ИТОГО (ГАЗ)'!A1:E1</f>
        <v>Восточно-Прибрежное</v>
      </c>
      <c r="B1" s="287"/>
      <c r="C1" s="287"/>
      <c r="D1" s="287"/>
      <c r="E1" s="287"/>
      <c r="F1" s="115"/>
    </row>
    <row r="2" spans="1:7" ht="16.5" thickBot="1" x14ac:dyDescent="0.3">
      <c r="A2" s="288" t="s">
        <v>352</v>
      </c>
      <c r="B2" s="290" t="s">
        <v>2</v>
      </c>
      <c r="C2" s="292" t="s">
        <v>3</v>
      </c>
      <c r="D2" s="293"/>
      <c r="E2" s="294"/>
    </row>
    <row r="3" spans="1:7" ht="19.5" customHeight="1" thickBot="1" x14ac:dyDescent="0.3">
      <c r="A3" s="289"/>
      <c r="B3" s="291"/>
      <c r="C3" s="204" t="s">
        <v>353</v>
      </c>
      <c r="D3" s="207" t="s">
        <v>354</v>
      </c>
      <c r="E3" s="205" t="s">
        <v>225</v>
      </c>
      <c r="G3" s="275" t="s">
        <v>225</v>
      </c>
    </row>
    <row r="4" spans="1:7" ht="20.25" customHeight="1" x14ac:dyDescent="0.25">
      <c r="A4" s="120" t="s">
        <v>272</v>
      </c>
      <c r="B4" s="175" t="s">
        <v>281</v>
      </c>
      <c r="C4" s="216">
        <v>52.274064609375003</v>
      </c>
      <c r="D4" s="215">
        <v>5.2274064609375004E-2</v>
      </c>
      <c r="E4" s="177">
        <v>0.10392458172837973</v>
      </c>
      <c r="G4" s="276">
        <f>D4/$D$10*100</f>
        <v>88.360481099917436</v>
      </c>
    </row>
    <row r="5" spans="1:7" ht="15.75" customHeight="1" x14ac:dyDescent="0.25">
      <c r="A5" s="117" t="s">
        <v>273</v>
      </c>
      <c r="B5" s="295" t="s">
        <v>282</v>
      </c>
      <c r="C5" s="125">
        <v>4.2536208186517532</v>
      </c>
      <c r="D5" s="236">
        <v>4.2536208186517536E-3</v>
      </c>
      <c r="E5" s="179">
        <v>8.4565026215740642E-3</v>
      </c>
      <c r="G5" s="276">
        <f t="shared" ref="G5:G10" si="0">D5/$D$10*100</f>
        <v>7.1900278801983024</v>
      </c>
    </row>
    <row r="6" spans="1:7" ht="18.75" x14ac:dyDescent="0.25">
      <c r="A6" s="117" t="s">
        <v>270</v>
      </c>
      <c r="B6" s="295"/>
      <c r="C6" s="239">
        <v>0.61453042390677337</v>
      </c>
      <c r="D6" s="238">
        <v>6.1453042390677336E-4</v>
      </c>
      <c r="E6" s="179">
        <v>1.2217304650234064E-3</v>
      </c>
      <c r="G6" s="276">
        <f t="shared" si="0"/>
        <v>1.0387599340649001</v>
      </c>
    </row>
    <row r="7" spans="1:7" ht="18.75" x14ac:dyDescent="0.25">
      <c r="A7" s="117" t="s">
        <v>271</v>
      </c>
      <c r="B7" s="203" t="s">
        <v>287</v>
      </c>
      <c r="C7" s="239">
        <v>1.3472880000000003</v>
      </c>
      <c r="D7" s="236">
        <v>1.3472880000000003E-3</v>
      </c>
      <c r="E7" s="179">
        <v>2.6785049701789272E-3</v>
      </c>
      <c r="G7" s="276">
        <f t="shared" si="0"/>
        <v>2.2773629093077128</v>
      </c>
    </row>
    <row r="8" spans="1:7" ht="18.75" x14ac:dyDescent="0.25">
      <c r="A8" s="117" t="s">
        <v>385</v>
      </c>
      <c r="B8" s="203" t="s">
        <v>289</v>
      </c>
      <c r="C8" s="239">
        <v>6.6441110252554274E-7</v>
      </c>
      <c r="D8" s="248">
        <v>6.644111025255427E-10</v>
      </c>
      <c r="E8" s="179">
        <v>1.3208968241064469E-9</v>
      </c>
      <c r="G8" s="276">
        <f t="shared" si="0"/>
        <v>1.123074800208949E-6</v>
      </c>
    </row>
    <row r="9" spans="1:7" ht="18.75" customHeight="1" thickBot="1" x14ac:dyDescent="0.3">
      <c r="A9" s="118" t="s">
        <v>277</v>
      </c>
      <c r="B9" s="183" t="s">
        <v>293</v>
      </c>
      <c r="C9" s="246">
        <v>0.67049999999999998</v>
      </c>
      <c r="D9" s="245">
        <v>6.7049999999999998E-4</v>
      </c>
      <c r="E9" s="218">
        <v>1.3330019880715706E-3</v>
      </c>
      <c r="G9" s="276">
        <f t="shared" si="0"/>
        <v>1.1333670534368459</v>
      </c>
    </row>
    <row r="10" spans="1:7" ht="21" thickBot="1" x14ac:dyDescent="0.35">
      <c r="A10" s="121" t="s">
        <v>386</v>
      </c>
      <c r="B10" s="166" t="s">
        <v>294</v>
      </c>
      <c r="C10" s="126">
        <f>SUM(C4:C9)</f>
        <v>59.160004516344628</v>
      </c>
      <c r="D10" s="187">
        <f>C10/1000</f>
        <v>5.9160004516344629E-2</v>
      </c>
      <c r="E10" s="217">
        <f>D10/D12*100</f>
        <v>0.11761432309412452</v>
      </c>
      <c r="G10" s="277">
        <f t="shared" si="0"/>
        <v>100</v>
      </c>
    </row>
    <row r="11" spans="1:7" ht="24.75" customHeight="1" thickBot="1" x14ac:dyDescent="0.35">
      <c r="A11" s="119" t="s">
        <v>387</v>
      </c>
      <c r="B11" s="126" t="s">
        <v>389</v>
      </c>
      <c r="C11" s="188">
        <f>D11*1000</f>
        <v>38400</v>
      </c>
      <c r="D11" s="190">
        <v>38.4</v>
      </c>
      <c r="E11" s="189"/>
    </row>
    <row r="12" spans="1:7" ht="40.5" customHeight="1" thickBot="1" x14ac:dyDescent="0.35">
      <c r="A12" s="119" t="s">
        <v>388</v>
      </c>
      <c r="B12" s="126" t="s">
        <v>389</v>
      </c>
      <c r="C12" s="126">
        <f>D12*1000</f>
        <v>50300</v>
      </c>
      <c r="D12" s="219">
        <v>50.3</v>
      </c>
      <c r="E12" s="189"/>
    </row>
    <row r="14" spans="1:7" x14ac:dyDescent="0.25">
      <c r="A14" s="116"/>
    </row>
    <row r="20" spans="5:5" x14ac:dyDescent="0.25">
      <c r="E20" s="278" t="s">
        <v>446</v>
      </c>
    </row>
  </sheetData>
  <mergeCells count="5">
    <mergeCell ref="A1:E1"/>
    <mergeCell ref="A2:A3"/>
    <mergeCell ref="B2:B3"/>
    <mergeCell ref="C2:E2"/>
    <mergeCell ref="B5:B6"/>
  </mergeCells>
  <hyperlinks>
    <hyperlink ref="D11" r:id="rId1" display="1. ОБЩИЕ\7. Планы по добыче\7.1 План по добыче\План по добыче на 2022 год.xls" xr:uid="{7DFA3636-A618-40A2-B5F5-DBDCD48A2F76}"/>
    <hyperlink ref="D12" r:id="rId2" display="1. ОБЩИЕ\3. Протокол ЦКР\Протокол_ЦКР_Роснедр Восточно-Прибрежное №332 от 02.03.2020 4.pdf" xr:uid="{9B2FB065-7B85-4BEA-8FC5-ED99E36AEEA2}"/>
  </hyperlink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2" zoomScaleNormal="82" workbookViewId="0">
      <selection activeCell="D26" sqref="D18:D26"/>
    </sheetView>
  </sheetViews>
  <sheetFormatPr defaultRowHeight="15" x14ac:dyDescent="0.25"/>
  <cols>
    <col min="2" max="2" width="100.7109375" customWidth="1"/>
    <col min="3" max="3" width="12.42578125" customWidth="1"/>
    <col min="4" max="4" width="14.42578125" customWidth="1"/>
    <col min="5" max="5" width="16.28515625" customWidth="1"/>
    <col min="6" max="6" width="44.85546875" customWidth="1"/>
    <col min="7" max="7" width="10.85546875" customWidth="1"/>
    <col min="8" max="8" width="54.42578125" customWidth="1"/>
  </cols>
  <sheetData>
    <row r="1" spans="1:8" s="30" customFormat="1" ht="18.75" x14ac:dyDescent="0.3">
      <c r="A1" s="317" t="s">
        <v>314</v>
      </c>
      <c r="B1" s="317"/>
      <c r="C1" s="317"/>
      <c r="D1" s="317"/>
      <c r="E1" s="317"/>
      <c r="F1" s="317"/>
      <c r="G1" s="317"/>
      <c r="H1" s="317"/>
    </row>
    <row r="2" spans="1:8" x14ac:dyDescent="0.25">
      <c r="A2" s="318" t="s">
        <v>315</v>
      </c>
      <c r="B2" s="318"/>
      <c r="C2" s="318"/>
      <c r="D2" s="318"/>
      <c r="E2" s="318"/>
      <c r="F2" s="318"/>
      <c r="G2" s="318"/>
      <c r="H2" s="318"/>
    </row>
    <row r="3" spans="1:8" ht="15.75" thickBot="1" x14ac:dyDescent="0.3">
      <c r="A3" s="319"/>
      <c r="B3" s="319"/>
      <c r="C3" s="319"/>
      <c r="D3" s="319"/>
      <c r="E3" s="319"/>
      <c r="F3" s="319"/>
      <c r="G3" s="319"/>
      <c r="H3" s="319"/>
    </row>
    <row r="4" spans="1:8" ht="36" customHeight="1" thickBot="1" x14ac:dyDescent="0.3">
      <c r="A4" s="2" t="s">
        <v>0</v>
      </c>
      <c r="B4" s="1" t="s">
        <v>1</v>
      </c>
      <c r="C4" s="9" t="s">
        <v>2</v>
      </c>
      <c r="D4" s="9" t="s">
        <v>3</v>
      </c>
      <c r="E4" s="9" t="s">
        <v>4</v>
      </c>
      <c r="F4" s="311" t="s">
        <v>5</v>
      </c>
      <c r="G4" s="312"/>
      <c r="H4" s="313"/>
    </row>
    <row r="5" spans="1:8" ht="19.5" customHeight="1" thickBot="1" x14ac:dyDescent="0.3">
      <c r="A5" s="5">
        <v>1</v>
      </c>
      <c r="B5" s="8" t="s">
        <v>6</v>
      </c>
      <c r="C5" s="19" t="s">
        <v>95</v>
      </c>
      <c r="D5" s="282">
        <v>1</v>
      </c>
      <c r="E5" s="19" t="s">
        <v>7</v>
      </c>
      <c r="F5" s="314" t="s">
        <v>391</v>
      </c>
      <c r="G5" s="315"/>
      <c r="H5" s="316"/>
    </row>
    <row r="6" spans="1:8" ht="19.5" thickBot="1" x14ac:dyDescent="0.3">
      <c r="A6" s="5">
        <v>2</v>
      </c>
      <c r="B6" s="8" t="s">
        <v>8</v>
      </c>
      <c r="C6" s="19" t="s">
        <v>96</v>
      </c>
      <c r="D6" s="20">
        <v>100</v>
      </c>
      <c r="E6" s="19" t="s">
        <v>98</v>
      </c>
      <c r="F6" s="314" t="s">
        <v>391</v>
      </c>
      <c r="G6" s="315"/>
      <c r="H6" s="316"/>
    </row>
    <row r="7" spans="1:8" ht="19.5" thickBot="1" x14ac:dyDescent="0.3">
      <c r="A7" s="5">
        <v>3</v>
      </c>
      <c r="B7" s="8" t="s">
        <v>10</v>
      </c>
      <c r="C7" s="19" t="s">
        <v>9</v>
      </c>
      <c r="D7" s="282">
        <v>7</v>
      </c>
      <c r="E7" s="19" t="s">
        <v>7</v>
      </c>
      <c r="F7" s="296"/>
      <c r="G7" s="297"/>
      <c r="H7" s="298"/>
    </row>
    <row r="8" spans="1:8" ht="19.5" thickBot="1" x14ac:dyDescent="0.3">
      <c r="A8" s="4">
        <v>4</v>
      </c>
      <c r="B8" s="8" t="s">
        <v>15</v>
      </c>
      <c r="C8" s="19" t="s">
        <v>16</v>
      </c>
      <c r="D8" s="283">
        <v>0.5</v>
      </c>
      <c r="E8" s="19" t="s">
        <v>17</v>
      </c>
      <c r="F8" s="296"/>
      <c r="G8" s="297"/>
      <c r="H8" s="298"/>
    </row>
    <row r="9" spans="1:8" ht="19.5" thickBot="1" x14ac:dyDescent="0.3">
      <c r="A9" s="5">
        <v>5</v>
      </c>
      <c r="B9" s="8" t="s">
        <v>11</v>
      </c>
      <c r="C9" s="19" t="s">
        <v>12</v>
      </c>
      <c r="D9" s="20">
        <v>1</v>
      </c>
      <c r="E9" s="19" t="s">
        <v>7</v>
      </c>
      <c r="F9" s="296"/>
      <c r="G9" s="297"/>
      <c r="H9" s="298"/>
    </row>
    <row r="10" spans="1:8" ht="19.5" thickBot="1" x14ac:dyDescent="0.3">
      <c r="A10" s="4">
        <v>6</v>
      </c>
      <c r="B10" s="8" t="s">
        <v>13</v>
      </c>
      <c r="C10" s="19" t="s">
        <v>97</v>
      </c>
      <c r="D10" s="279">
        <v>0.877</v>
      </c>
      <c r="E10" s="19"/>
      <c r="F10" s="296"/>
      <c r="G10" s="297"/>
      <c r="H10" s="298"/>
    </row>
    <row r="11" spans="1:8" s="161" customFormat="1" ht="19.5" thickBot="1" x14ac:dyDescent="0.3">
      <c r="A11" s="4">
        <v>7</v>
      </c>
      <c r="B11" s="8" t="s">
        <v>355</v>
      </c>
      <c r="C11" s="19" t="s">
        <v>356</v>
      </c>
      <c r="D11" s="286">
        <v>69.570000000000007</v>
      </c>
      <c r="E11" s="19"/>
      <c r="F11" s="208"/>
      <c r="G11" s="209"/>
      <c r="H11" s="210"/>
    </row>
    <row r="12" spans="1:8" s="30" customFormat="1" ht="21" thickBot="1" x14ac:dyDescent="0.3">
      <c r="A12" s="4">
        <v>8</v>
      </c>
      <c r="B12" s="135" t="s">
        <v>99</v>
      </c>
      <c r="C12" s="19" t="s">
        <v>100</v>
      </c>
      <c r="D12" s="112">
        <v>306.95</v>
      </c>
      <c r="E12" s="19" t="s">
        <v>101</v>
      </c>
      <c r="F12" s="305"/>
      <c r="G12" s="306"/>
      <c r="H12" s="307"/>
    </row>
    <row r="13" spans="1:8" s="161" customFormat="1" ht="21" thickBot="1" x14ac:dyDescent="0.3">
      <c r="A13" s="4">
        <v>9</v>
      </c>
      <c r="B13" s="135" t="s">
        <v>357</v>
      </c>
      <c r="C13" s="19" t="s">
        <v>358</v>
      </c>
      <c r="D13" s="112">
        <v>2.1354511499999999E-2</v>
      </c>
      <c r="E13" s="19" t="s">
        <v>359</v>
      </c>
      <c r="F13" s="157"/>
      <c r="G13" s="157"/>
      <c r="H13" s="157"/>
    </row>
    <row r="15" spans="1:8" x14ac:dyDescent="0.25">
      <c r="A15" s="318" t="s">
        <v>316</v>
      </c>
      <c r="B15" s="318"/>
      <c r="C15" s="318"/>
      <c r="D15" s="318"/>
      <c r="E15" s="318"/>
      <c r="F15" s="318"/>
      <c r="G15" s="318"/>
      <c r="H15" s="318"/>
    </row>
    <row r="16" spans="1:8" ht="15.75" thickBot="1" x14ac:dyDescent="0.3">
      <c r="A16" s="319"/>
      <c r="B16" s="319"/>
      <c r="C16" s="319"/>
      <c r="D16" s="319"/>
      <c r="E16" s="319"/>
      <c r="F16" s="319"/>
      <c r="G16" s="319"/>
      <c r="H16" s="319"/>
    </row>
    <row r="17" spans="1:8" ht="32.25" thickBot="1" x14ac:dyDescent="0.3">
      <c r="A17" s="7" t="s">
        <v>0</v>
      </c>
      <c r="B17" s="6" t="s">
        <v>1</v>
      </c>
      <c r="C17" s="18" t="s">
        <v>2</v>
      </c>
      <c r="D17" s="18" t="s">
        <v>3</v>
      </c>
      <c r="E17" s="18" t="s">
        <v>4</v>
      </c>
      <c r="F17" s="311" t="s">
        <v>5</v>
      </c>
      <c r="G17" s="312"/>
      <c r="H17" s="313"/>
    </row>
    <row r="18" spans="1:8" ht="19.5" customHeight="1" thickBot="1" x14ac:dyDescent="0.3">
      <c r="A18" s="4">
        <v>1</v>
      </c>
      <c r="B18" s="8" t="s">
        <v>6</v>
      </c>
      <c r="C18" s="19" t="s">
        <v>95</v>
      </c>
      <c r="D18" s="284">
        <v>7</v>
      </c>
      <c r="E18" s="19" t="s">
        <v>7</v>
      </c>
      <c r="F18" s="192"/>
      <c r="G18" s="127" t="s">
        <v>301</v>
      </c>
      <c r="H18" s="191" t="s">
        <v>391</v>
      </c>
    </row>
    <row r="19" spans="1:8" ht="19.5" thickBot="1" x14ac:dyDescent="0.3">
      <c r="A19" s="5">
        <v>2</v>
      </c>
      <c r="B19" s="8" t="s">
        <v>8</v>
      </c>
      <c r="C19" s="19" t="s">
        <v>96</v>
      </c>
      <c r="D19" s="21">
        <v>69.5</v>
      </c>
      <c r="E19" s="19" t="s">
        <v>98</v>
      </c>
      <c r="F19" s="314" t="s">
        <v>391</v>
      </c>
      <c r="G19" s="315"/>
      <c r="H19" s="316"/>
    </row>
    <row r="20" spans="1:8" ht="19.5" thickBot="1" x14ac:dyDescent="0.3">
      <c r="A20" s="5">
        <v>3</v>
      </c>
      <c r="B20" s="8" t="s">
        <v>10</v>
      </c>
      <c r="C20" s="19" t="s">
        <v>9</v>
      </c>
      <c r="D20" s="20">
        <v>5</v>
      </c>
      <c r="E20" s="19" t="s">
        <v>7</v>
      </c>
      <c r="F20" s="296"/>
      <c r="G20" s="297"/>
      <c r="H20" s="298"/>
    </row>
    <row r="21" spans="1:8" ht="19.5" thickBot="1" x14ac:dyDescent="0.3">
      <c r="A21" s="5">
        <v>4</v>
      </c>
      <c r="B21" s="8" t="s">
        <v>15</v>
      </c>
      <c r="C21" s="19" t="s">
        <v>16</v>
      </c>
      <c r="D21" s="285">
        <v>0.20833333333333334</v>
      </c>
      <c r="E21" s="19" t="s">
        <v>17</v>
      </c>
      <c r="F21" s="296"/>
      <c r="G21" s="297"/>
      <c r="H21" s="298"/>
    </row>
    <row r="22" spans="1:8" ht="19.5" thickBot="1" x14ac:dyDescent="0.3">
      <c r="A22" s="4">
        <v>5</v>
      </c>
      <c r="B22" s="8" t="s">
        <v>11</v>
      </c>
      <c r="C22" s="19" t="s">
        <v>12</v>
      </c>
      <c r="D22" s="20">
        <v>1</v>
      </c>
      <c r="E22" s="19" t="s">
        <v>7</v>
      </c>
      <c r="F22" s="299" t="s">
        <v>321</v>
      </c>
      <c r="G22" s="300"/>
      <c r="H22" s="301"/>
    </row>
    <row r="23" spans="1:8" ht="19.5" thickBot="1" x14ac:dyDescent="0.3">
      <c r="A23" s="5">
        <v>6</v>
      </c>
      <c r="B23" s="8" t="s">
        <v>13</v>
      </c>
      <c r="C23" s="19" t="s">
        <v>97</v>
      </c>
      <c r="D23" s="21">
        <v>0.877</v>
      </c>
      <c r="E23" s="19"/>
      <c r="F23" s="302" t="s">
        <v>302</v>
      </c>
      <c r="G23" s="303"/>
      <c r="H23" s="304"/>
    </row>
    <row r="24" spans="1:8" s="161" customFormat="1" ht="19.5" thickBot="1" x14ac:dyDescent="0.3">
      <c r="A24" s="5">
        <v>7</v>
      </c>
      <c r="B24" s="8" t="s">
        <v>355</v>
      </c>
      <c r="C24" s="19" t="s">
        <v>356</v>
      </c>
      <c r="D24" s="21">
        <v>69.570000000000007</v>
      </c>
      <c r="E24" s="19"/>
      <c r="F24" s="308"/>
      <c r="G24" s="309"/>
      <c r="H24" s="310"/>
    </row>
    <row r="25" spans="1:8" ht="21" thickBot="1" x14ac:dyDescent="0.3">
      <c r="A25" s="5">
        <v>8</v>
      </c>
      <c r="B25" s="135" t="s">
        <v>99</v>
      </c>
      <c r="C25" s="19" t="s">
        <v>100</v>
      </c>
      <c r="D25" s="112">
        <v>444.43802083333338</v>
      </c>
      <c r="E25" s="19" t="s">
        <v>101</v>
      </c>
      <c r="F25" s="308"/>
      <c r="G25" s="309"/>
      <c r="H25" s="310"/>
    </row>
    <row r="26" spans="1:8" ht="21" thickBot="1" x14ac:dyDescent="0.3">
      <c r="A26" s="4">
        <v>9</v>
      </c>
      <c r="B26" s="135" t="s">
        <v>357</v>
      </c>
      <c r="C26" s="19" t="s">
        <v>358</v>
      </c>
      <c r="D26" s="214">
        <v>3.0919553109375005E-2</v>
      </c>
      <c r="E26" s="19" t="s">
        <v>359</v>
      </c>
      <c r="F26" s="308"/>
      <c r="G26" s="309"/>
      <c r="H26" s="310"/>
    </row>
    <row r="31" spans="1:8" x14ac:dyDescent="0.25">
      <c r="D31" s="30"/>
      <c r="E31" s="30"/>
    </row>
  </sheetData>
  <mergeCells count="20">
    <mergeCell ref="F7:H7"/>
    <mergeCell ref="F8:H8"/>
    <mergeCell ref="F9:H9"/>
    <mergeCell ref="F10:H10"/>
    <mergeCell ref="A15:H16"/>
    <mergeCell ref="A1:H1"/>
    <mergeCell ref="A2:H3"/>
    <mergeCell ref="F4:H4"/>
    <mergeCell ref="F5:H5"/>
    <mergeCell ref="F6:H6"/>
    <mergeCell ref="F21:H21"/>
    <mergeCell ref="F22:H22"/>
    <mergeCell ref="F23:H23"/>
    <mergeCell ref="F12:H12"/>
    <mergeCell ref="F26:H26"/>
    <mergeCell ref="F25:H25"/>
    <mergeCell ref="F17:H17"/>
    <mergeCell ref="F19:H19"/>
    <mergeCell ref="F20:H20"/>
    <mergeCell ref="F24:H24"/>
  </mergeCells>
  <hyperlinks>
    <hyperlink ref="F5:H5" r:id="rId1" display="Протокол ЦКР" xr:uid="{A17F9247-1199-426D-B6E6-169B2918C07B}"/>
    <hyperlink ref="F6:H6" r:id="rId2" display="Протокол ЦКР" xr:uid="{61700600-7341-4385-9FF2-74F9068612AC}"/>
    <hyperlink ref="D18" r:id="rId3" display="2. ГДИ+ГКИ\1. Справка по фонду\Справка по действующим экспл. скважинам.pdf" xr:uid="{9DBFEB46-F2BA-48AD-B958-5A2D39FA1DEB}"/>
    <hyperlink ref="F22" r:id="rId4" xr:uid="{FE9EA2DA-E0AB-4AD2-9BA3-91DDE8C1B019}"/>
    <hyperlink ref="F22:H22" r:id="rId5" display="Программа исследовательских работ (Протокол ЦКР)" xr:uid="{722C6D09-EDEA-4B8C-8397-05C3F0A5E786}"/>
    <hyperlink ref="F19:H19" r:id="rId6" display="Протокол ЦКР" xr:uid="{3B4ECB29-A0DB-4108-B487-5998FE859BFA}"/>
    <hyperlink ref="H18" r:id="rId7" xr:uid="{A368B080-0618-46CE-8442-FA99F01DB501}"/>
  </hyperlinks>
  <pageMargins left="0.7" right="0.7" top="0.75" bottom="0.75" header="0.3" footer="0.3"/>
  <pageSetup paperSize="9" orientation="portrait" verticalDpi="0" r:id="rId8"/>
  <legacy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6"/>
  <sheetViews>
    <sheetView zoomScale="70" zoomScaleNormal="70" workbookViewId="0">
      <selection activeCell="C7" sqref="C7:O30"/>
    </sheetView>
  </sheetViews>
  <sheetFormatPr defaultRowHeight="15" x14ac:dyDescent="0.25"/>
  <cols>
    <col min="2" max="2" width="58.85546875" customWidth="1"/>
    <col min="3" max="3" width="10.85546875" customWidth="1"/>
    <col min="4" max="4" width="10.85546875" style="161" customWidth="1"/>
    <col min="5" max="5" width="15" customWidth="1"/>
    <col min="6" max="6" width="15.28515625" customWidth="1"/>
    <col min="7" max="7" width="17.140625" style="3" customWidth="1"/>
    <col min="8" max="8" width="16.85546875" style="3" customWidth="1"/>
    <col min="9" max="9" width="20.28515625" style="3" customWidth="1"/>
    <col min="10" max="11" width="16.140625" style="3" customWidth="1"/>
    <col min="12" max="12" width="20.42578125" style="3" customWidth="1"/>
    <col min="13" max="13" width="19" style="3" customWidth="1"/>
    <col min="14" max="14" width="14.5703125" style="3" customWidth="1"/>
    <col min="15" max="15" width="20.42578125" style="30" customWidth="1"/>
    <col min="16" max="17" width="20.42578125" style="161" customWidth="1"/>
    <col min="18" max="18" width="78.5703125" customWidth="1"/>
    <col min="19" max="19" width="10" customWidth="1"/>
    <col min="20" max="20" width="71.42578125" customWidth="1"/>
    <col min="26" max="26" width="14.42578125" customWidth="1"/>
  </cols>
  <sheetData>
    <row r="1" spans="1:30" s="30" customFormat="1" ht="22.5" x14ac:dyDescent="0.25">
      <c r="A1" s="322" t="s">
        <v>319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</row>
    <row r="2" spans="1:30" ht="24.75" customHeight="1" thickBot="1" x14ac:dyDescent="0.35">
      <c r="A2" s="333" t="s">
        <v>313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12"/>
      <c r="V2" s="12"/>
      <c r="W2" s="12"/>
      <c r="X2" s="11"/>
      <c r="Y2" s="11"/>
      <c r="Z2" s="11"/>
      <c r="AA2" s="11"/>
      <c r="AB2" s="11"/>
      <c r="AC2" s="11"/>
      <c r="AD2" s="11"/>
    </row>
    <row r="3" spans="1:30" ht="69" customHeight="1" thickBot="1" x14ac:dyDescent="0.3">
      <c r="A3" s="290" t="s">
        <v>0</v>
      </c>
      <c r="B3" s="323" t="s">
        <v>102</v>
      </c>
      <c r="C3" s="24" t="s">
        <v>122</v>
      </c>
      <c r="D3" s="24" t="s">
        <v>103</v>
      </c>
      <c r="E3" s="171" t="s">
        <v>326</v>
      </c>
      <c r="F3" s="7" t="s">
        <v>111</v>
      </c>
      <c r="G3" s="24" t="s">
        <v>109</v>
      </c>
      <c r="H3" s="24" t="s">
        <v>110</v>
      </c>
      <c r="I3" s="24" t="s">
        <v>104</v>
      </c>
      <c r="J3" s="24" t="s">
        <v>112</v>
      </c>
      <c r="K3" s="24" t="s">
        <v>113</v>
      </c>
      <c r="L3" s="24" t="s">
        <v>114</v>
      </c>
      <c r="M3" s="24" t="s">
        <v>119</v>
      </c>
      <c r="N3" s="24" t="s">
        <v>184</v>
      </c>
      <c r="O3" s="23" t="s">
        <v>99</v>
      </c>
      <c r="P3" s="7" t="s">
        <v>363</v>
      </c>
      <c r="Q3" s="7" t="s">
        <v>357</v>
      </c>
      <c r="R3" s="311" t="s">
        <v>5</v>
      </c>
      <c r="S3" s="312"/>
      <c r="T3" s="313"/>
    </row>
    <row r="4" spans="1:30" s="3" customFormat="1" ht="24" customHeight="1" thickBot="1" x14ac:dyDescent="0.3">
      <c r="A4" s="291"/>
      <c r="B4" s="324"/>
      <c r="C4" s="23" t="s">
        <v>105</v>
      </c>
      <c r="D4" s="7" t="s">
        <v>328</v>
      </c>
      <c r="E4" s="7" t="s">
        <v>327</v>
      </c>
      <c r="F4" s="7" t="s">
        <v>106</v>
      </c>
      <c r="G4" s="23" t="s">
        <v>107</v>
      </c>
      <c r="H4" s="7" t="s">
        <v>108</v>
      </c>
      <c r="I4" s="7" t="s">
        <v>117</v>
      </c>
      <c r="J4" s="23" t="s">
        <v>115</v>
      </c>
      <c r="K4" s="7" t="s">
        <v>116</v>
      </c>
      <c r="L4" s="7" t="s">
        <v>118</v>
      </c>
      <c r="M4" s="7" t="s">
        <v>121</v>
      </c>
      <c r="N4" s="7" t="s">
        <v>120</v>
      </c>
      <c r="O4" s="22" t="s">
        <v>185</v>
      </c>
      <c r="P4" s="220" t="s">
        <v>364</v>
      </c>
      <c r="Q4" s="220" t="s">
        <v>365</v>
      </c>
      <c r="R4" s="328"/>
      <c r="S4" s="329"/>
      <c r="T4" s="330"/>
    </row>
    <row r="5" spans="1:30" s="3" customFormat="1" ht="18.75" customHeight="1" thickBot="1" x14ac:dyDescent="0.3">
      <c r="A5" s="331" t="s">
        <v>324</v>
      </c>
      <c r="B5" s="332"/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225"/>
      <c r="Q5" s="225"/>
      <c r="R5" s="325"/>
      <c r="S5" s="326"/>
      <c r="T5" s="327"/>
      <c r="U5" s="132"/>
    </row>
    <row r="6" spans="1:30" s="30" customFormat="1" ht="18.75" customHeight="1" thickBot="1" x14ac:dyDescent="0.3">
      <c r="A6" s="331" t="s">
        <v>330</v>
      </c>
      <c r="B6" s="332"/>
      <c r="C6" s="332"/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332"/>
      <c r="O6" s="332"/>
      <c r="P6" s="225"/>
      <c r="Q6" s="225"/>
      <c r="R6" s="325" t="s">
        <v>329</v>
      </c>
      <c r="S6" s="326"/>
      <c r="T6" s="327"/>
      <c r="U6" s="132"/>
    </row>
    <row r="7" spans="1:30" ht="21" customHeight="1" thickBot="1" x14ac:dyDescent="0.3">
      <c r="A7" s="338">
        <v>1</v>
      </c>
      <c r="B7" s="341" t="s">
        <v>392</v>
      </c>
      <c r="C7" s="249">
        <v>130</v>
      </c>
      <c r="D7" s="249">
        <v>89</v>
      </c>
      <c r="E7" s="249">
        <v>14</v>
      </c>
      <c r="F7" s="250">
        <v>0.37992065358024762</v>
      </c>
      <c r="G7" s="251">
        <v>11</v>
      </c>
      <c r="H7" s="252">
        <v>298.14999999999998</v>
      </c>
      <c r="I7" s="193">
        <v>0.48826921800728046</v>
      </c>
      <c r="J7" s="250">
        <v>0.101325</v>
      </c>
      <c r="K7" s="251">
        <v>283.14999999999998</v>
      </c>
      <c r="L7" s="253">
        <v>1</v>
      </c>
      <c r="M7" s="194">
        <v>0.877</v>
      </c>
      <c r="N7" s="260">
        <v>2</v>
      </c>
      <c r="O7" s="193">
        <v>0.14497989995379548</v>
      </c>
      <c r="P7" s="350">
        <f>'ГДИ+ГКИ'!D11</f>
        <v>69.570000000000007</v>
      </c>
      <c r="Q7" s="235">
        <f>O7*$P$7*10^-6</f>
        <v>1.0086251639785554E-5</v>
      </c>
      <c r="R7" s="344" t="s">
        <v>342</v>
      </c>
      <c r="S7" s="345"/>
      <c r="T7" s="346"/>
      <c r="U7" s="132"/>
    </row>
    <row r="8" spans="1:30" s="30" customFormat="1" ht="32.25" customHeight="1" thickBot="1" x14ac:dyDescent="0.3">
      <c r="A8" s="339"/>
      <c r="B8" s="342"/>
      <c r="C8" s="249">
        <v>2700</v>
      </c>
      <c r="D8" s="249">
        <v>114</v>
      </c>
      <c r="E8" s="249">
        <v>14</v>
      </c>
      <c r="F8" s="193">
        <v>15.683773004516327</v>
      </c>
      <c r="G8" s="252">
        <v>11</v>
      </c>
      <c r="H8" s="252">
        <v>298.14999999999998</v>
      </c>
      <c r="I8" s="193">
        <v>0.48826921800728046</v>
      </c>
      <c r="J8" s="250">
        <v>0.101325</v>
      </c>
      <c r="K8" s="194">
        <v>283.14999999999998</v>
      </c>
      <c r="L8" s="253">
        <v>1</v>
      </c>
      <c r="M8" s="194">
        <v>0.877</v>
      </c>
      <c r="N8" s="260">
        <v>2</v>
      </c>
      <c r="O8" s="193">
        <v>5.985017712685452</v>
      </c>
      <c r="P8" s="351"/>
      <c r="Q8" s="235">
        <f t="shared" ref="Q8:Q30" si="0">O8*$P$7*10^-6</f>
        <v>4.1637768227152693E-4</v>
      </c>
      <c r="R8" s="347"/>
      <c r="S8" s="348"/>
      <c r="T8" s="349"/>
      <c r="U8" s="132"/>
    </row>
    <row r="9" spans="1:30" s="30" customFormat="1" ht="15" customHeight="1" thickBot="1" x14ac:dyDescent="0.3">
      <c r="A9" s="353">
        <v>2</v>
      </c>
      <c r="B9" s="335" t="s">
        <v>393</v>
      </c>
      <c r="C9" s="254">
        <v>15</v>
      </c>
      <c r="D9" s="254">
        <v>89</v>
      </c>
      <c r="E9" s="254">
        <v>14</v>
      </c>
      <c r="F9" s="255">
        <v>4.3836998490028575E-2</v>
      </c>
      <c r="G9" s="256">
        <v>11</v>
      </c>
      <c r="H9" s="256">
        <v>298.14999999999998</v>
      </c>
      <c r="I9" s="255">
        <v>0.48826921800728046</v>
      </c>
      <c r="J9" s="257">
        <v>0.101325</v>
      </c>
      <c r="K9" s="258">
        <v>283.14999999999998</v>
      </c>
      <c r="L9" s="259">
        <v>1</v>
      </c>
      <c r="M9" s="258">
        <v>0.877</v>
      </c>
      <c r="N9" s="260">
        <v>2</v>
      </c>
      <c r="O9" s="255">
        <v>1.6728449994668711E-2</v>
      </c>
      <c r="P9" s="351"/>
      <c r="Q9" s="235">
        <f t="shared" si="0"/>
        <v>1.1637982661291025E-6</v>
      </c>
      <c r="R9" s="347"/>
      <c r="S9" s="348"/>
      <c r="T9" s="349"/>
      <c r="U9" s="132"/>
    </row>
    <row r="10" spans="1:30" s="30" customFormat="1" ht="15" customHeight="1" thickBot="1" x14ac:dyDescent="0.3">
      <c r="A10" s="354"/>
      <c r="B10" s="336"/>
      <c r="C10" s="254">
        <v>140</v>
      </c>
      <c r="D10" s="254">
        <v>114</v>
      </c>
      <c r="E10" s="254">
        <v>14</v>
      </c>
      <c r="F10" s="255">
        <v>0.81323267430825397</v>
      </c>
      <c r="G10" s="256">
        <v>11</v>
      </c>
      <c r="H10" s="256">
        <v>298.14999999999998</v>
      </c>
      <c r="I10" s="255">
        <v>0.48826921800728046</v>
      </c>
      <c r="J10" s="257">
        <v>0.101325</v>
      </c>
      <c r="K10" s="258">
        <v>283.14999999999998</v>
      </c>
      <c r="L10" s="259">
        <v>1</v>
      </c>
      <c r="M10" s="258">
        <v>0.877</v>
      </c>
      <c r="N10" s="260">
        <v>2</v>
      </c>
      <c r="O10" s="255">
        <v>0.3103342517688753</v>
      </c>
      <c r="P10" s="351"/>
      <c r="Q10" s="235">
        <f t="shared" si="0"/>
        <v>2.1589953895560657E-5</v>
      </c>
      <c r="R10" s="347"/>
      <c r="S10" s="348"/>
      <c r="T10" s="349"/>
      <c r="U10" s="132"/>
    </row>
    <row r="11" spans="1:30" s="30" customFormat="1" ht="15" customHeight="1" thickBot="1" x14ac:dyDescent="0.3">
      <c r="A11" s="355"/>
      <c r="B11" s="337"/>
      <c r="C11" s="254">
        <v>200</v>
      </c>
      <c r="D11" s="254">
        <v>114</v>
      </c>
      <c r="E11" s="254">
        <v>12</v>
      </c>
      <c r="F11" s="255">
        <v>1.2723450247038661</v>
      </c>
      <c r="G11" s="256">
        <v>11</v>
      </c>
      <c r="H11" s="256">
        <v>298.14999999999998</v>
      </c>
      <c r="I11" s="255">
        <v>0.48826921800728046</v>
      </c>
      <c r="J11" s="257">
        <v>0.101325</v>
      </c>
      <c r="K11" s="258">
        <v>283.14999999999998</v>
      </c>
      <c r="L11" s="259">
        <v>1</v>
      </c>
      <c r="M11" s="258">
        <v>0.877</v>
      </c>
      <c r="N11" s="260">
        <v>2</v>
      </c>
      <c r="O11" s="255">
        <v>0.48553415732980937</v>
      </c>
      <c r="P11" s="351"/>
      <c r="Q11" s="235">
        <f t="shared" si="0"/>
        <v>3.3778611325434834E-5</v>
      </c>
      <c r="R11" s="347"/>
      <c r="S11" s="348"/>
      <c r="T11" s="349"/>
      <c r="U11" s="132"/>
    </row>
    <row r="12" spans="1:30" s="30" customFormat="1" ht="14.25" customHeight="1" thickBot="1" x14ac:dyDescent="0.3">
      <c r="A12" s="338">
        <v>3</v>
      </c>
      <c r="B12" s="341" t="s">
        <v>394</v>
      </c>
      <c r="C12" s="249">
        <v>145</v>
      </c>
      <c r="D12" s="249">
        <v>89</v>
      </c>
      <c r="E12" s="249">
        <v>14</v>
      </c>
      <c r="F12" s="193">
        <v>0.42375765207027621</v>
      </c>
      <c r="G12" s="252">
        <v>11</v>
      </c>
      <c r="H12" s="252">
        <v>298.14999999999998</v>
      </c>
      <c r="I12" s="193">
        <v>0.48826921800728046</v>
      </c>
      <c r="J12" s="250">
        <v>0.101325</v>
      </c>
      <c r="K12" s="194">
        <v>283.14999999999998</v>
      </c>
      <c r="L12" s="253">
        <v>1</v>
      </c>
      <c r="M12" s="194">
        <v>0.877</v>
      </c>
      <c r="N12" s="260">
        <v>2</v>
      </c>
      <c r="O12" s="193">
        <v>0.16170834994846423</v>
      </c>
      <c r="P12" s="351"/>
      <c r="Q12" s="235">
        <f t="shared" si="0"/>
        <v>1.1250049905914657E-5</v>
      </c>
      <c r="R12" s="347"/>
      <c r="S12" s="348"/>
      <c r="T12" s="349"/>
      <c r="U12" s="132"/>
    </row>
    <row r="13" spans="1:30" s="30" customFormat="1" ht="36" customHeight="1" thickBot="1" x14ac:dyDescent="0.3">
      <c r="A13" s="339"/>
      <c r="B13" s="342"/>
      <c r="C13" s="261">
        <v>159</v>
      </c>
      <c r="D13" s="249">
        <v>114</v>
      </c>
      <c r="E13" s="261">
        <v>14</v>
      </c>
      <c r="F13" s="193">
        <v>0.92359996582151704</v>
      </c>
      <c r="G13" s="252">
        <v>11</v>
      </c>
      <c r="H13" s="252">
        <v>298.14999999999998</v>
      </c>
      <c r="I13" s="193">
        <v>0.48826921800728046</v>
      </c>
      <c r="J13" s="250">
        <v>0.101325</v>
      </c>
      <c r="K13" s="194">
        <v>283.14999999999998</v>
      </c>
      <c r="L13" s="253">
        <v>1</v>
      </c>
      <c r="M13" s="194">
        <v>0.877</v>
      </c>
      <c r="N13" s="260">
        <v>2</v>
      </c>
      <c r="O13" s="193">
        <v>0.35245104308036546</v>
      </c>
      <c r="P13" s="351"/>
      <c r="Q13" s="235">
        <f t="shared" si="0"/>
        <v>2.4520019067101026E-5</v>
      </c>
      <c r="R13" s="347"/>
      <c r="S13" s="348"/>
      <c r="T13" s="349"/>
      <c r="U13" s="132"/>
    </row>
    <row r="14" spans="1:30" s="30" customFormat="1" ht="33" customHeight="1" thickBot="1" x14ac:dyDescent="0.3">
      <c r="A14" s="340"/>
      <c r="B14" s="343"/>
      <c r="C14" s="261">
        <v>2471</v>
      </c>
      <c r="D14" s="249">
        <v>159</v>
      </c>
      <c r="E14" s="261">
        <v>12</v>
      </c>
      <c r="F14" s="193">
        <v>35.3696012554866</v>
      </c>
      <c r="G14" s="252">
        <v>11</v>
      </c>
      <c r="H14" s="252">
        <v>298.14999999999998</v>
      </c>
      <c r="I14" s="193">
        <v>0.48826921800728046</v>
      </c>
      <c r="J14" s="250">
        <v>0.101325</v>
      </c>
      <c r="K14" s="194">
        <v>283.14999999999998</v>
      </c>
      <c r="L14" s="253">
        <v>1</v>
      </c>
      <c r="M14" s="194">
        <v>0.877</v>
      </c>
      <c r="N14" s="260">
        <v>2</v>
      </c>
      <c r="O14" s="193">
        <v>13.497242656072041</v>
      </c>
      <c r="P14" s="351"/>
      <c r="Q14" s="235">
        <f t="shared" si="0"/>
        <v>9.3900317158293199E-4</v>
      </c>
      <c r="R14" s="347"/>
      <c r="S14" s="348"/>
      <c r="T14" s="349"/>
      <c r="U14" s="132"/>
    </row>
    <row r="15" spans="1:30" s="30" customFormat="1" ht="16.5" customHeight="1" thickBot="1" x14ac:dyDescent="0.3">
      <c r="A15" s="338">
        <v>4</v>
      </c>
      <c r="B15" s="341" t="s">
        <v>395</v>
      </c>
      <c r="C15" s="261">
        <v>13</v>
      </c>
      <c r="D15" s="249">
        <v>89</v>
      </c>
      <c r="E15" s="261">
        <v>14</v>
      </c>
      <c r="F15" s="193">
        <v>3.7992065358024761E-2</v>
      </c>
      <c r="G15" s="252">
        <v>11</v>
      </c>
      <c r="H15" s="252">
        <v>298.14999999999998</v>
      </c>
      <c r="I15" s="193">
        <v>0.48826921800728046</v>
      </c>
      <c r="J15" s="250">
        <v>0.101325</v>
      </c>
      <c r="K15" s="194">
        <v>283.14999999999998</v>
      </c>
      <c r="L15" s="253">
        <v>1</v>
      </c>
      <c r="M15" s="194">
        <v>0.877</v>
      </c>
      <c r="N15" s="260">
        <v>2</v>
      </c>
      <c r="O15" s="193">
        <v>1.4497989995379549E-2</v>
      </c>
      <c r="P15" s="351"/>
      <c r="Q15" s="235">
        <f t="shared" si="0"/>
        <v>1.0086251639785552E-6</v>
      </c>
      <c r="R15" s="347"/>
      <c r="S15" s="348"/>
      <c r="T15" s="349"/>
      <c r="U15" s="132"/>
    </row>
    <row r="16" spans="1:30" s="30" customFormat="1" ht="15" customHeight="1" thickBot="1" x14ac:dyDescent="0.3">
      <c r="A16" s="339"/>
      <c r="B16" s="342"/>
      <c r="C16" s="261">
        <v>187</v>
      </c>
      <c r="D16" s="249">
        <v>114</v>
      </c>
      <c r="E16" s="261">
        <v>14</v>
      </c>
      <c r="F16" s="193">
        <v>1.0862465006831679</v>
      </c>
      <c r="G16" s="252">
        <v>11</v>
      </c>
      <c r="H16" s="252">
        <v>298.14999999999998</v>
      </c>
      <c r="I16" s="193">
        <v>0.48826921800728046</v>
      </c>
      <c r="J16" s="250">
        <v>0.101325</v>
      </c>
      <c r="K16" s="194">
        <v>283.14999999999998</v>
      </c>
      <c r="L16" s="253">
        <v>1</v>
      </c>
      <c r="M16" s="194">
        <v>0.877</v>
      </c>
      <c r="N16" s="260">
        <v>2</v>
      </c>
      <c r="O16" s="193">
        <v>0.41451789343414053</v>
      </c>
      <c r="P16" s="351"/>
      <c r="Q16" s="235">
        <f t="shared" si="0"/>
        <v>2.883800984621316E-5</v>
      </c>
      <c r="R16" s="347"/>
      <c r="S16" s="348"/>
      <c r="T16" s="349"/>
      <c r="U16" s="132"/>
    </row>
    <row r="17" spans="1:21" s="30" customFormat="1" ht="15" customHeight="1" thickBot="1" x14ac:dyDescent="0.3">
      <c r="A17" s="340"/>
      <c r="B17" s="343"/>
      <c r="C17" s="261">
        <v>257</v>
      </c>
      <c r="D17" s="249">
        <v>114</v>
      </c>
      <c r="E17" s="261">
        <v>14</v>
      </c>
      <c r="F17" s="193">
        <v>1.4928628378372948</v>
      </c>
      <c r="G17" s="252">
        <v>11</v>
      </c>
      <c r="H17" s="252">
        <v>298.14999999999998</v>
      </c>
      <c r="I17" s="193">
        <v>0.48826921800728046</v>
      </c>
      <c r="J17" s="250">
        <v>0.101325</v>
      </c>
      <c r="K17" s="194">
        <v>283.14999999999998</v>
      </c>
      <c r="L17" s="253">
        <v>1</v>
      </c>
      <c r="M17" s="194">
        <v>0.877</v>
      </c>
      <c r="N17" s="260">
        <v>2</v>
      </c>
      <c r="O17" s="193">
        <v>0.56968501931857818</v>
      </c>
      <c r="P17" s="351"/>
      <c r="Q17" s="235">
        <f t="shared" si="0"/>
        <v>3.9632986793993485E-5</v>
      </c>
      <c r="R17" s="347"/>
      <c r="S17" s="348"/>
      <c r="T17" s="349"/>
      <c r="U17" s="132"/>
    </row>
    <row r="18" spans="1:21" s="30" customFormat="1" ht="19.5" customHeight="1" thickBot="1" x14ac:dyDescent="0.3">
      <c r="A18" s="338">
        <v>5</v>
      </c>
      <c r="B18" s="341" t="s">
        <v>396</v>
      </c>
      <c r="C18" s="261">
        <v>22</v>
      </c>
      <c r="D18" s="249">
        <v>89</v>
      </c>
      <c r="E18" s="261">
        <v>14</v>
      </c>
      <c r="F18" s="193">
        <v>6.4294264452041908E-2</v>
      </c>
      <c r="G18" s="252">
        <v>11</v>
      </c>
      <c r="H18" s="252">
        <v>298.14999999999998</v>
      </c>
      <c r="I18" s="193">
        <v>0.48826921800728046</v>
      </c>
      <c r="J18" s="250">
        <v>0.101325</v>
      </c>
      <c r="K18" s="194">
        <v>283.14999999999998</v>
      </c>
      <c r="L18" s="253">
        <v>1</v>
      </c>
      <c r="M18" s="194">
        <v>0.877</v>
      </c>
      <c r="N18" s="260">
        <v>2</v>
      </c>
      <c r="O18" s="193">
        <v>2.4535059992180776E-2</v>
      </c>
      <c r="P18" s="351"/>
      <c r="Q18" s="235">
        <f t="shared" si="0"/>
        <v>1.7069041236560166E-6</v>
      </c>
      <c r="R18" s="347"/>
      <c r="S18" s="348"/>
      <c r="T18" s="349"/>
      <c r="U18" s="132"/>
    </row>
    <row r="19" spans="1:21" s="30" customFormat="1" ht="34.5" customHeight="1" thickBot="1" x14ac:dyDescent="0.3">
      <c r="A19" s="339"/>
      <c r="B19" s="342"/>
      <c r="C19" s="261">
        <v>113</v>
      </c>
      <c r="D19" s="249">
        <v>114</v>
      </c>
      <c r="E19" s="261">
        <v>14</v>
      </c>
      <c r="F19" s="193">
        <v>0.65639494426309075</v>
      </c>
      <c r="G19" s="252">
        <v>11</v>
      </c>
      <c r="H19" s="252">
        <v>298.14999999999998</v>
      </c>
      <c r="I19" s="193">
        <v>0.48826921800728046</v>
      </c>
      <c r="J19" s="250">
        <v>0.101325</v>
      </c>
      <c r="K19" s="194">
        <v>283.14999999999998</v>
      </c>
      <c r="L19" s="253">
        <v>1</v>
      </c>
      <c r="M19" s="194">
        <v>0.877</v>
      </c>
      <c r="N19" s="260">
        <v>2</v>
      </c>
      <c r="O19" s="193">
        <v>0.25048407464202077</v>
      </c>
      <c r="P19" s="351"/>
      <c r="Q19" s="235">
        <f t="shared" si="0"/>
        <v>1.7426177072845385E-5</v>
      </c>
      <c r="R19" s="347"/>
      <c r="S19" s="348"/>
      <c r="T19" s="349"/>
      <c r="U19" s="132"/>
    </row>
    <row r="20" spans="1:21" s="30" customFormat="1" ht="15" customHeight="1" thickBot="1" x14ac:dyDescent="0.3">
      <c r="A20" s="340"/>
      <c r="B20" s="343"/>
      <c r="C20" s="261">
        <v>3906</v>
      </c>
      <c r="D20" s="249">
        <v>114</v>
      </c>
      <c r="E20" s="261">
        <v>12</v>
      </c>
      <c r="F20" s="193">
        <v>24.848898332466504</v>
      </c>
      <c r="G20" s="252">
        <v>11</v>
      </c>
      <c r="H20" s="252">
        <v>298.14999999999998</v>
      </c>
      <c r="I20" s="193">
        <v>0.48826921800728046</v>
      </c>
      <c r="J20" s="250">
        <v>0.101325</v>
      </c>
      <c r="K20" s="194">
        <v>283.14999999999998</v>
      </c>
      <c r="L20" s="253">
        <v>1</v>
      </c>
      <c r="M20" s="194">
        <v>0.877</v>
      </c>
      <c r="N20" s="260">
        <v>2</v>
      </c>
      <c r="O20" s="193">
        <v>9.4824820926511766</v>
      </c>
      <c r="P20" s="351"/>
      <c r="Q20" s="235">
        <f t="shared" si="0"/>
        <v>6.5969627918574243E-4</v>
      </c>
      <c r="R20" s="347"/>
      <c r="S20" s="348"/>
      <c r="T20" s="349"/>
      <c r="U20" s="132"/>
    </row>
    <row r="21" spans="1:21" s="30" customFormat="1" ht="18" customHeight="1" thickBot="1" x14ac:dyDescent="0.3">
      <c r="A21" s="338">
        <v>6</v>
      </c>
      <c r="B21" s="341" t="s">
        <v>397</v>
      </c>
      <c r="C21" s="261">
        <v>169</v>
      </c>
      <c r="D21" s="249">
        <v>89</v>
      </c>
      <c r="E21" s="261">
        <v>12</v>
      </c>
      <c r="F21" s="193">
        <v>0.56079392361986313</v>
      </c>
      <c r="G21" s="252">
        <v>11</v>
      </c>
      <c r="H21" s="252">
        <v>298.14999999999998</v>
      </c>
      <c r="I21" s="193">
        <v>0.48826921800728046</v>
      </c>
      <c r="J21" s="250">
        <v>0.101325</v>
      </c>
      <c r="K21" s="194">
        <v>283.14999999999998</v>
      </c>
      <c r="L21" s="253">
        <v>1</v>
      </c>
      <c r="M21" s="194">
        <v>0.877</v>
      </c>
      <c r="N21" s="260">
        <v>2</v>
      </c>
      <c r="O21" s="193">
        <v>0.21400217696754151</v>
      </c>
      <c r="P21" s="351"/>
      <c r="Q21" s="235">
        <f t="shared" si="0"/>
        <v>1.4888131451631863E-5</v>
      </c>
      <c r="R21" s="347"/>
      <c r="S21" s="348"/>
      <c r="T21" s="349"/>
      <c r="U21" s="132"/>
    </row>
    <row r="22" spans="1:21" s="30" customFormat="1" ht="15" customHeight="1" thickBot="1" x14ac:dyDescent="0.3">
      <c r="A22" s="340"/>
      <c r="B22" s="343"/>
      <c r="C22" s="261">
        <v>138</v>
      </c>
      <c r="D22" s="249">
        <v>114</v>
      </c>
      <c r="E22" s="261">
        <v>12</v>
      </c>
      <c r="F22" s="193">
        <v>0.87791806704566766</v>
      </c>
      <c r="G22" s="252">
        <v>11</v>
      </c>
      <c r="H22" s="252">
        <v>298.14999999999998</v>
      </c>
      <c r="I22" s="193">
        <v>0.48826921800728046</v>
      </c>
      <c r="J22" s="250">
        <v>0.101325</v>
      </c>
      <c r="K22" s="194">
        <v>283.14999999999998</v>
      </c>
      <c r="L22" s="253">
        <v>1</v>
      </c>
      <c r="M22" s="194">
        <v>0.877</v>
      </c>
      <c r="N22" s="260">
        <v>2</v>
      </c>
      <c r="O22" s="193">
        <v>0.33501856855756845</v>
      </c>
      <c r="P22" s="351"/>
      <c r="Q22" s="235">
        <f t="shared" si="0"/>
        <v>2.3307241814550038E-5</v>
      </c>
      <c r="R22" s="347"/>
      <c r="S22" s="348"/>
      <c r="T22" s="349"/>
      <c r="U22" s="132"/>
    </row>
    <row r="23" spans="1:21" s="30" customFormat="1" ht="15" customHeight="1" thickBot="1" x14ac:dyDescent="0.3">
      <c r="A23" s="338">
        <v>7</v>
      </c>
      <c r="B23" s="341" t="s">
        <v>398</v>
      </c>
      <c r="C23" s="261">
        <v>30</v>
      </c>
      <c r="D23" s="249">
        <v>89</v>
      </c>
      <c r="E23" s="261">
        <v>14</v>
      </c>
      <c r="F23" s="193">
        <v>8.7673996980057151E-2</v>
      </c>
      <c r="G23" s="252">
        <v>11</v>
      </c>
      <c r="H23" s="252">
        <v>298.14999999999998</v>
      </c>
      <c r="I23" s="193">
        <v>0.48826921800728046</v>
      </c>
      <c r="J23" s="250">
        <v>0.101325</v>
      </c>
      <c r="K23" s="194">
        <v>283.14999999999998</v>
      </c>
      <c r="L23" s="253">
        <v>1</v>
      </c>
      <c r="M23" s="194">
        <v>0.877</v>
      </c>
      <c r="N23" s="260">
        <v>2</v>
      </c>
      <c r="O23" s="193">
        <v>3.3456899989337423E-2</v>
      </c>
      <c r="P23" s="351"/>
      <c r="Q23" s="235">
        <f t="shared" si="0"/>
        <v>2.3275965322582049E-6</v>
      </c>
      <c r="R23" s="347"/>
      <c r="S23" s="348"/>
      <c r="T23" s="349"/>
      <c r="U23" s="132"/>
    </row>
    <row r="24" spans="1:21" s="30" customFormat="1" ht="18" customHeight="1" thickBot="1" x14ac:dyDescent="0.3">
      <c r="A24" s="339"/>
      <c r="B24" s="342"/>
      <c r="C24" s="261">
        <v>148</v>
      </c>
      <c r="D24" s="249">
        <v>114</v>
      </c>
      <c r="E24" s="261">
        <v>14</v>
      </c>
      <c r="F24" s="193">
        <v>0.85970311284015422</v>
      </c>
      <c r="G24" s="252">
        <v>11</v>
      </c>
      <c r="H24" s="252">
        <v>298.14999999999998</v>
      </c>
      <c r="I24" s="193">
        <v>0.48826921800728046</v>
      </c>
      <c r="J24" s="250">
        <v>0.101325</v>
      </c>
      <c r="K24" s="194">
        <v>283.14999999999998</v>
      </c>
      <c r="L24" s="253">
        <v>1</v>
      </c>
      <c r="M24" s="194">
        <v>0.877</v>
      </c>
      <c r="N24" s="260">
        <v>2</v>
      </c>
      <c r="O24" s="193">
        <v>0.32806763758423962</v>
      </c>
      <c r="P24" s="351"/>
      <c r="Q24" s="235">
        <f t="shared" si="0"/>
        <v>2.2823665546735553E-5</v>
      </c>
      <c r="R24" s="347"/>
      <c r="S24" s="348"/>
      <c r="T24" s="349"/>
      <c r="U24" s="132"/>
    </row>
    <row r="25" spans="1:21" s="30" customFormat="1" ht="33.75" customHeight="1" thickBot="1" x14ac:dyDescent="0.3">
      <c r="A25" s="339"/>
      <c r="B25" s="342"/>
      <c r="C25" s="261">
        <v>645</v>
      </c>
      <c r="D25" s="249">
        <v>114</v>
      </c>
      <c r="E25" s="261">
        <v>14</v>
      </c>
      <c r="F25" s="193">
        <v>3.7466791066344558</v>
      </c>
      <c r="G25" s="252">
        <v>11</v>
      </c>
      <c r="H25" s="252">
        <v>298.14999999999998</v>
      </c>
      <c r="I25" s="193">
        <v>0.48826921800728046</v>
      </c>
      <c r="J25" s="250">
        <v>0.101325</v>
      </c>
      <c r="K25" s="194">
        <v>283.14999999999998</v>
      </c>
      <c r="L25" s="253">
        <v>1</v>
      </c>
      <c r="M25" s="194">
        <v>0.877</v>
      </c>
      <c r="N25" s="260">
        <v>2</v>
      </c>
      <c r="O25" s="193">
        <v>1.4297542313637468</v>
      </c>
      <c r="P25" s="351"/>
      <c r="Q25" s="235">
        <f t="shared" si="0"/>
        <v>9.9468001875975873E-5</v>
      </c>
      <c r="R25" s="347"/>
      <c r="S25" s="348"/>
      <c r="T25" s="349"/>
      <c r="U25" s="132"/>
    </row>
    <row r="26" spans="1:21" s="30" customFormat="1" ht="21.75" customHeight="1" thickBot="1" x14ac:dyDescent="0.3">
      <c r="A26" s="340"/>
      <c r="B26" s="343"/>
      <c r="C26" s="261">
        <v>4848</v>
      </c>
      <c r="D26" s="249">
        <v>159</v>
      </c>
      <c r="E26" s="261">
        <v>12</v>
      </c>
      <c r="F26" s="193">
        <v>69.393697647348873</v>
      </c>
      <c r="G26" s="252">
        <v>11</v>
      </c>
      <c r="H26" s="252">
        <v>298.14999999999998</v>
      </c>
      <c r="I26" s="193">
        <v>0.48826921800728046</v>
      </c>
      <c r="J26" s="250">
        <v>0.101325</v>
      </c>
      <c r="K26" s="194">
        <v>283.14999999999998</v>
      </c>
      <c r="L26" s="253">
        <v>1</v>
      </c>
      <c r="M26" s="194">
        <v>0.877</v>
      </c>
      <c r="N26" s="260">
        <v>2</v>
      </c>
      <c r="O26" s="193">
        <v>26.481032940767811</v>
      </c>
      <c r="P26" s="351"/>
      <c r="Q26" s="235">
        <f t="shared" si="0"/>
        <v>1.8422854616892167E-3</v>
      </c>
      <c r="R26" s="347"/>
      <c r="S26" s="348"/>
      <c r="T26" s="349"/>
      <c r="U26" s="132"/>
    </row>
    <row r="27" spans="1:21" s="30" customFormat="1" ht="30" customHeight="1" thickBot="1" x14ac:dyDescent="0.3">
      <c r="A27" s="338">
        <v>8</v>
      </c>
      <c r="B27" s="341" t="s">
        <v>399</v>
      </c>
      <c r="C27" s="261">
        <v>30</v>
      </c>
      <c r="D27" s="249">
        <v>89</v>
      </c>
      <c r="E27" s="261">
        <v>12</v>
      </c>
      <c r="F27" s="193">
        <v>9.9549217210626581E-2</v>
      </c>
      <c r="G27" s="252">
        <v>11</v>
      </c>
      <c r="H27" s="252">
        <v>298.14999999999998</v>
      </c>
      <c r="I27" s="193">
        <v>0.48826921800728046</v>
      </c>
      <c r="J27" s="250">
        <v>0.101325</v>
      </c>
      <c r="K27" s="194">
        <v>283.14999999999998</v>
      </c>
      <c r="L27" s="253">
        <v>1</v>
      </c>
      <c r="M27" s="194">
        <v>0.877</v>
      </c>
      <c r="N27" s="260">
        <v>2</v>
      </c>
      <c r="O27" s="193">
        <v>3.7988552124415653E-2</v>
      </c>
      <c r="P27" s="351"/>
      <c r="Q27" s="235">
        <f t="shared" si="0"/>
        <v>2.6428635712955969E-6</v>
      </c>
      <c r="R27" s="347"/>
      <c r="S27" s="348"/>
      <c r="T27" s="349"/>
      <c r="U27" s="132"/>
    </row>
    <row r="28" spans="1:21" s="30" customFormat="1" ht="33" customHeight="1" thickBot="1" x14ac:dyDescent="0.3">
      <c r="A28" s="340"/>
      <c r="B28" s="343"/>
      <c r="C28" s="261">
        <v>110</v>
      </c>
      <c r="D28" s="249">
        <v>114</v>
      </c>
      <c r="E28" s="261">
        <v>12</v>
      </c>
      <c r="F28" s="193">
        <v>0.69978976358712641</v>
      </c>
      <c r="G28" s="252">
        <v>11</v>
      </c>
      <c r="H28" s="252">
        <v>298.14999999999998</v>
      </c>
      <c r="I28" s="193">
        <v>0.48826921800728046</v>
      </c>
      <c r="J28" s="250">
        <v>0.101325</v>
      </c>
      <c r="K28" s="194">
        <v>283.14999999999998</v>
      </c>
      <c r="L28" s="253">
        <v>1</v>
      </c>
      <c r="M28" s="194">
        <v>0.877</v>
      </c>
      <c r="N28" s="260">
        <v>2</v>
      </c>
      <c r="O28" s="193">
        <v>0.26704378653139521</v>
      </c>
      <c r="P28" s="351"/>
      <c r="Q28" s="235">
        <f t="shared" si="0"/>
        <v>1.8578236228989163E-5</v>
      </c>
      <c r="R28" s="347"/>
      <c r="S28" s="348"/>
      <c r="T28" s="349"/>
      <c r="U28" s="132"/>
    </row>
    <row r="29" spans="1:21" s="30" customFormat="1" ht="15" customHeight="1" thickBot="1" x14ac:dyDescent="0.3">
      <c r="A29" s="338">
        <v>9</v>
      </c>
      <c r="B29" s="341" t="s">
        <v>400</v>
      </c>
      <c r="C29" s="261">
        <v>30</v>
      </c>
      <c r="D29" s="249">
        <v>89</v>
      </c>
      <c r="E29" s="261">
        <v>12</v>
      </c>
      <c r="F29" s="193">
        <v>9.9549217210626581E-2</v>
      </c>
      <c r="G29" s="252">
        <v>11</v>
      </c>
      <c r="H29" s="252">
        <v>298.14999999999998</v>
      </c>
      <c r="I29" s="193">
        <v>0.48826921800728046</v>
      </c>
      <c r="J29" s="250">
        <v>0.101325</v>
      </c>
      <c r="K29" s="194">
        <v>283.14999999999998</v>
      </c>
      <c r="L29" s="253">
        <v>1</v>
      </c>
      <c r="M29" s="194">
        <v>0.877</v>
      </c>
      <c r="N29" s="260">
        <v>2</v>
      </c>
      <c r="O29" s="193">
        <v>3.7988552124415653E-2</v>
      </c>
      <c r="P29" s="351"/>
      <c r="Q29" s="235">
        <f t="shared" si="0"/>
        <v>2.6428635712955969E-6</v>
      </c>
      <c r="R29" s="347"/>
      <c r="S29" s="348"/>
      <c r="T29" s="349"/>
      <c r="U29" s="132"/>
    </row>
    <row r="30" spans="1:21" s="30" customFormat="1" ht="22.5" customHeight="1" thickBot="1" x14ac:dyDescent="0.3">
      <c r="A30" s="340"/>
      <c r="B30" s="343"/>
      <c r="C30" s="261">
        <v>110</v>
      </c>
      <c r="D30" s="249">
        <v>114</v>
      </c>
      <c r="E30" s="261">
        <v>12</v>
      </c>
      <c r="F30" s="193">
        <v>0.69978976358712641</v>
      </c>
      <c r="G30" s="252">
        <v>11</v>
      </c>
      <c r="H30" s="252">
        <v>298.14999999999998</v>
      </c>
      <c r="I30" s="193">
        <v>0.48826921800728046</v>
      </c>
      <c r="J30" s="250">
        <v>0.101325</v>
      </c>
      <c r="K30" s="194">
        <v>283.14999999999998</v>
      </c>
      <c r="L30" s="253">
        <v>1</v>
      </c>
      <c r="M30" s="194">
        <v>0.877</v>
      </c>
      <c r="N30" s="260">
        <v>2</v>
      </c>
      <c r="O30" s="193">
        <v>0.26704378653139521</v>
      </c>
      <c r="P30" s="351"/>
      <c r="Q30" s="235">
        <f t="shared" si="0"/>
        <v>1.8578236228989163E-5</v>
      </c>
      <c r="R30" s="347"/>
      <c r="S30" s="348"/>
      <c r="T30" s="349"/>
      <c r="U30" s="132"/>
    </row>
    <row r="31" spans="1:21" s="30" customFormat="1" ht="15" customHeight="1" thickBot="1" x14ac:dyDescent="0.3">
      <c r="A31" s="156"/>
      <c r="B31" s="152"/>
      <c r="C31" s="150"/>
      <c r="D31" s="170"/>
      <c r="E31" s="150"/>
      <c r="F31" s="29"/>
      <c r="G31" s="155"/>
      <c r="H31" s="154"/>
      <c r="I31" s="153"/>
      <c r="J31" s="26"/>
      <c r="K31" s="27"/>
      <c r="L31" s="29"/>
      <c r="M31" s="27"/>
      <c r="N31" s="37"/>
      <c r="O31" s="27"/>
      <c r="P31" s="352"/>
      <c r="Q31" s="27"/>
      <c r="R31" s="151"/>
      <c r="S31" s="151"/>
      <c r="T31" s="151"/>
      <c r="U31" s="132"/>
    </row>
    <row r="32" spans="1:21" ht="18.75" customHeight="1" thickBot="1" x14ac:dyDescent="0.3">
      <c r="A32" s="320" t="s">
        <v>325</v>
      </c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0"/>
      <c r="N32" s="321"/>
      <c r="O32" s="38">
        <f>SUM(O7:O31)</f>
        <v>61.141595783408818</v>
      </c>
      <c r="P32" s="233"/>
      <c r="Q32" s="234">
        <f>SUM(Q7:Q31)</f>
        <v>4.2536208186517536E-3</v>
      </c>
      <c r="R32" s="132"/>
      <c r="S32" s="132"/>
      <c r="T32" s="132"/>
    </row>
    <row r="35" spans="1:2" x14ac:dyDescent="0.25">
      <c r="A35" s="262"/>
      <c r="B35" s="161" t="s">
        <v>401</v>
      </c>
    </row>
    <row r="36" spans="1:2" x14ac:dyDescent="0.25">
      <c r="A36" s="263"/>
      <c r="B36" s="161" t="s">
        <v>402</v>
      </c>
    </row>
  </sheetData>
  <mergeCells count="31">
    <mergeCell ref="B27:B28"/>
    <mergeCell ref="A29:A30"/>
    <mergeCell ref="B29:B30"/>
    <mergeCell ref="P7:P31"/>
    <mergeCell ref="A15:A17"/>
    <mergeCell ref="B15:B17"/>
    <mergeCell ref="A18:A20"/>
    <mergeCell ref="B18:B20"/>
    <mergeCell ref="A21:A22"/>
    <mergeCell ref="B21:B22"/>
    <mergeCell ref="A23:A26"/>
    <mergeCell ref="B23:B26"/>
    <mergeCell ref="A7:A8"/>
    <mergeCell ref="B7:B8"/>
    <mergeCell ref="A9:A11"/>
    <mergeCell ref="A32:N32"/>
    <mergeCell ref="A1:T1"/>
    <mergeCell ref="B3:B4"/>
    <mergeCell ref="R5:T5"/>
    <mergeCell ref="R3:T3"/>
    <mergeCell ref="R4:T4"/>
    <mergeCell ref="A3:A4"/>
    <mergeCell ref="A5:O5"/>
    <mergeCell ref="A2:T2"/>
    <mergeCell ref="A6:O6"/>
    <mergeCell ref="B9:B11"/>
    <mergeCell ref="A12:A14"/>
    <mergeCell ref="B12:B14"/>
    <mergeCell ref="R7:T30"/>
    <mergeCell ref="R6:T6"/>
    <mergeCell ref="A27:A28"/>
  </mergeCells>
  <hyperlinks>
    <hyperlink ref="G7" r:id="rId1" display="1. ОБЩИЕ\3. Протокол ЦКР\Протокол_ЦКР_Роснедр Восточно-Прибрежное №332 от 02.03.2020 4.pdf" xr:uid="{59A59C90-968E-4D24-AC76-23B4D70AD88B}"/>
    <hyperlink ref="K7" r:id="rId2" display="ОБОСНОВЫВАЮЩИЕ ДОКУМЕНТЫ\1. ОБЩИЕ\2. Проект разработки\После ЦКР\Текст\Книга 1_В_Пр.docx" xr:uid="{A8B50211-442D-4BCD-AC48-B49523D0EE20}"/>
    <hyperlink ref="R6:T6" r:id="rId3" display="Технологический регламент СПТ - Вкладка - Остановка СПТ" xr:uid="{D45A666E-053C-43E9-8174-D18D2B1AF7EE}"/>
  </hyperlinks>
  <pageMargins left="0.7" right="0.7" top="0.75" bottom="0.75" header="0.3" footer="0.3"/>
  <pageSetup paperSize="9" orientation="portrait" verticalDpi="0"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9B588-F320-43EB-84EF-47D7AD665655}">
  <dimension ref="A1:T14"/>
  <sheetViews>
    <sheetView zoomScale="80" zoomScaleNormal="80" workbookViewId="0">
      <selection activeCell="C5" sqref="C5:O12"/>
    </sheetView>
  </sheetViews>
  <sheetFormatPr defaultRowHeight="15" x14ac:dyDescent="0.25"/>
  <cols>
    <col min="2" max="2" width="58.85546875" customWidth="1"/>
    <col min="3" max="3" width="10.85546875" customWidth="1"/>
    <col min="4" max="4" width="10.85546875" style="161" customWidth="1"/>
    <col min="5" max="5" width="15" customWidth="1"/>
    <col min="6" max="6" width="15.28515625" customWidth="1"/>
    <col min="7" max="7" width="17.140625" customWidth="1"/>
    <col min="8" max="8" width="16.85546875" customWidth="1"/>
    <col min="9" max="9" width="20.28515625" customWidth="1"/>
    <col min="10" max="11" width="16.140625" customWidth="1"/>
    <col min="12" max="12" width="20.42578125" customWidth="1"/>
    <col min="13" max="13" width="19" customWidth="1"/>
    <col min="14" max="14" width="14.5703125" customWidth="1"/>
    <col min="15" max="15" width="20.42578125" customWidth="1"/>
    <col min="16" max="17" width="20.42578125" style="161" customWidth="1"/>
    <col min="18" max="18" width="78.5703125" customWidth="1"/>
    <col min="19" max="19" width="10" customWidth="1"/>
    <col min="20" max="20" width="71.42578125" customWidth="1"/>
  </cols>
  <sheetData>
    <row r="1" spans="1:20" ht="23.25" thickBot="1" x14ac:dyDescent="0.3">
      <c r="A1" s="333" t="s">
        <v>332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/>
      <c r="T1" s="334"/>
    </row>
    <row r="2" spans="1:20" ht="49.5" thickBot="1" x14ac:dyDescent="0.3">
      <c r="A2" s="290" t="s">
        <v>0</v>
      </c>
      <c r="B2" s="323" t="s">
        <v>102</v>
      </c>
      <c r="C2" s="160" t="s">
        <v>122</v>
      </c>
      <c r="D2" s="174" t="s">
        <v>103</v>
      </c>
      <c r="E2" s="160" t="s">
        <v>326</v>
      </c>
      <c r="F2" s="7" t="s">
        <v>111</v>
      </c>
      <c r="G2" s="160" t="s">
        <v>109</v>
      </c>
      <c r="H2" s="160" t="s">
        <v>110</v>
      </c>
      <c r="I2" s="160" t="s">
        <v>104</v>
      </c>
      <c r="J2" s="160" t="s">
        <v>112</v>
      </c>
      <c r="K2" s="160" t="s">
        <v>113</v>
      </c>
      <c r="L2" s="160" t="s">
        <v>114</v>
      </c>
      <c r="M2" s="160" t="s">
        <v>119</v>
      </c>
      <c r="N2" s="160" t="s">
        <v>184</v>
      </c>
      <c r="O2" s="7" t="s">
        <v>99</v>
      </c>
      <c r="P2" s="7" t="s">
        <v>363</v>
      </c>
      <c r="Q2" s="7" t="s">
        <v>357</v>
      </c>
      <c r="R2" s="311" t="s">
        <v>5</v>
      </c>
      <c r="S2" s="312"/>
      <c r="T2" s="313"/>
    </row>
    <row r="3" spans="1:20" ht="16.5" customHeight="1" thickBot="1" x14ac:dyDescent="0.3">
      <c r="A3" s="377"/>
      <c r="B3" s="378"/>
      <c r="C3" s="159" t="s">
        <v>105</v>
      </c>
      <c r="D3" s="172" t="s">
        <v>328</v>
      </c>
      <c r="E3" s="158" t="s">
        <v>327</v>
      </c>
      <c r="F3" s="158" t="s">
        <v>106</v>
      </c>
      <c r="G3" s="159" t="s">
        <v>107</v>
      </c>
      <c r="H3" s="158" t="s">
        <v>108</v>
      </c>
      <c r="I3" s="158" t="s">
        <v>117</v>
      </c>
      <c r="J3" s="159" t="s">
        <v>115</v>
      </c>
      <c r="K3" s="158" t="s">
        <v>116</v>
      </c>
      <c r="L3" s="158" t="s">
        <v>118</v>
      </c>
      <c r="M3" s="158" t="s">
        <v>121</v>
      </c>
      <c r="N3" s="158" t="s">
        <v>120</v>
      </c>
      <c r="O3" s="158" t="s">
        <v>185</v>
      </c>
      <c r="P3" s="220" t="s">
        <v>364</v>
      </c>
      <c r="Q3" s="220" t="s">
        <v>365</v>
      </c>
      <c r="R3" s="379"/>
      <c r="S3" s="380"/>
      <c r="T3" s="381"/>
    </row>
    <row r="4" spans="1:20" ht="21" customHeight="1" thickBot="1" x14ac:dyDescent="0.3">
      <c r="A4" s="331" t="s">
        <v>361</v>
      </c>
      <c r="B4" s="332"/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225"/>
      <c r="Q4" s="225"/>
      <c r="R4" s="325" t="s">
        <v>405</v>
      </c>
      <c r="S4" s="326"/>
      <c r="T4" s="327"/>
    </row>
    <row r="5" spans="1:20" ht="16.5" customHeight="1" thickBot="1" x14ac:dyDescent="0.3">
      <c r="A5" s="374">
        <v>1</v>
      </c>
      <c r="B5" s="368" t="s">
        <v>362</v>
      </c>
      <c r="C5" s="7">
        <v>260</v>
      </c>
      <c r="D5" s="7">
        <v>15</v>
      </c>
      <c r="E5" s="7">
        <v>4</v>
      </c>
      <c r="F5" s="129">
        <v>1.000597260168349E-2</v>
      </c>
      <c r="G5" s="195">
        <v>11</v>
      </c>
      <c r="H5" s="27">
        <v>278.14999999999998</v>
      </c>
      <c r="I5" s="129">
        <v>0.48826921800728046</v>
      </c>
      <c r="J5" s="26">
        <v>0.101325</v>
      </c>
      <c r="K5" s="251">
        <v>283.14999999999998</v>
      </c>
      <c r="L5" s="29">
        <v>1</v>
      </c>
      <c r="M5" s="27">
        <v>0.877</v>
      </c>
      <c r="N5" s="260">
        <v>2</v>
      </c>
      <c r="O5" s="26">
        <v>4.0941952871432442E-3</v>
      </c>
      <c r="P5" s="371">
        <f>'ГДИ+ГКИ'!D11</f>
        <v>69.570000000000007</v>
      </c>
      <c r="Q5" s="235">
        <f>O5*$P$5*10^-6</f>
        <v>2.848331661265555E-7</v>
      </c>
      <c r="R5" s="356"/>
      <c r="S5" s="357"/>
      <c r="T5" s="358"/>
    </row>
    <row r="6" spans="1:20" ht="16.5" thickBot="1" x14ac:dyDescent="0.3">
      <c r="A6" s="375"/>
      <c r="B6" s="369"/>
      <c r="C6" s="7">
        <v>112</v>
      </c>
      <c r="D6" s="7">
        <v>32</v>
      </c>
      <c r="E6" s="7">
        <v>6</v>
      </c>
      <c r="F6" s="129">
        <v>3.5185837720205684E-2</v>
      </c>
      <c r="G6" s="27">
        <v>11</v>
      </c>
      <c r="H6" s="27">
        <v>278.14999999999998</v>
      </c>
      <c r="I6" s="129">
        <v>0.48826921800728046</v>
      </c>
      <c r="J6" s="26">
        <v>0.101325</v>
      </c>
      <c r="K6" s="27">
        <v>283.14999999999998</v>
      </c>
      <c r="L6" s="29">
        <v>1</v>
      </c>
      <c r="M6" s="27">
        <v>0.877</v>
      </c>
      <c r="N6" s="260">
        <v>2</v>
      </c>
      <c r="O6" s="26">
        <v>1.439717024050372E-2</v>
      </c>
      <c r="P6" s="372"/>
      <c r="Q6" s="235">
        <f t="shared" ref="Q6:Q12" si="0">O6*$P$5*10^-6</f>
        <v>1.0016111336318437E-6</v>
      </c>
      <c r="R6" s="359"/>
      <c r="S6" s="360"/>
      <c r="T6" s="361"/>
    </row>
    <row r="7" spans="1:20" ht="16.5" thickBot="1" x14ac:dyDescent="0.3">
      <c r="A7" s="375"/>
      <c r="B7" s="369"/>
      <c r="C7" s="7">
        <v>6725.7</v>
      </c>
      <c r="D7" s="7">
        <v>57</v>
      </c>
      <c r="E7" s="7">
        <v>6</v>
      </c>
      <c r="F7" s="129">
        <v>10.69676366581349</v>
      </c>
      <c r="G7" s="27">
        <v>11</v>
      </c>
      <c r="H7" s="27">
        <v>278.14999999999998</v>
      </c>
      <c r="I7" s="129">
        <v>0.48826921800728046</v>
      </c>
      <c r="J7" s="26">
        <v>0.101325</v>
      </c>
      <c r="K7" s="27">
        <v>283.14999999999998</v>
      </c>
      <c r="L7" s="29">
        <v>1</v>
      </c>
      <c r="M7" s="27">
        <v>0.877</v>
      </c>
      <c r="N7" s="260">
        <v>2</v>
      </c>
      <c r="O7" s="26">
        <v>4.3768498207650808</v>
      </c>
      <c r="P7" s="372"/>
      <c r="Q7" s="235">
        <f t="shared" si="0"/>
        <v>3.0449744203062671E-4</v>
      </c>
      <c r="R7" s="362"/>
      <c r="S7" s="363"/>
      <c r="T7" s="364"/>
    </row>
    <row r="8" spans="1:20" s="161" customFormat="1" ht="16.5" thickBot="1" x14ac:dyDescent="0.3">
      <c r="A8" s="375"/>
      <c r="B8" s="369"/>
      <c r="C8" s="7">
        <v>437.4</v>
      </c>
      <c r="D8" s="7">
        <v>89</v>
      </c>
      <c r="E8" s="7">
        <v>6</v>
      </c>
      <c r="F8" s="129">
        <v>2.0368080858966904</v>
      </c>
      <c r="G8" s="27">
        <v>11</v>
      </c>
      <c r="H8" s="27">
        <v>278.14999999999998</v>
      </c>
      <c r="I8" s="129">
        <v>0.48826921800728046</v>
      </c>
      <c r="J8" s="26">
        <v>0.101325</v>
      </c>
      <c r="K8" s="27">
        <v>283.14999999999998</v>
      </c>
      <c r="L8" s="29">
        <v>1</v>
      </c>
      <c r="M8" s="27">
        <v>0.877</v>
      </c>
      <c r="N8" s="260">
        <v>2</v>
      </c>
      <c r="O8" s="26">
        <v>0.83341124326988913</v>
      </c>
      <c r="P8" s="372"/>
      <c r="Q8" s="235">
        <f t="shared" si="0"/>
        <v>5.7980420194286196E-5</v>
      </c>
      <c r="R8" s="211"/>
      <c r="S8" s="212"/>
      <c r="T8" s="213"/>
    </row>
    <row r="9" spans="1:20" s="161" customFormat="1" ht="16.5" thickBot="1" x14ac:dyDescent="0.3">
      <c r="A9" s="375"/>
      <c r="B9" s="369"/>
      <c r="C9" s="7">
        <v>221.6</v>
      </c>
      <c r="D9" s="7">
        <v>114</v>
      </c>
      <c r="E9" s="7">
        <v>8</v>
      </c>
      <c r="F9" s="129">
        <v>1.6715208138172313</v>
      </c>
      <c r="G9" s="27">
        <v>11</v>
      </c>
      <c r="H9" s="27">
        <v>278.14999999999998</v>
      </c>
      <c r="I9" s="129">
        <v>0.48826921800728046</v>
      </c>
      <c r="J9" s="26">
        <v>0.101325</v>
      </c>
      <c r="K9" s="27">
        <v>283.14999999999998</v>
      </c>
      <c r="L9" s="29">
        <v>1</v>
      </c>
      <c r="M9" s="27">
        <v>0.877</v>
      </c>
      <c r="N9" s="260">
        <v>2</v>
      </c>
      <c r="O9" s="26">
        <v>0.68394477086024952</v>
      </c>
      <c r="P9" s="372"/>
      <c r="Q9" s="235">
        <f t="shared" si="0"/>
        <v>4.7582037708747562E-5</v>
      </c>
      <c r="R9" s="211"/>
      <c r="S9" s="212"/>
      <c r="T9" s="213"/>
    </row>
    <row r="10" spans="1:20" ht="16.5" customHeight="1" thickBot="1" x14ac:dyDescent="0.3">
      <c r="A10" s="376"/>
      <c r="B10" s="370"/>
      <c r="C10" s="7">
        <v>219.5</v>
      </c>
      <c r="D10" s="7">
        <v>159</v>
      </c>
      <c r="E10" s="7">
        <v>10</v>
      </c>
      <c r="F10" s="129">
        <v>3.3308418023429618</v>
      </c>
      <c r="G10" s="27">
        <v>11</v>
      </c>
      <c r="H10" s="27">
        <v>278.14999999999998</v>
      </c>
      <c r="I10" s="129">
        <v>0.48826921800728046</v>
      </c>
      <c r="J10" s="26">
        <v>0.101325</v>
      </c>
      <c r="K10" s="27">
        <v>283.14999999999998</v>
      </c>
      <c r="L10" s="29">
        <v>1</v>
      </c>
      <c r="M10" s="27">
        <v>0.877</v>
      </c>
      <c r="N10" s="260">
        <v>2</v>
      </c>
      <c r="O10" s="26">
        <v>1.3628976764415526</v>
      </c>
      <c r="P10" s="372"/>
      <c r="Q10" s="235">
        <f t="shared" si="0"/>
        <v>9.4816791350038824E-5</v>
      </c>
      <c r="R10" s="362"/>
      <c r="S10" s="363"/>
      <c r="T10" s="364"/>
    </row>
    <row r="11" spans="1:20" s="161" customFormat="1" ht="16.5" thickBot="1" x14ac:dyDescent="0.3">
      <c r="A11" s="25">
        <v>2</v>
      </c>
      <c r="B11" s="149" t="s">
        <v>403</v>
      </c>
      <c r="C11" s="196"/>
      <c r="D11" s="196"/>
      <c r="E11" s="196"/>
      <c r="F11" s="129">
        <v>0.5</v>
      </c>
      <c r="G11" s="27">
        <v>11</v>
      </c>
      <c r="H11" s="27">
        <v>323.14999999999998</v>
      </c>
      <c r="I11" s="129">
        <v>0.5939769152606742</v>
      </c>
      <c r="J11" s="26">
        <v>0.101325</v>
      </c>
      <c r="K11" s="27">
        <v>283.14999999999998</v>
      </c>
      <c r="L11" s="29">
        <v>1</v>
      </c>
      <c r="M11" s="27">
        <v>0.877</v>
      </c>
      <c r="N11" s="260">
        <v>2</v>
      </c>
      <c r="O11" s="26">
        <v>0.14449294235201746</v>
      </c>
      <c r="P11" s="372"/>
      <c r="Q11" s="235">
        <f t="shared" si="0"/>
        <v>1.0052373999429855E-5</v>
      </c>
      <c r="R11" s="362"/>
      <c r="S11" s="363"/>
      <c r="T11" s="364"/>
    </row>
    <row r="12" spans="1:20" ht="16.5" thickBot="1" x14ac:dyDescent="0.3">
      <c r="A12" s="25">
        <v>3</v>
      </c>
      <c r="B12" s="149" t="s">
        <v>404</v>
      </c>
      <c r="C12" s="196"/>
      <c r="D12" s="196"/>
      <c r="E12" s="196"/>
      <c r="F12" s="129">
        <v>6.3</v>
      </c>
      <c r="G12" s="27">
        <v>11</v>
      </c>
      <c r="H12" s="27">
        <v>373.15</v>
      </c>
      <c r="I12" s="129">
        <v>0.66149857634348097</v>
      </c>
      <c r="J12" s="26">
        <v>0.101325</v>
      </c>
      <c r="K12" s="27">
        <v>283.14999999999998</v>
      </c>
      <c r="L12" s="29">
        <v>1</v>
      </c>
      <c r="M12" s="27">
        <v>0.877</v>
      </c>
      <c r="N12" s="260">
        <v>2</v>
      </c>
      <c r="O12" s="26">
        <v>1.4131797372989179</v>
      </c>
      <c r="P12" s="373"/>
      <c r="Q12" s="235">
        <f t="shared" si="0"/>
        <v>9.8314914323885722E-5</v>
      </c>
      <c r="R12" s="365"/>
      <c r="S12" s="366"/>
      <c r="T12" s="367"/>
    </row>
    <row r="13" spans="1:20" ht="16.5" thickBot="1" x14ac:dyDescent="0.3">
      <c r="A13" s="157"/>
      <c r="B13" s="143"/>
      <c r="C13" s="138"/>
      <c r="D13" s="138"/>
      <c r="E13" s="138"/>
      <c r="F13" s="137"/>
      <c r="G13" s="144"/>
      <c r="H13" s="144"/>
      <c r="I13" s="140"/>
      <c r="J13" s="141"/>
      <c r="K13" s="139"/>
      <c r="L13" s="137"/>
      <c r="M13" s="139"/>
      <c r="N13" s="142"/>
      <c r="O13" s="139"/>
      <c r="P13" s="139"/>
      <c r="Q13" s="139"/>
      <c r="R13" s="146"/>
      <c r="S13" s="146"/>
      <c r="T13" s="146"/>
    </row>
    <row r="14" spans="1:20" ht="19.5" thickBot="1" x14ac:dyDescent="0.3">
      <c r="A14" s="320" t="s">
        <v>331</v>
      </c>
      <c r="B14" s="320"/>
      <c r="C14" s="320"/>
      <c r="D14" s="320"/>
      <c r="E14" s="320"/>
      <c r="F14" s="320"/>
      <c r="G14" s="320"/>
      <c r="H14" s="320"/>
      <c r="I14" s="320"/>
      <c r="J14" s="320"/>
      <c r="K14" s="320"/>
      <c r="L14" s="320"/>
      <c r="M14" s="320"/>
      <c r="N14" s="321"/>
      <c r="O14" s="38">
        <f>SUM(O5:O13)</f>
        <v>8.8332675565153558</v>
      </c>
      <c r="P14" s="233"/>
      <c r="Q14" s="237">
        <f>SUM(Q5:Q13)</f>
        <v>6.1453042390677336E-4</v>
      </c>
      <c r="R14" s="132"/>
      <c r="S14" s="132"/>
      <c r="T14" s="132"/>
    </row>
  </sheetData>
  <mergeCells count="16">
    <mergeCell ref="A4:O4"/>
    <mergeCell ref="R4:T4"/>
    <mergeCell ref="A5:A10"/>
    <mergeCell ref="A1:T1"/>
    <mergeCell ref="A2:A3"/>
    <mergeCell ref="B2:B3"/>
    <mergeCell ref="R2:T2"/>
    <mergeCell ref="R3:T3"/>
    <mergeCell ref="A14:N14"/>
    <mergeCell ref="R5:T6"/>
    <mergeCell ref="R10:T10"/>
    <mergeCell ref="R11:T11"/>
    <mergeCell ref="R7:T7"/>
    <mergeCell ref="R12:T12"/>
    <mergeCell ref="B5:B10"/>
    <mergeCell ref="P5:P12"/>
  </mergeCells>
  <hyperlinks>
    <hyperlink ref="G5" r:id="rId1" display="ОБОСНОВЫВАЮЩИЕ ДОКУМЕНТЫ\1. ОБЩИЕ\5. Технологический регламент\5.3 УКПГ\ТР УПГ-500 Восточно-Прибрежного мр.pdf" xr:uid="{00DBFBEF-BD22-4B05-AB68-A73C0F42B4E8}"/>
    <hyperlink ref="K5" r:id="rId2" display="Книга 1_В_Пр.docx" xr:uid="{7C4BA9B0-761F-49F6-A7F9-19D71FAA0436}"/>
    <hyperlink ref="R4:T4" r:id="rId3" display="Технологический регламент УКПГ" xr:uid="{D705A5EB-79F4-41A8-8771-5C5320608E03}"/>
  </hyperlinks>
  <pageMargins left="0.7" right="0.7" top="0.75" bottom="0.75" header="0.3" footer="0.3"/>
  <pageSetup paperSize="9" orientation="portrait" verticalDpi="0" r:id="rId4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6"/>
  <sheetViews>
    <sheetView topLeftCell="A13" workbookViewId="0">
      <selection activeCell="D18" sqref="D18:D26"/>
    </sheetView>
  </sheetViews>
  <sheetFormatPr defaultRowHeight="15" x14ac:dyDescent="0.25"/>
  <cols>
    <col min="1" max="1" width="7.28515625" customWidth="1"/>
    <col min="2" max="2" width="53.140625" customWidth="1"/>
    <col min="3" max="3" width="17.85546875" customWidth="1"/>
    <col min="4" max="4" width="19.85546875" customWidth="1"/>
    <col min="5" max="5" width="14.28515625" customWidth="1"/>
    <col min="6" max="6" width="45" customWidth="1"/>
    <col min="7" max="7" width="13.7109375" customWidth="1"/>
    <col min="8" max="8" width="38" customWidth="1"/>
    <col min="9" max="9" width="51.140625" customWidth="1"/>
    <col min="10" max="10" width="23.28515625" customWidth="1"/>
    <col min="11" max="11" width="30.5703125" customWidth="1"/>
    <col min="12" max="12" width="9.140625" customWidth="1"/>
  </cols>
  <sheetData>
    <row r="1" spans="1:14" ht="33.75" customHeight="1" x14ac:dyDescent="0.25">
      <c r="A1" s="318" t="s">
        <v>297</v>
      </c>
      <c r="B1" s="318"/>
      <c r="C1" s="318"/>
      <c r="D1" s="318"/>
      <c r="E1" s="318"/>
      <c r="F1" s="318"/>
      <c r="G1" s="318"/>
      <c r="H1" s="318"/>
      <c r="I1" s="12"/>
      <c r="J1" s="12"/>
      <c r="K1" s="12"/>
      <c r="L1" s="12"/>
      <c r="M1" s="12"/>
      <c r="N1" s="12"/>
    </row>
    <row r="2" spans="1:14" ht="19.5" thickBot="1" x14ac:dyDescent="0.3">
      <c r="A2" s="318" t="s">
        <v>298</v>
      </c>
      <c r="B2" s="318"/>
      <c r="C2" s="318"/>
      <c r="D2" s="318"/>
      <c r="E2" s="318"/>
      <c r="F2" s="318"/>
      <c r="G2" s="318"/>
      <c r="H2" s="318"/>
    </row>
    <row r="3" spans="1:14" ht="39.75" customHeight="1" thickBot="1" x14ac:dyDescent="0.3">
      <c r="A3" s="393" t="s">
        <v>0</v>
      </c>
      <c r="B3" s="323" t="s">
        <v>1</v>
      </c>
      <c r="C3" s="323" t="s">
        <v>2</v>
      </c>
      <c r="D3" s="173" t="s">
        <v>3</v>
      </c>
      <c r="E3" s="323" t="s">
        <v>4</v>
      </c>
      <c r="F3" s="385" t="s">
        <v>5</v>
      </c>
      <c r="G3" s="386"/>
      <c r="H3" s="387"/>
    </row>
    <row r="4" spans="1:14" s="161" customFormat="1" ht="39.75" customHeight="1" thickBot="1" x14ac:dyDescent="0.3">
      <c r="A4" s="394"/>
      <c r="B4" s="324"/>
      <c r="C4" s="324"/>
      <c r="D4" s="162" t="s">
        <v>442</v>
      </c>
      <c r="E4" s="324"/>
      <c r="F4" s="388"/>
      <c r="G4" s="319"/>
      <c r="H4" s="389"/>
    </row>
    <row r="5" spans="1:14" ht="21.75" customHeight="1" thickBot="1" x14ac:dyDescent="0.3">
      <c r="A5" s="4">
        <v>1</v>
      </c>
      <c r="B5" s="14" t="s">
        <v>186</v>
      </c>
      <c r="C5" s="15" t="s">
        <v>22</v>
      </c>
      <c r="D5" s="274">
        <v>3.1837606837606836</v>
      </c>
      <c r="E5" s="16" t="s">
        <v>23</v>
      </c>
      <c r="F5" s="390"/>
      <c r="G5" s="391"/>
      <c r="H5" s="392"/>
      <c r="I5" s="132"/>
      <c r="J5" s="147"/>
    </row>
    <row r="6" spans="1:14" s="30" customFormat="1" ht="19.5" customHeight="1" thickBot="1" x14ac:dyDescent="0.3">
      <c r="A6" s="5">
        <v>2</v>
      </c>
      <c r="B6" s="8" t="s">
        <v>197</v>
      </c>
      <c r="C6" s="15" t="s">
        <v>198</v>
      </c>
      <c r="D6" s="48">
        <v>5</v>
      </c>
      <c r="E6" s="16" t="s">
        <v>333</v>
      </c>
      <c r="F6" s="390"/>
      <c r="G6" s="391"/>
      <c r="H6" s="392"/>
      <c r="I6" s="132"/>
    </row>
    <row r="7" spans="1:14" ht="49.5" customHeight="1" thickBot="1" x14ac:dyDescent="0.3">
      <c r="A7" s="5">
        <v>3</v>
      </c>
      <c r="B7" s="8" t="s">
        <v>24</v>
      </c>
      <c r="C7" s="15" t="s">
        <v>25</v>
      </c>
      <c r="D7" s="52">
        <v>0.12286331199999999</v>
      </c>
      <c r="E7" s="16" t="s">
        <v>18</v>
      </c>
      <c r="F7" s="133" t="s">
        <v>208</v>
      </c>
      <c r="G7" s="60" t="s">
        <v>209</v>
      </c>
      <c r="H7" s="134" t="s">
        <v>267</v>
      </c>
      <c r="I7" s="132"/>
    </row>
    <row r="8" spans="1:14" ht="49.5" customHeight="1" thickBot="1" x14ac:dyDescent="0.3">
      <c r="A8" s="5">
        <v>4</v>
      </c>
      <c r="B8" s="8" t="s">
        <v>27</v>
      </c>
      <c r="C8" s="15" t="s">
        <v>26</v>
      </c>
      <c r="D8" s="52">
        <v>1.6051699999999998</v>
      </c>
      <c r="E8" s="16" t="s">
        <v>18</v>
      </c>
      <c r="F8" s="133" t="s">
        <v>211</v>
      </c>
      <c r="G8" s="60" t="s">
        <v>209</v>
      </c>
      <c r="H8" s="134" t="s">
        <v>268</v>
      </c>
      <c r="I8" s="132"/>
    </row>
    <row r="9" spans="1:14" ht="51.75" customHeight="1" thickBot="1" x14ac:dyDescent="0.3">
      <c r="A9" s="4">
        <v>5</v>
      </c>
      <c r="B9" s="8" t="s">
        <v>28</v>
      </c>
      <c r="C9" s="15" t="s">
        <v>29</v>
      </c>
      <c r="D9" s="52">
        <v>0.14860381089340283</v>
      </c>
      <c r="E9" s="16"/>
      <c r="F9" s="133" t="s">
        <v>204</v>
      </c>
      <c r="G9" s="60" t="s">
        <v>209</v>
      </c>
      <c r="H9" s="134" t="s">
        <v>269</v>
      </c>
      <c r="I9" s="132"/>
    </row>
    <row r="10" spans="1:14" ht="51" customHeight="1" thickBot="1" x14ac:dyDescent="0.3">
      <c r="A10" s="5">
        <v>6</v>
      </c>
      <c r="B10" s="8" t="s">
        <v>30</v>
      </c>
      <c r="C10" s="15" t="s">
        <v>31</v>
      </c>
      <c r="D10" s="229">
        <v>0.4</v>
      </c>
      <c r="E10" s="16" t="s">
        <v>32</v>
      </c>
      <c r="F10" s="362" t="s">
        <v>443</v>
      </c>
      <c r="G10" s="363"/>
      <c r="H10" s="364"/>
      <c r="I10" s="132"/>
    </row>
    <row r="11" spans="1:14" ht="32.25" thickBot="1" x14ac:dyDescent="0.3">
      <c r="A11" s="5">
        <v>7</v>
      </c>
      <c r="B11" s="8" t="s">
        <v>33</v>
      </c>
      <c r="C11" s="15" t="s">
        <v>35</v>
      </c>
      <c r="D11" s="16">
        <v>0.877</v>
      </c>
      <c r="E11" s="16"/>
      <c r="F11" s="382"/>
      <c r="G11" s="383"/>
      <c r="H11" s="384"/>
      <c r="I11" s="132"/>
    </row>
    <row r="12" spans="1:14" ht="19.5" thickBot="1" x14ac:dyDescent="0.3">
      <c r="A12" s="4">
        <v>8</v>
      </c>
      <c r="B12" s="8" t="s">
        <v>34</v>
      </c>
      <c r="C12" s="15" t="s">
        <v>36</v>
      </c>
      <c r="D12" s="16">
        <v>8424</v>
      </c>
      <c r="E12" s="16" t="s">
        <v>37</v>
      </c>
      <c r="F12" s="328"/>
      <c r="G12" s="329"/>
      <c r="H12" s="330"/>
    </row>
    <row r="13" spans="1:14" ht="32.25" thickBot="1" x14ac:dyDescent="0.3">
      <c r="A13" s="4">
        <v>9</v>
      </c>
      <c r="B13" s="8" t="s">
        <v>206</v>
      </c>
      <c r="C13" s="15" t="s">
        <v>283</v>
      </c>
      <c r="D13" s="228">
        <v>30.405693309284153</v>
      </c>
      <c r="E13" s="16" t="s">
        <v>207</v>
      </c>
      <c r="F13" s="328"/>
      <c r="G13" s="329"/>
      <c r="H13" s="330"/>
    </row>
    <row r="15" spans="1:14" ht="18.75" customHeight="1" thickBot="1" x14ac:dyDescent="0.3">
      <c r="A15" s="319" t="s">
        <v>299</v>
      </c>
      <c r="B15" s="319"/>
      <c r="C15" s="319"/>
      <c r="D15" s="319"/>
      <c r="E15" s="319"/>
      <c r="F15" s="319"/>
      <c r="G15" s="319"/>
      <c r="H15" s="319"/>
      <c r="I15" s="12"/>
      <c r="J15" s="12"/>
      <c r="K15" s="12"/>
      <c r="L15" s="12"/>
      <c r="M15" s="12"/>
      <c r="N15" s="12"/>
    </row>
    <row r="16" spans="1:14" ht="38.25" customHeight="1" thickBot="1" x14ac:dyDescent="0.3">
      <c r="A16" s="290" t="s">
        <v>0</v>
      </c>
      <c r="B16" s="323" t="s">
        <v>1</v>
      </c>
      <c r="C16" s="323" t="s">
        <v>2</v>
      </c>
      <c r="D16" s="173" t="s">
        <v>3</v>
      </c>
      <c r="E16" s="323" t="s">
        <v>4</v>
      </c>
      <c r="F16" s="385" t="s">
        <v>5</v>
      </c>
      <c r="G16" s="386"/>
      <c r="H16" s="387"/>
      <c r="I16" s="3"/>
      <c r="J16" s="3"/>
      <c r="K16" s="3"/>
      <c r="L16" s="3"/>
      <c r="M16" s="3"/>
      <c r="N16" s="3"/>
    </row>
    <row r="17" spans="1:14" s="30" customFormat="1" ht="19.5" thickBot="1" x14ac:dyDescent="0.3">
      <c r="A17" s="291"/>
      <c r="B17" s="324"/>
      <c r="C17" s="324"/>
      <c r="D17" s="162" t="str">
        <f>D4</f>
        <v>УКПГ</v>
      </c>
      <c r="E17" s="324"/>
      <c r="F17" s="388"/>
      <c r="G17" s="319"/>
      <c r="H17" s="389"/>
    </row>
    <row r="18" spans="1:14" ht="19.5" thickBot="1" x14ac:dyDescent="0.3">
      <c r="A18" s="4">
        <v>1</v>
      </c>
      <c r="B18" s="14" t="s">
        <v>187</v>
      </c>
      <c r="C18" s="15" t="s">
        <v>38</v>
      </c>
      <c r="D18" s="163">
        <v>0</v>
      </c>
      <c r="E18" s="16" t="s">
        <v>23</v>
      </c>
      <c r="F18" s="398"/>
      <c r="G18" s="399"/>
      <c r="H18" s="400"/>
      <c r="I18" s="132"/>
      <c r="J18" s="128"/>
      <c r="K18" s="3"/>
      <c r="L18" s="3"/>
      <c r="M18" s="3"/>
      <c r="N18" s="3"/>
    </row>
    <row r="19" spans="1:14" ht="19.5" customHeight="1" thickBot="1" x14ac:dyDescent="0.3">
      <c r="A19" s="5">
        <v>2</v>
      </c>
      <c r="B19" s="14" t="s">
        <v>254</v>
      </c>
      <c r="C19" s="15" t="s">
        <v>257</v>
      </c>
      <c r="D19" s="163">
        <v>2.65</v>
      </c>
      <c r="E19" s="16" t="s">
        <v>19</v>
      </c>
      <c r="F19" s="398"/>
      <c r="G19" s="399"/>
      <c r="H19" s="400"/>
      <c r="I19" s="132"/>
      <c r="J19" s="128"/>
      <c r="K19" s="3"/>
      <c r="L19" s="3"/>
      <c r="M19" s="3"/>
      <c r="N19" s="3"/>
    </row>
    <row r="20" spans="1:14" ht="19.5" customHeight="1" thickBot="1" x14ac:dyDescent="0.3">
      <c r="A20" s="5">
        <v>3</v>
      </c>
      <c r="B20" s="14" t="s">
        <v>255</v>
      </c>
      <c r="C20" s="15" t="s">
        <v>256</v>
      </c>
      <c r="D20" s="163">
        <v>273.14999999999998</v>
      </c>
      <c r="E20" s="16" t="s">
        <v>20</v>
      </c>
      <c r="F20" s="398"/>
      <c r="G20" s="399"/>
      <c r="H20" s="400"/>
      <c r="I20" s="132"/>
      <c r="J20" s="128"/>
      <c r="K20" s="3"/>
      <c r="L20" s="3"/>
      <c r="M20" s="3"/>
      <c r="N20" s="3"/>
    </row>
    <row r="21" spans="1:14" ht="28.5" customHeight="1" thickBot="1" x14ac:dyDescent="0.3">
      <c r="A21" s="5">
        <v>4</v>
      </c>
      <c r="B21" s="14" t="s">
        <v>260</v>
      </c>
      <c r="C21" s="15" t="s">
        <v>261</v>
      </c>
      <c r="D21" s="148">
        <v>50</v>
      </c>
      <c r="E21" s="16" t="s">
        <v>262</v>
      </c>
      <c r="F21" s="401"/>
      <c r="G21" s="402"/>
      <c r="H21" s="403"/>
      <c r="I21" s="132"/>
      <c r="J21" s="128"/>
      <c r="K21" s="3"/>
      <c r="L21" s="3"/>
      <c r="M21" s="3"/>
      <c r="N21" s="3"/>
    </row>
    <row r="22" spans="1:14" ht="19.5" thickBot="1" x14ac:dyDescent="0.3">
      <c r="A22" s="4">
        <v>5</v>
      </c>
      <c r="B22" s="14" t="s">
        <v>258</v>
      </c>
      <c r="C22" s="15" t="s">
        <v>259</v>
      </c>
      <c r="D22" s="164">
        <v>1.4720000000000011E-2</v>
      </c>
      <c r="E22" s="16"/>
      <c r="F22" s="395" t="s">
        <v>266</v>
      </c>
      <c r="G22" s="396"/>
      <c r="H22" s="397"/>
      <c r="I22" s="132"/>
      <c r="J22" s="128"/>
      <c r="K22" s="3"/>
      <c r="L22" s="3"/>
      <c r="M22" s="3"/>
      <c r="N22" s="3"/>
    </row>
    <row r="23" spans="1:14" ht="32.25" thickBot="1" x14ac:dyDescent="0.3">
      <c r="A23" s="5">
        <v>6</v>
      </c>
      <c r="B23" s="8" t="s">
        <v>39</v>
      </c>
      <c r="C23" s="15" t="s">
        <v>40</v>
      </c>
      <c r="D23" s="113">
        <v>0.39776457600000026</v>
      </c>
      <c r="E23" s="16" t="s">
        <v>41</v>
      </c>
      <c r="F23" s="395" t="s">
        <v>265</v>
      </c>
      <c r="G23" s="396"/>
      <c r="H23" s="397"/>
      <c r="I23" s="132"/>
      <c r="J23" s="3"/>
      <c r="K23" s="3"/>
      <c r="L23" s="3"/>
      <c r="M23" s="3"/>
      <c r="N23" s="3"/>
    </row>
    <row r="24" spans="1:14" ht="19.5" thickBot="1" x14ac:dyDescent="0.3">
      <c r="A24" s="5">
        <v>7</v>
      </c>
      <c r="B24" s="8" t="s">
        <v>34</v>
      </c>
      <c r="C24" s="17" t="s">
        <v>36</v>
      </c>
      <c r="D24" s="114">
        <v>8424</v>
      </c>
      <c r="E24" s="16" t="s">
        <v>37</v>
      </c>
      <c r="F24" s="328"/>
      <c r="G24" s="329"/>
      <c r="H24" s="330"/>
      <c r="I24" s="132"/>
      <c r="J24" s="3"/>
      <c r="K24" s="3"/>
      <c r="L24" s="3"/>
      <c r="M24" s="3"/>
      <c r="N24" s="3"/>
    </row>
    <row r="25" spans="1:14" ht="32.25" thickBot="1" x14ac:dyDescent="0.3">
      <c r="A25" s="4">
        <v>8</v>
      </c>
      <c r="B25" s="8" t="s">
        <v>42</v>
      </c>
      <c r="C25" s="15" t="s">
        <v>35</v>
      </c>
      <c r="D25" s="48">
        <v>0.877</v>
      </c>
      <c r="E25" s="16" t="s">
        <v>37</v>
      </c>
      <c r="F25" s="302"/>
      <c r="G25" s="303"/>
      <c r="H25" s="304"/>
      <c r="I25" s="132"/>
      <c r="J25" s="3"/>
      <c r="K25" s="3"/>
      <c r="L25" s="3"/>
      <c r="M25" s="3"/>
      <c r="N25" s="3"/>
    </row>
    <row r="26" spans="1:14" ht="32.25" thickBot="1" x14ac:dyDescent="0.3">
      <c r="A26" s="4">
        <v>9</v>
      </c>
      <c r="B26" s="8" t="s">
        <v>263</v>
      </c>
      <c r="C26" s="15" t="s">
        <v>264</v>
      </c>
      <c r="D26" s="61">
        <v>0</v>
      </c>
      <c r="E26" s="16" t="s">
        <v>207</v>
      </c>
      <c r="F26" s="328"/>
      <c r="G26" s="329"/>
      <c r="H26" s="330"/>
    </row>
  </sheetData>
  <mergeCells count="28">
    <mergeCell ref="F22:H22"/>
    <mergeCell ref="F23:H23"/>
    <mergeCell ref="F26:H26"/>
    <mergeCell ref="F25:H25"/>
    <mergeCell ref="F18:H18"/>
    <mergeCell ref="F24:H24"/>
    <mergeCell ref="F19:H19"/>
    <mergeCell ref="F20:H20"/>
    <mergeCell ref="F21:H21"/>
    <mergeCell ref="A1:H1"/>
    <mergeCell ref="A2:H2"/>
    <mergeCell ref="F5:H5"/>
    <mergeCell ref="F6:H6"/>
    <mergeCell ref="A3:A4"/>
    <mergeCell ref="B3:B4"/>
    <mergeCell ref="C3:C4"/>
    <mergeCell ref="E3:E4"/>
    <mergeCell ref="F3:H4"/>
    <mergeCell ref="F11:H11"/>
    <mergeCell ref="F12:H12"/>
    <mergeCell ref="F13:H13"/>
    <mergeCell ref="F10:H10"/>
    <mergeCell ref="E16:E17"/>
    <mergeCell ref="F16:H17"/>
    <mergeCell ref="A15:H15"/>
    <mergeCell ref="A16:A17"/>
    <mergeCell ref="B16:B17"/>
    <mergeCell ref="C16:C17"/>
  </mergeCells>
  <hyperlinks>
    <hyperlink ref="H7" r:id="rId1" location="Растворимость_газа_в_воде" xr:uid="{00000000-0004-0000-0200-000001000000}"/>
    <hyperlink ref="H8" r:id="rId2" location="Растворимость_газа_t" xr:uid="{00000000-0004-0000-0200-000002000000}"/>
    <hyperlink ref="H9" r:id="rId3" location="Коэффициент_Сеченова" xr:uid="{00000000-0004-0000-0200-000003000000}"/>
    <hyperlink ref="F9" location="'РАСТВОРИМОСТЬ ГАЗА'!B19" display="Коэффициент Сеченова" xr:uid="{00000000-0004-0000-0200-000004000000}"/>
    <hyperlink ref="F8" location="'РАСТВОРИМОСТЬ ГАЗА'!B12" display="Растворимость газа при различных давлениях" xr:uid="{00000000-0004-0000-0200-000005000000}"/>
    <hyperlink ref="F22:H22" r:id="rId4" location="Коэффициент_А" display="Методические рекомендации от 04.2018 (Коэффициент А)" xr:uid="{371BE415-19AA-4247-B28F-084EA3E14B42}"/>
    <hyperlink ref="F23:H23" r:id="rId5" location="Растворимость_ДЭГ" display="Методические рекомендации от 04.2019 (Растворимость ДЭГ)" xr:uid="{7E5B5B50-C147-4F49-989E-FDC26EBAA1BC}"/>
    <hyperlink ref="F7" location="'РАСТВОРИМОСТЬ ГАЗА'!A1" display="Растворимость газа в дистиллированной воде" xr:uid="{9121B950-16B1-4F24-8034-BFF5ECDBD3F4}"/>
    <hyperlink ref="D5" r:id="rId6" display="ОБОСНОВЫВАЮЩИЕ ДОКУМЕНТЫ\4. ДЕГАЗАЦИЯ\1. ВОДА\Объем добычи воды КГПУ 2019.xlsx" xr:uid="{028DF567-E1E6-4E4A-8009-D04B1F2DEDBD}"/>
    <hyperlink ref="F10" r:id="rId7" location="Минерализация_воды" display="Проект разработки Неокомских отложений Уренгойского НГКМ (пункт 2 стр.156)" xr:uid="{AB65B301-7F86-4EC4-BBBC-50408E10E16B}"/>
    <hyperlink ref="F10:H10" r:id="rId8" display="Минерализация пластовых вод по проектному документу стр.59" xr:uid="{AE94E06E-7AFA-4894-822A-9123737B2D3A}"/>
  </hyperlinks>
  <pageMargins left="0.7" right="0.7" top="0.75" bottom="0.75" header="0.3" footer="0.3"/>
  <pageSetup paperSize="9" orientation="portrait" verticalDpi="0" r:id="rId9"/>
  <legacy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"/>
  <sheetViews>
    <sheetView workbookViewId="0">
      <selection activeCell="D11" sqref="D4:D11"/>
    </sheetView>
  </sheetViews>
  <sheetFormatPr defaultRowHeight="15" x14ac:dyDescent="0.25"/>
  <cols>
    <col min="1" max="1" width="5.5703125" customWidth="1"/>
    <col min="2" max="2" width="44.85546875" customWidth="1"/>
    <col min="3" max="3" width="18.85546875" customWidth="1"/>
    <col min="4" max="4" width="16.42578125" customWidth="1"/>
    <col min="5" max="5" width="15.5703125" customWidth="1"/>
    <col min="6" max="6" width="14.85546875" customWidth="1"/>
    <col min="7" max="7" width="12.5703125" customWidth="1"/>
    <col min="8" max="8" width="31.5703125" customWidth="1"/>
  </cols>
  <sheetData>
    <row r="1" spans="1:8" ht="45.75" customHeight="1" x14ac:dyDescent="0.25">
      <c r="A1" s="318" t="s">
        <v>296</v>
      </c>
      <c r="B1" s="318"/>
      <c r="C1" s="318"/>
      <c r="D1" s="318"/>
      <c r="E1" s="318"/>
      <c r="F1" s="318"/>
      <c r="G1" s="318"/>
      <c r="H1" s="318"/>
    </row>
    <row r="2" spans="1:8" ht="15.75" thickBot="1" x14ac:dyDescent="0.3"/>
    <row r="3" spans="1:8" ht="43.5" customHeight="1" thickBot="1" x14ac:dyDescent="0.3">
      <c r="A3" s="7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F3" s="411" t="s">
        <v>5</v>
      </c>
      <c r="G3" s="412"/>
      <c r="H3" s="413"/>
    </row>
    <row r="4" spans="1:8" ht="32.25" thickBot="1" x14ac:dyDescent="0.3">
      <c r="A4" s="4">
        <v>1</v>
      </c>
      <c r="B4" s="14" t="s">
        <v>43</v>
      </c>
      <c r="C4" s="15" t="s">
        <v>44</v>
      </c>
      <c r="D4" s="230">
        <v>0.25</v>
      </c>
      <c r="E4" s="16" t="s">
        <v>18</v>
      </c>
      <c r="F4" s="328" t="s">
        <v>351</v>
      </c>
      <c r="G4" s="329"/>
      <c r="H4" s="330"/>
    </row>
    <row r="5" spans="1:8" ht="19.5" thickBot="1" x14ac:dyDescent="0.3">
      <c r="A5" s="5">
        <v>2</v>
      </c>
      <c r="B5" s="8" t="s">
        <v>45</v>
      </c>
      <c r="C5" s="15" t="s">
        <v>46</v>
      </c>
      <c r="D5" s="122">
        <v>5</v>
      </c>
      <c r="E5" s="16" t="s">
        <v>19</v>
      </c>
      <c r="F5" s="328"/>
      <c r="G5" s="329"/>
      <c r="H5" s="330"/>
    </row>
    <row r="6" spans="1:8" ht="32.25" thickBot="1" x14ac:dyDescent="0.3">
      <c r="A6" s="5">
        <v>3</v>
      </c>
      <c r="B6" s="8" t="s">
        <v>47</v>
      </c>
      <c r="C6" s="17" t="s">
        <v>48</v>
      </c>
      <c r="D6" s="131">
        <v>283.14999999999998</v>
      </c>
      <c r="E6" s="16" t="s">
        <v>20</v>
      </c>
      <c r="F6" s="328"/>
      <c r="G6" s="329"/>
      <c r="H6" s="330"/>
    </row>
    <row r="7" spans="1:8" ht="33.75" thickBot="1" x14ac:dyDescent="0.3">
      <c r="A7" s="5">
        <v>4</v>
      </c>
      <c r="B7" s="8" t="s">
        <v>49</v>
      </c>
      <c r="C7" s="15" t="s">
        <v>50</v>
      </c>
      <c r="D7" s="206">
        <v>0.95064825003242603</v>
      </c>
      <c r="E7" s="16"/>
      <c r="F7" s="328"/>
      <c r="G7" s="329"/>
      <c r="H7" s="330"/>
    </row>
    <row r="8" spans="1:8" ht="32.25" thickBot="1" x14ac:dyDescent="0.3">
      <c r="A8" s="4">
        <v>5</v>
      </c>
      <c r="B8" s="8" t="s">
        <v>13</v>
      </c>
      <c r="C8" s="10" t="s">
        <v>14</v>
      </c>
      <c r="D8" s="27">
        <v>0.877</v>
      </c>
      <c r="E8" s="16"/>
      <c r="F8" s="328"/>
      <c r="G8" s="329"/>
      <c r="H8" s="330"/>
    </row>
    <row r="9" spans="1:8" ht="33.75" customHeight="1" thickBot="1" x14ac:dyDescent="0.3">
      <c r="A9" s="5">
        <v>6</v>
      </c>
      <c r="B9" s="8" t="s">
        <v>51</v>
      </c>
      <c r="C9" s="15" t="s">
        <v>52</v>
      </c>
      <c r="D9" s="201">
        <v>12</v>
      </c>
      <c r="E9" s="16"/>
      <c r="F9" s="405" t="s">
        <v>444</v>
      </c>
      <c r="G9" s="406"/>
      <c r="H9" s="407"/>
    </row>
    <row r="10" spans="1:8" ht="19.5" thickBot="1" x14ac:dyDescent="0.3">
      <c r="A10" s="5">
        <v>7</v>
      </c>
      <c r="B10" s="8" t="s">
        <v>53</v>
      </c>
      <c r="C10" s="17" t="s">
        <v>9</v>
      </c>
      <c r="D10" s="201">
        <v>1</v>
      </c>
      <c r="E10" s="16" t="s">
        <v>21</v>
      </c>
      <c r="F10" s="328"/>
      <c r="G10" s="329"/>
      <c r="H10" s="330"/>
    </row>
    <row r="11" spans="1:8" ht="59.25" customHeight="1" thickBot="1" x14ac:dyDescent="0.3">
      <c r="A11" s="4">
        <v>8</v>
      </c>
      <c r="B11" s="8" t="s">
        <v>286</v>
      </c>
      <c r="C11" s="123" t="s">
        <v>285</v>
      </c>
      <c r="D11" s="200">
        <v>0.14138484726891382</v>
      </c>
      <c r="E11" s="16" t="s">
        <v>101</v>
      </c>
      <c r="F11" s="408"/>
      <c r="G11" s="409"/>
      <c r="H11" s="410"/>
    </row>
    <row r="13" spans="1:8" s="161" customFormat="1" x14ac:dyDescent="0.25"/>
    <row r="14" spans="1:8" s="161" customFormat="1" ht="18.75" x14ac:dyDescent="0.25">
      <c r="D14" s="130" t="s">
        <v>343</v>
      </c>
    </row>
    <row r="15" spans="1:8" s="161" customFormat="1" x14ac:dyDescent="0.25"/>
    <row r="16" spans="1:8" s="161" customFormat="1" ht="18.75" x14ac:dyDescent="0.25">
      <c r="B16" s="130" t="s">
        <v>304</v>
      </c>
    </row>
    <row r="17" spans="2:8" s="161" customFormat="1" ht="22.5" x14ac:dyDescent="0.25">
      <c r="B17" s="404" t="s">
        <v>344</v>
      </c>
      <c r="C17" s="404"/>
      <c r="D17" s="404"/>
      <c r="E17" s="404"/>
      <c r="F17" s="404"/>
      <c r="G17" s="404"/>
      <c r="H17" s="404"/>
    </row>
    <row r="18" spans="2:8" s="161" customFormat="1" ht="20.25" x14ac:dyDescent="0.25">
      <c r="B18" s="404" t="s">
        <v>345</v>
      </c>
      <c r="C18" s="404"/>
      <c r="D18" s="404"/>
      <c r="E18" s="404"/>
      <c r="F18" s="404"/>
      <c r="G18" s="404"/>
      <c r="H18" s="404"/>
    </row>
    <row r="19" spans="2:8" s="161" customFormat="1" ht="20.25" x14ac:dyDescent="0.25">
      <c r="B19" s="404" t="s">
        <v>346</v>
      </c>
      <c r="C19" s="404"/>
      <c r="D19" s="404"/>
      <c r="E19" s="404"/>
      <c r="F19" s="404"/>
      <c r="G19" s="404"/>
      <c r="H19" s="404"/>
    </row>
    <row r="20" spans="2:8" s="161" customFormat="1" ht="20.25" x14ac:dyDescent="0.25">
      <c r="B20" s="404" t="s">
        <v>347</v>
      </c>
      <c r="C20" s="404"/>
      <c r="D20" s="404"/>
      <c r="E20" s="404"/>
      <c r="F20" s="404"/>
      <c r="G20" s="404"/>
      <c r="H20" s="404"/>
    </row>
    <row r="21" spans="2:8" s="161" customFormat="1" ht="18.75" x14ac:dyDescent="0.25">
      <c r="B21" s="404" t="s">
        <v>350</v>
      </c>
      <c r="C21" s="404"/>
      <c r="D21" s="404"/>
      <c r="E21" s="404"/>
      <c r="F21" s="404"/>
      <c r="G21" s="404"/>
      <c r="H21" s="404"/>
    </row>
    <row r="22" spans="2:8" s="161" customFormat="1" ht="20.25" x14ac:dyDescent="0.25">
      <c r="B22" s="404" t="s">
        <v>348</v>
      </c>
      <c r="C22" s="404"/>
      <c r="D22" s="404"/>
      <c r="E22" s="404"/>
      <c r="F22" s="404"/>
      <c r="G22" s="404"/>
      <c r="H22" s="404"/>
    </row>
    <row r="23" spans="2:8" s="161" customFormat="1" ht="18.75" x14ac:dyDescent="0.25">
      <c r="B23" s="404" t="s">
        <v>349</v>
      </c>
      <c r="C23" s="404"/>
      <c r="D23" s="404"/>
      <c r="E23" s="404"/>
      <c r="F23" s="404"/>
      <c r="G23" s="404"/>
      <c r="H23" s="404"/>
    </row>
    <row r="24" spans="2:8" s="161" customFormat="1" x14ac:dyDescent="0.25"/>
  </sheetData>
  <mergeCells count="17">
    <mergeCell ref="F9:H9"/>
    <mergeCell ref="F10:H10"/>
    <mergeCell ref="F11:H11"/>
    <mergeCell ref="A1:H1"/>
    <mergeCell ref="F3:H3"/>
    <mergeCell ref="F4:H4"/>
    <mergeCell ref="F5:H5"/>
    <mergeCell ref="F6:H6"/>
    <mergeCell ref="F7:H7"/>
    <mergeCell ref="F8:H8"/>
    <mergeCell ref="B22:H22"/>
    <mergeCell ref="B23:H23"/>
    <mergeCell ref="B17:H17"/>
    <mergeCell ref="B18:H18"/>
    <mergeCell ref="B19:H19"/>
    <mergeCell ref="B20:H20"/>
    <mergeCell ref="B21:H21"/>
  </mergeCells>
  <hyperlinks>
    <hyperlink ref="D4" r:id="rId1" display="ОБОСНОВЫВАЮЩИЕ ДОКУМЕНТЫ\5. ХИМ.РЕАГЕНТЫ\1. Графики\План заправок химреагентами 2020 по Обществу.pdf" xr:uid="{751E084B-DB1A-4977-ABAF-0FEC340B3991}"/>
  </hyperlinks>
  <pageMargins left="0.7" right="0.7" top="0.75" bottom="0.75" header="0.3" footer="0.3"/>
  <pageSetup paperSize="9" orientation="portrait" verticalDpi="0" r:id="rId2"/>
  <drawing r:id="rId3"/>
  <legacyDrawing r:id="rId4"/>
  <oleObjects>
    <mc:AlternateContent xmlns:mc="http://schemas.openxmlformats.org/markup-compatibility/2006">
      <mc:Choice Requires="x14">
        <oleObject progId="Equation.DSMT4" shapeId="28673" r:id="rId5">
          <objectPr defaultSize="0" autoPict="0" r:id="rId6">
            <anchor moveWithCells="1" sizeWithCells="1">
              <from>
                <xdr:col>1</xdr:col>
                <xdr:colOff>790575</xdr:colOff>
                <xdr:row>11</xdr:row>
                <xdr:rowOff>161925</xdr:rowOff>
              </from>
              <to>
                <xdr:col>2</xdr:col>
                <xdr:colOff>914400</xdr:colOff>
                <xdr:row>15</xdr:row>
                <xdr:rowOff>57150</xdr:rowOff>
              </to>
            </anchor>
          </objectPr>
        </oleObject>
      </mc:Choice>
      <mc:Fallback>
        <oleObject progId="Equation.DSMT4" shapeId="28673" r:id="rId5"/>
      </mc:Fallback>
    </mc:AlternateContent>
    <mc:AlternateContent xmlns:mc="http://schemas.openxmlformats.org/markup-compatibility/2006">
      <mc:Choice Requires="x14">
        <oleObject progId="Equation.DSMT4" shapeId="28674" r:id="rId7">
          <objectPr defaultSize="0" autoPict="0" r:id="rId8">
            <anchor moveWithCells="1" sizeWithCells="1">
              <from>
                <xdr:col>1</xdr:col>
                <xdr:colOff>0</xdr:colOff>
                <xdr:row>20</xdr:row>
                <xdr:rowOff>0</xdr:rowOff>
              </from>
              <to>
                <xdr:col>1</xdr:col>
                <xdr:colOff>466725</xdr:colOff>
                <xdr:row>20</xdr:row>
                <xdr:rowOff>266700</xdr:rowOff>
              </to>
            </anchor>
          </objectPr>
        </oleObject>
      </mc:Choice>
      <mc:Fallback>
        <oleObject progId="Equation.DSMT4" shapeId="28674" r:id="rId7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2"/>
  <sheetViews>
    <sheetView topLeftCell="A13" workbookViewId="0">
      <selection activeCell="D6" sqref="D6:D16"/>
    </sheetView>
  </sheetViews>
  <sheetFormatPr defaultRowHeight="15" x14ac:dyDescent="0.25"/>
  <cols>
    <col min="1" max="1" width="5.28515625" customWidth="1"/>
    <col min="2" max="2" width="43" customWidth="1"/>
    <col min="3" max="3" width="18.5703125" customWidth="1"/>
    <col min="4" max="4" width="28.28515625" style="30" customWidth="1"/>
    <col min="5" max="5" width="17" customWidth="1"/>
    <col min="6" max="7" width="17" style="30" customWidth="1"/>
    <col min="8" max="8" width="15.5703125" customWidth="1"/>
    <col min="9" max="9" width="28.85546875" customWidth="1"/>
    <col min="10" max="10" width="19.140625" customWidth="1"/>
    <col min="11" max="11" width="45.42578125" customWidth="1"/>
  </cols>
  <sheetData>
    <row r="1" spans="1:11" ht="18.75" x14ac:dyDescent="0.3">
      <c r="A1" s="317" t="s">
        <v>295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</row>
    <row r="2" spans="1:11" ht="15.75" thickBot="1" x14ac:dyDescent="0.3"/>
    <row r="3" spans="1:11" ht="44.25" customHeight="1" thickBot="1" x14ac:dyDescent="0.3">
      <c r="A3" s="417" t="s">
        <v>0</v>
      </c>
      <c r="B3" s="323" t="s">
        <v>1</v>
      </c>
      <c r="C3" s="323" t="s">
        <v>2</v>
      </c>
      <c r="D3" s="173" t="s">
        <v>3</v>
      </c>
      <c r="E3" s="323" t="s">
        <v>4</v>
      </c>
      <c r="F3" s="385" t="s">
        <v>5</v>
      </c>
      <c r="G3" s="386"/>
      <c r="H3" s="387"/>
    </row>
    <row r="4" spans="1:11" s="30" customFormat="1" ht="22.5" customHeight="1" thickBot="1" x14ac:dyDescent="0.3">
      <c r="A4" s="418"/>
      <c r="B4" s="324"/>
      <c r="C4" s="324"/>
      <c r="D4" s="162" t="str">
        <f>'Дегазация жидкостей'!D4</f>
        <v>УКПГ</v>
      </c>
      <c r="E4" s="324"/>
      <c r="F4" s="388"/>
      <c r="G4" s="319"/>
      <c r="H4" s="389"/>
    </row>
    <row r="5" spans="1:11" s="30" customFormat="1" ht="22.5" customHeight="1" thickBot="1" x14ac:dyDescent="0.3">
      <c r="A5" s="331" t="s">
        <v>311</v>
      </c>
      <c r="B5" s="332"/>
      <c r="C5" s="332"/>
      <c r="D5" s="332"/>
      <c r="E5" s="332"/>
      <c r="F5" s="332"/>
      <c r="G5" s="332"/>
      <c r="H5" s="419"/>
    </row>
    <row r="6" spans="1:11" ht="32.25" thickBot="1" x14ac:dyDescent="0.3">
      <c r="A6" s="4">
        <v>1</v>
      </c>
      <c r="B6" s="8" t="s">
        <v>54</v>
      </c>
      <c r="C6" s="10" t="s">
        <v>55</v>
      </c>
      <c r="D6" s="27">
        <v>0.877</v>
      </c>
      <c r="E6" s="16"/>
      <c r="F6" s="296"/>
      <c r="G6" s="297"/>
      <c r="H6" s="298"/>
      <c r="I6" s="132"/>
    </row>
    <row r="7" spans="1:11" ht="32.25" thickBot="1" x14ac:dyDescent="0.3">
      <c r="A7" s="5">
        <v>2</v>
      </c>
      <c r="B7" s="8" t="s">
        <v>58</v>
      </c>
      <c r="C7" s="17" t="s">
        <v>59</v>
      </c>
      <c r="D7" s="202">
        <v>4.0000000000000002E-4</v>
      </c>
      <c r="E7" s="16" t="s">
        <v>18</v>
      </c>
      <c r="F7" s="296"/>
      <c r="G7" s="297"/>
      <c r="H7" s="298"/>
      <c r="I7" s="132"/>
    </row>
    <row r="8" spans="1:11" s="3" customFormat="1" ht="19.5" thickBot="1" x14ac:dyDescent="0.3">
      <c r="A8" s="5">
        <v>3</v>
      </c>
      <c r="B8" s="8" t="s">
        <v>60</v>
      </c>
      <c r="C8" s="15" t="s">
        <v>61</v>
      </c>
      <c r="D8" s="131">
        <v>11</v>
      </c>
      <c r="E8" s="16" t="s">
        <v>19</v>
      </c>
      <c r="F8" s="328"/>
      <c r="G8" s="329"/>
      <c r="H8" s="330"/>
      <c r="I8" s="132"/>
    </row>
    <row r="9" spans="1:11" ht="24.75" customHeight="1" thickBot="1" x14ac:dyDescent="0.3">
      <c r="A9" s="5">
        <v>4</v>
      </c>
      <c r="B9" s="8" t="s">
        <v>62</v>
      </c>
      <c r="C9" s="10" t="s">
        <v>63</v>
      </c>
      <c r="D9" s="131">
        <v>298.14999999999998</v>
      </c>
      <c r="E9" s="16" t="s">
        <v>20</v>
      </c>
      <c r="F9" s="328"/>
      <c r="G9" s="329"/>
      <c r="H9" s="330"/>
      <c r="I9" s="132"/>
    </row>
    <row r="10" spans="1:11" ht="36" customHeight="1" thickBot="1" x14ac:dyDescent="0.3">
      <c r="A10" s="5">
        <v>5</v>
      </c>
      <c r="B10" s="8" t="s">
        <v>64</v>
      </c>
      <c r="C10" s="15"/>
      <c r="D10" s="129">
        <v>0.48826921800728046</v>
      </c>
      <c r="E10" s="16"/>
      <c r="F10" s="328"/>
      <c r="G10" s="329"/>
      <c r="H10" s="330"/>
      <c r="I10" s="132"/>
    </row>
    <row r="11" spans="1:11" ht="48" thickBot="1" x14ac:dyDescent="0.3">
      <c r="A11" s="5">
        <v>6</v>
      </c>
      <c r="B11" s="8" t="s">
        <v>65</v>
      </c>
      <c r="C11" s="17" t="s">
        <v>66</v>
      </c>
      <c r="D11" s="165">
        <v>54</v>
      </c>
      <c r="E11" s="16"/>
      <c r="F11" s="414"/>
      <c r="G11" s="415"/>
      <c r="H11" s="416"/>
      <c r="I11" s="132"/>
    </row>
    <row r="12" spans="1:11" ht="32.25" thickBot="1" x14ac:dyDescent="0.3">
      <c r="A12" s="5">
        <v>7</v>
      </c>
      <c r="B12" s="8" t="s">
        <v>69</v>
      </c>
      <c r="C12" s="17" t="s">
        <v>36</v>
      </c>
      <c r="D12" s="145">
        <v>0</v>
      </c>
      <c r="E12" s="16" t="s">
        <v>70</v>
      </c>
      <c r="F12" s="420" t="s">
        <v>303</v>
      </c>
      <c r="G12" s="421"/>
      <c r="H12" s="422"/>
    </row>
    <row r="13" spans="1:11" ht="19.5" thickBot="1" x14ac:dyDescent="0.3">
      <c r="A13" s="5">
        <v>8</v>
      </c>
      <c r="B13" s="8" t="s">
        <v>71</v>
      </c>
      <c r="C13" s="15" t="s">
        <v>9</v>
      </c>
      <c r="D13" s="145">
        <v>0</v>
      </c>
      <c r="E13" s="16" t="s">
        <v>21</v>
      </c>
      <c r="F13" s="420" t="s">
        <v>303</v>
      </c>
      <c r="G13" s="421"/>
      <c r="H13" s="422"/>
    </row>
    <row r="14" spans="1:11" s="3" customFormat="1" ht="63.75" thickBot="1" x14ac:dyDescent="0.3">
      <c r="A14" s="5">
        <v>9</v>
      </c>
      <c r="B14" s="8" t="s">
        <v>56</v>
      </c>
      <c r="C14" s="15" t="s">
        <v>57</v>
      </c>
      <c r="D14" s="131">
        <v>146.37348202338612</v>
      </c>
      <c r="E14" s="16" t="s">
        <v>18</v>
      </c>
      <c r="F14" s="328"/>
      <c r="G14" s="329"/>
      <c r="H14" s="330"/>
    </row>
    <row r="15" spans="1:11" ht="48" thickBot="1" x14ac:dyDescent="0.3">
      <c r="A15" s="5">
        <v>10</v>
      </c>
      <c r="B15" s="8" t="s">
        <v>67</v>
      </c>
      <c r="C15" s="15" t="s">
        <v>68</v>
      </c>
      <c r="D15" s="145">
        <v>0</v>
      </c>
      <c r="E15" s="16" t="s">
        <v>18</v>
      </c>
      <c r="F15" s="420" t="s">
        <v>303</v>
      </c>
      <c r="G15" s="421"/>
      <c r="H15" s="422"/>
    </row>
    <row r="16" spans="1:11" ht="32.25" thickBot="1" x14ac:dyDescent="0.3">
      <c r="A16" s="5">
        <v>11</v>
      </c>
      <c r="B16" s="8" t="s">
        <v>288</v>
      </c>
      <c r="C16" s="123" t="s">
        <v>287</v>
      </c>
      <c r="D16" s="200">
        <v>0.14637348202338613</v>
      </c>
      <c r="E16" s="16" t="s">
        <v>101</v>
      </c>
      <c r="F16" s="423"/>
      <c r="G16" s="424"/>
      <c r="H16" s="425"/>
    </row>
    <row r="26" spans="2:11" ht="18.75" x14ac:dyDescent="0.25">
      <c r="B26" s="130" t="s">
        <v>304</v>
      </c>
    </row>
    <row r="27" spans="2:11" ht="22.5" x14ac:dyDescent="0.25">
      <c r="B27" s="404" t="s">
        <v>305</v>
      </c>
      <c r="C27" s="404"/>
      <c r="D27" s="404"/>
      <c r="E27" s="404"/>
      <c r="F27" s="404"/>
      <c r="G27" s="404"/>
      <c r="H27" s="404"/>
      <c r="I27" s="404"/>
      <c r="J27" s="404"/>
      <c r="K27" s="404"/>
    </row>
    <row r="28" spans="2:11" ht="20.25" x14ac:dyDescent="0.25">
      <c r="B28" s="404" t="s">
        <v>306</v>
      </c>
      <c r="C28" s="404"/>
      <c r="D28" s="404"/>
      <c r="E28" s="404"/>
      <c r="F28" s="404"/>
      <c r="G28" s="404"/>
      <c r="H28" s="404"/>
      <c r="I28" s="404"/>
      <c r="J28" s="404"/>
      <c r="K28" s="404"/>
    </row>
    <row r="29" spans="2:11" ht="20.25" x14ac:dyDescent="0.25">
      <c r="B29" s="404" t="s">
        <v>307</v>
      </c>
      <c r="C29" s="404"/>
      <c r="D29" s="404"/>
      <c r="E29" s="404"/>
      <c r="F29" s="404"/>
      <c r="G29" s="404"/>
      <c r="H29" s="404"/>
      <c r="I29" s="404"/>
      <c r="J29" s="404"/>
      <c r="K29" s="404"/>
    </row>
    <row r="30" spans="2:11" ht="20.25" x14ac:dyDescent="0.25">
      <c r="B30" s="404" t="s">
        <v>308</v>
      </c>
      <c r="C30" s="404"/>
      <c r="D30" s="404"/>
      <c r="E30" s="404"/>
      <c r="F30" s="404"/>
      <c r="G30" s="404"/>
      <c r="H30" s="404"/>
      <c r="I30" s="404"/>
      <c r="J30" s="404"/>
      <c r="K30" s="404"/>
    </row>
    <row r="31" spans="2:11" ht="18.75" x14ac:dyDescent="0.25">
      <c r="B31" s="404" t="s">
        <v>309</v>
      </c>
      <c r="C31" s="404"/>
      <c r="D31" s="404"/>
      <c r="E31" s="404"/>
      <c r="F31" s="404"/>
      <c r="G31" s="404"/>
      <c r="H31" s="404"/>
      <c r="I31" s="404"/>
      <c r="J31" s="404"/>
      <c r="K31" s="404"/>
    </row>
    <row r="32" spans="2:11" ht="20.25" x14ac:dyDescent="0.25">
      <c r="B32" s="404" t="s">
        <v>310</v>
      </c>
      <c r="C32" s="404"/>
      <c r="D32" s="404"/>
      <c r="E32" s="404"/>
      <c r="F32" s="404"/>
      <c r="G32" s="404"/>
      <c r="H32" s="404"/>
      <c r="I32" s="404"/>
      <c r="J32" s="404"/>
      <c r="K32" s="404"/>
    </row>
  </sheetData>
  <mergeCells count="24">
    <mergeCell ref="F15:H15"/>
    <mergeCell ref="F12:H12"/>
    <mergeCell ref="F13:H13"/>
    <mergeCell ref="B32:K32"/>
    <mergeCell ref="F16:H16"/>
    <mergeCell ref="B27:K27"/>
    <mergeCell ref="B28:K28"/>
    <mergeCell ref="B29:K29"/>
    <mergeCell ref="B30:K30"/>
    <mergeCell ref="B31:K31"/>
    <mergeCell ref="F11:H11"/>
    <mergeCell ref="A1:K1"/>
    <mergeCell ref="F14:H14"/>
    <mergeCell ref="F9:H9"/>
    <mergeCell ref="F10:H10"/>
    <mergeCell ref="F8:H8"/>
    <mergeCell ref="F6:H6"/>
    <mergeCell ref="F7:H7"/>
    <mergeCell ref="A3:A4"/>
    <mergeCell ref="B3:B4"/>
    <mergeCell ref="C3:C4"/>
    <mergeCell ref="E3:E4"/>
    <mergeCell ref="F3:H4"/>
    <mergeCell ref="A5:H5"/>
  </mergeCells>
  <hyperlinks>
    <hyperlink ref="D7" r:id="rId1" display="ОБОСНОВЫВАЮЩИЕ ДОКУМЕНТЫ\6. ОТБОР ПРОБ\6.2 Паспорта\Паспорт - 400 газ.pdf" xr:uid="{E9B6578A-364B-4CE9-B735-506A705AC33F}"/>
    <hyperlink ref="D11" r:id="rId2" display="ОБОСНОВЫВАЮЩИЕ ДОКУМЕНТЫ\6. ОТБОР ПРОБ\6.1 Планы графики\План отбора проб газа 2020 по Обществу.pdf" xr:uid="{BCF5853E-533B-4305-BA20-5ED8C5FA82F1}"/>
  </hyperlinks>
  <pageMargins left="0.7" right="0.7" top="0.75" bottom="0.75" header="0.3" footer="0.3"/>
  <pageSetup paperSize="9" orientation="portrait" verticalDpi="0" r:id="rId3"/>
  <drawing r:id="rId4"/>
  <legacyDrawing r:id="rId5"/>
  <oleObjects>
    <mc:AlternateContent xmlns:mc="http://schemas.openxmlformats.org/markup-compatibility/2006">
      <mc:Choice Requires="x14">
        <oleObject progId="Equation.DSMT4" shapeId="8197" r:id="rId6">
          <objectPr defaultSize="0" autoPict="0" r:id="rId7">
            <anchor moveWithCells="1" sizeWithCells="1">
              <from>
                <xdr:col>1</xdr:col>
                <xdr:colOff>666750</xdr:colOff>
                <xdr:row>18</xdr:row>
                <xdr:rowOff>114300</xdr:rowOff>
              </from>
              <to>
                <xdr:col>4</xdr:col>
                <xdr:colOff>1009650</xdr:colOff>
                <xdr:row>23</xdr:row>
                <xdr:rowOff>171450</xdr:rowOff>
              </to>
            </anchor>
          </objectPr>
        </oleObject>
      </mc:Choice>
      <mc:Fallback>
        <oleObject progId="Equation.DSMT4" shapeId="8197" r:id="rId6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8C712-9603-42AA-84A1-6203D26463FE}">
  <dimension ref="A1:I27"/>
  <sheetViews>
    <sheetView workbookViewId="0">
      <selection activeCell="D6" sqref="D6:D11"/>
    </sheetView>
  </sheetViews>
  <sheetFormatPr defaultColWidth="9.140625" defaultRowHeight="15" x14ac:dyDescent="0.25"/>
  <cols>
    <col min="1" max="1" width="5.28515625" style="161" customWidth="1"/>
    <col min="2" max="2" width="45.85546875" style="161" customWidth="1"/>
    <col min="3" max="3" width="18.5703125" style="161" customWidth="1"/>
    <col min="4" max="4" width="17" style="161" customWidth="1"/>
    <col min="5" max="5" width="15.5703125" style="161" customWidth="1"/>
    <col min="6" max="6" width="28.85546875" style="161" customWidth="1"/>
    <col min="7" max="7" width="19.140625" style="161" customWidth="1"/>
    <col min="8" max="8" width="45.42578125" style="161" customWidth="1"/>
    <col min="9" max="16384" width="9.140625" style="161"/>
  </cols>
  <sheetData>
    <row r="1" spans="1:9" ht="18.75" x14ac:dyDescent="0.3">
      <c r="A1" s="317" t="s">
        <v>366</v>
      </c>
      <c r="B1" s="317"/>
      <c r="C1" s="317"/>
      <c r="D1" s="317"/>
      <c r="E1" s="317"/>
      <c r="F1" s="317"/>
      <c r="G1" s="317"/>
      <c r="H1" s="317"/>
    </row>
    <row r="2" spans="1:9" ht="15.75" thickBot="1" x14ac:dyDescent="0.3"/>
    <row r="3" spans="1:9" ht="38.25" thickBot="1" x14ac:dyDescent="0.3">
      <c r="A3" s="290" t="s">
        <v>0</v>
      </c>
      <c r="B3" s="323" t="s">
        <v>1</v>
      </c>
      <c r="C3" s="323" t="s">
        <v>2</v>
      </c>
      <c r="D3" s="226" t="s">
        <v>3</v>
      </c>
      <c r="E3" s="323" t="s">
        <v>4</v>
      </c>
      <c r="F3" s="385" t="s">
        <v>5</v>
      </c>
      <c r="G3" s="386"/>
      <c r="H3" s="387"/>
    </row>
    <row r="4" spans="1:9" ht="19.5" thickBot="1" x14ac:dyDescent="0.3">
      <c r="A4" s="291"/>
      <c r="B4" s="324"/>
      <c r="C4" s="324"/>
      <c r="D4" s="227" t="str">
        <f>'Отбор проб (газ)'!D4</f>
        <v>УКПГ</v>
      </c>
      <c r="E4" s="324"/>
      <c r="F4" s="388"/>
      <c r="G4" s="319"/>
      <c r="H4" s="389"/>
    </row>
    <row r="5" spans="1:9" ht="21" thickBot="1" x14ac:dyDescent="0.3">
      <c r="A5" s="331" t="s">
        <v>367</v>
      </c>
      <c r="B5" s="332"/>
      <c r="C5" s="332"/>
      <c r="D5" s="332"/>
      <c r="E5" s="332"/>
      <c r="F5" s="332"/>
      <c r="G5" s="332"/>
      <c r="H5" s="419"/>
    </row>
    <row r="6" spans="1:9" ht="19.5" thickBot="1" x14ac:dyDescent="0.3">
      <c r="A6" s="4">
        <v>1</v>
      </c>
      <c r="B6" s="8" t="s">
        <v>58</v>
      </c>
      <c r="C6" s="17" t="s">
        <v>59</v>
      </c>
      <c r="D6" s="221">
        <v>4.0000000000000002E-4</v>
      </c>
      <c r="E6" s="16" t="s">
        <v>18</v>
      </c>
      <c r="F6" s="314" t="s">
        <v>368</v>
      </c>
      <c r="G6" s="315"/>
      <c r="H6" s="316"/>
      <c r="I6" s="132"/>
    </row>
    <row r="7" spans="1:9" ht="19.5" thickBot="1" x14ac:dyDescent="0.3">
      <c r="A7" s="5">
        <v>2</v>
      </c>
      <c r="B7" s="8" t="s">
        <v>60</v>
      </c>
      <c r="C7" s="15" t="s">
        <v>61</v>
      </c>
      <c r="D7" s="240">
        <v>11</v>
      </c>
      <c r="E7" s="16" t="s">
        <v>19</v>
      </c>
      <c r="F7" s="328"/>
      <c r="G7" s="329"/>
      <c r="H7" s="330"/>
      <c r="I7" s="132"/>
    </row>
    <row r="8" spans="1:9" ht="19.5" thickBot="1" x14ac:dyDescent="0.3">
      <c r="A8" s="5">
        <v>3</v>
      </c>
      <c r="B8" s="8" t="s">
        <v>62</v>
      </c>
      <c r="C8" s="10" t="s">
        <v>63</v>
      </c>
      <c r="D8" s="240">
        <v>298.14999999999998</v>
      </c>
      <c r="E8" s="16" t="s">
        <v>20</v>
      </c>
      <c r="F8" s="328"/>
      <c r="G8" s="329"/>
      <c r="H8" s="330"/>
      <c r="I8" s="132"/>
    </row>
    <row r="9" spans="1:9" ht="19.5" thickBot="1" x14ac:dyDescent="0.3">
      <c r="A9" s="5">
        <v>4</v>
      </c>
      <c r="B9" s="8" t="s">
        <v>369</v>
      </c>
      <c r="C9" s="15"/>
      <c r="D9" s="27">
        <v>769</v>
      </c>
      <c r="E9" s="16" t="s">
        <v>370</v>
      </c>
      <c r="F9" s="314" t="s">
        <v>378</v>
      </c>
      <c r="G9" s="315"/>
      <c r="H9" s="316"/>
      <c r="I9" s="132"/>
    </row>
    <row r="10" spans="1:9" ht="48" thickBot="1" x14ac:dyDescent="0.3">
      <c r="A10" s="5">
        <v>5</v>
      </c>
      <c r="B10" s="8" t="s">
        <v>65</v>
      </c>
      <c r="C10" s="17" t="s">
        <v>66</v>
      </c>
      <c r="D10" s="165">
        <v>1095</v>
      </c>
      <c r="E10" s="16"/>
      <c r="F10" s="133"/>
      <c r="G10" s="60"/>
      <c r="H10" s="242"/>
      <c r="I10" s="132"/>
    </row>
    <row r="11" spans="1:9" ht="32.25" thickBot="1" x14ac:dyDescent="0.3">
      <c r="A11" s="5">
        <v>6</v>
      </c>
      <c r="B11" s="8" t="s">
        <v>371</v>
      </c>
      <c r="C11" s="123" t="s">
        <v>372</v>
      </c>
      <c r="D11" s="228">
        <v>1.3472880000000003E-3</v>
      </c>
      <c r="E11" s="16" t="s">
        <v>354</v>
      </c>
      <c r="F11" s="423"/>
      <c r="G11" s="424"/>
      <c r="H11" s="425"/>
    </row>
    <row r="21" spans="2:8" ht="18.75" x14ac:dyDescent="0.25">
      <c r="B21" s="130" t="s">
        <v>304</v>
      </c>
    </row>
    <row r="22" spans="2:8" ht="22.5" x14ac:dyDescent="0.25">
      <c r="B22" s="404" t="s">
        <v>373</v>
      </c>
      <c r="C22" s="404"/>
      <c r="D22" s="404"/>
      <c r="E22" s="404"/>
      <c r="F22" s="404"/>
      <c r="G22" s="404"/>
      <c r="H22" s="404"/>
    </row>
    <row r="23" spans="2:8" ht="22.5" x14ac:dyDescent="0.25">
      <c r="B23" s="404" t="s">
        <v>374</v>
      </c>
      <c r="C23" s="404"/>
      <c r="D23" s="404"/>
      <c r="E23" s="404"/>
      <c r="F23" s="404"/>
      <c r="G23" s="404"/>
      <c r="H23" s="404"/>
    </row>
    <row r="24" spans="2:8" ht="20.25" x14ac:dyDescent="0.25">
      <c r="B24" s="404" t="s">
        <v>375</v>
      </c>
      <c r="C24" s="404"/>
      <c r="D24" s="404"/>
      <c r="E24" s="404"/>
      <c r="F24" s="404"/>
      <c r="G24" s="404"/>
      <c r="H24" s="404"/>
    </row>
    <row r="25" spans="2:8" ht="20.25" x14ac:dyDescent="0.25">
      <c r="B25" s="404" t="s">
        <v>376</v>
      </c>
      <c r="C25" s="404"/>
      <c r="D25" s="404"/>
      <c r="E25" s="404"/>
      <c r="F25" s="404"/>
      <c r="G25" s="404"/>
      <c r="H25" s="404"/>
    </row>
    <row r="26" spans="2:8" ht="18.75" x14ac:dyDescent="0.3">
      <c r="B26" s="426" t="s">
        <v>377</v>
      </c>
      <c r="C26" s="426"/>
      <c r="D26" s="426"/>
      <c r="E26" s="426"/>
      <c r="F26" s="426"/>
      <c r="G26" s="426"/>
      <c r="H26" s="426"/>
    </row>
    <row r="27" spans="2:8" ht="18.75" x14ac:dyDescent="0.25">
      <c r="B27" s="241"/>
      <c r="C27" s="241"/>
      <c r="D27" s="241"/>
      <c r="E27" s="241"/>
      <c r="F27" s="241"/>
      <c r="G27" s="241"/>
      <c r="H27" s="241"/>
    </row>
  </sheetData>
  <mergeCells count="17">
    <mergeCell ref="B22:H22"/>
    <mergeCell ref="B23:H23"/>
    <mergeCell ref="B24:H24"/>
    <mergeCell ref="B25:H25"/>
    <mergeCell ref="B26:H26"/>
    <mergeCell ref="F11:H11"/>
    <mergeCell ref="A1:H1"/>
    <mergeCell ref="A3:A4"/>
    <mergeCell ref="B3:B4"/>
    <mergeCell ref="C3:C4"/>
    <mergeCell ref="E3:E4"/>
    <mergeCell ref="F3:H4"/>
    <mergeCell ref="A5:H5"/>
    <mergeCell ref="F6:H6"/>
    <mergeCell ref="F7:H7"/>
    <mergeCell ref="F8:H8"/>
    <mergeCell ref="F9:H9"/>
  </mergeCells>
  <hyperlinks>
    <hyperlink ref="F6:H6" r:id="rId1" display="Паспорт пробоотборника" xr:uid="{3475B0B4-D497-4CE7-A24A-001DC8628F17}"/>
    <hyperlink ref="F9:H9" r:id="rId2" display="Проектный документ (Таблица 2.7)" xr:uid="{1AEDE1DA-7379-47D9-A73C-7670086C963B}"/>
    <hyperlink ref="D10" r:id="rId3" display="ОБОСНОВЫВАЮЩИЕ ДОКУМЕНТЫ\6. ОТБОР ПРОБ\6.1 Планы графики\План отбора проб конденсата 2020 по Обществу.pdf" xr:uid="{D3F5EF03-1269-41D2-B6D3-4957805B1482}"/>
  </hyperlinks>
  <pageMargins left="0.7" right="0.7" top="0.75" bottom="0.75" header="0.3" footer="0.3"/>
  <drawing r:id="rId4"/>
  <legacyDrawing r:id="rId5"/>
  <oleObjects>
    <mc:AlternateContent xmlns:mc="http://schemas.openxmlformats.org/markup-compatibility/2006">
      <mc:Choice Requires="x14">
        <oleObject progId="Equation.DSMT4" shapeId="52236" r:id="rId6">
          <objectPr defaultSize="0" autoPict="0" r:id="rId7">
            <anchor moveWithCells="1" sizeWithCells="1">
              <from>
                <xdr:col>1</xdr:col>
                <xdr:colOff>333375</xdr:colOff>
                <xdr:row>14</xdr:row>
                <xdr:rowOff>38100</xdr:rowOff>
              </from>
              <to>
                <xdr:col>4</xdr:col>
                <xdr:colOff>0</xdr:colOff>
                <xdr:row>16</xdr:row>
                <xdr:rowOff>180975</xdr:rowOff>
              </to>
            </anchor>
          </objectPr>
        </oleObject>
      </mc:Choice>
      <mc:Fallback>
        <oleObject progId="Equation.DSMT4" shapeId="5223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ИТОГО (ГАЗ)</vt:lpstr>
      <vt:lpstr>ИТОГО (КОНДЕНСАТ)</vt:lpstr>
      <vt:lpstr>ГДИ+ГКИ</vt:lpstr>
      <vt:lpstr>ОПОРОЖНЕНИЕ (ШЛЕЙФЫ)</vt:lpstr>
      <vt:lpstr>ОПОРОЖНЕНИЕ (ОБОРУДОВАНИЕ)</vt:lpstr>
      <vt:lpstr>Дегазация жидкостей</vt:lpstr>
      <vt:lpstr>Хим.реагенты</vt:lpstr>
      <vt:lpstr>Отбор проб (газ)</vt:lpstr>
      <vt:lpstr>Отбор проб (конденсат)</vt:lpstr>
      <vt:lpstr>Клапана</vt:lpstr>
      <vt:lpstr>Унос с жидкостью</vt:lpstr>
      <vt:lpstr>РАСЧЕТ ПЛОТНОСТИ</vt:lpstr>
      <vt:lpstr>РАСЧЕТ Z</vt:lpstr>
      <vt:lpstr>РАСТВОРИМОСТЬ ГАЗА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Самуйлова ЛВ</cp:lastModifiedBy>
  <dcterms:created xsi:type="dcterms:W3CDTF">2019-07-04T11:09:30Z</dcterms:created>
  <dcterms:modified xsi:type="dcterms:W3CDTF">2023-04-14T16:31:13Z</dcterms:modified>
</cp:coreProperties>
</file>